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3.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pivotTables/pivotTable1.xml" ContentType="application/vnd.openxmlformats-officedocument.spreadsheetml.pivotTab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Democratic Services\SCRUTINY (A&amp;VFM) COMMITTEE\2019\AGENDA 20 JUNE 2019\pdfs\"/>
    </mc:Choice>
  </mc:AlternateContent>
  <bookViews>
    <workbookView xWindow="-15" yWindow="4260" windowWidth="12510" windowHeight="3495" tabRatio="774" activeTab="1"/>
  </bookViews>
  <sheets>
    <sheet name="INDEX" sheetId="8" r:id="rId1"/>
    <sheet name="1. ALL DATA" sheetId="1" r:id="rId2"/>
    <sheet name="2. STATUS TRACKING" sheetId="2" state="hidden" r:id="rId3"/>
    <sheet name="3. % BY PRIORITY" sheetId="4" r:id="rId4"/>
    <sheet name="4. CHARTS BY PRIORITY" sheetId="5" r:id="rId5"/>
    <sheet name="5. % BY PORTFOLIO" sheetId="22" r:id="rId6"/>
    <sheet name="6. CHARTS BY PORTFOLIO" sheetId="7" r:id="rId7"/>
    <sheet name="Q1. SUMMARY" sheetId="9" state="hidden" r:id="rId8"/>
    <sheet name="Q2. SUMMARY" sheetId="10" state="hidden" r:id="rId9"/>
    <sheet name="Q3. SUMMARY" sheetId="11" state="hidden" r:id="rId10"/>
    <sheet name="Q4. SUMMARY" sheetId="12" r:id="rId11"/>
    <sheet name="CUSTOM PIVOT" sheetId="23" r:id="rId12"/>
    <sheet name="Sheet1" sheetId="24" r:id="rId13"/>
  </sheets>
  <definedNames>
    <definedName name="_xlnm._FilterDatabase" localSheetId="1" hidden="1">'1. ALL DATA'!$A$3:$AB$128</definedName>
    <definedName name="_xlnm._FilterDatabase" localSheetId="2" hidden="1">'2. STATUS TRACKING'!$A$2:$J$127</definedName>
    <definedName name="_GoBack" localSheetId="1">'1. ALL DATA'!#REF!</definedName>
    <definedName name="ALL_TARGETS_Q1" localSheetId="5">'5. % BY PORTFOLIO'!#REF!</definedName>
    <definedName name="ALL_TARGETS_Q1">'3. % BY PRIORITY'!$B$3:$F$21</definedName>
    <definedName name="ALL_TARGETS_Q2" localSheetId="5">'5. % BY PORTFOLIO'!#REF!</definedName>
    <definedName name="ALL_TARGETS_Q2">'3. % BY PRIORITY'!$I$3:$N$21</definedName>
    <definedName name="ALL_TARGETS_Q3" localSheetId="5">'5. % BY PORTFOLIO'!#REF!</definedName>
    <definedName name="ALL_TARGETS_Q3">'3. % BY PRIORITY'!$P$3:$U$21</definedName>
    <definedName name="ALL_TARGETS_Q4" localSheetId="5">'5. % BY PORTFOLIO'!#REF!</definedName>
    <definedName name="ALL_TARGETS_Q4">'3. % BY PRIORITY'!$W$3:$AB$21</definedName>
    <definedName name="ALLQ1">'4. CHARTS BY PRIORITY'!$K$4:$R$20</definedName>
    <definedName name="ALLQ2">'4. CHARTS BY PRIORITY'!$T$4:$AA$20</definedName>
    <definedName name="ALLQ3">'4. CHARTS BY PRIORITY'!$AC$4:$AJ$20</definedName>
    <definedName name="ALLQ4">'4. CHARTS BY PRIORITY'!$AL$4:$AS$20</definedName>
    <definedName name="BE_Q1">#REF!</definedName>
    <definedName name="BE_Q2">#REF!</definedName>
    <definedName name="BE_Q3">#REF!</definedName>
    <definedName name="BE_Q4">#REF!</definedName>
    <definedName name="BECQ1">'6. CHARTS BY PORTFOLIO'!$K$4:$R$19</definedName>
    <definedName name="BECQ2">'6. CHARTS BY PORTFOLIO'!$T$4:$AA$19</definedName>
    <definedName name="BECQ3">'6. CHARTS BY PORTFOLIO'!$AC$4:$AJ$19</definedName>
    <definedName name="BECQ4">'6. CHARTS BY PORTFOLIO'!$AL$4:$AS$19</definedName>
    <definedName name="CS_Q1">#REF!</definedName>
    <definedName name="CS_Q2">#REF!</definedName>
    <definedName name="CS_Q3">#REF!</definedName>
    <definedName name="CS_Q4">#REF!</definedName>
    <definedName name="CSCQ1">'6. CHARTS BY PORTFOLIO'!$K$20:$R$35</definedName>
    <definedName name="CSCQ2">'6. CHARTS BY PORTFOLIO'!$T$20:$AA$35</definedName>
    <definedName name="CSCQ3">'6. CHARTS BY PORTFOLIO'!$AC$20:$AJ$35</definedName>
    <definedName name="CSCQ4">'6. CHARTS BY PORTFOLIO'!$AL$20:$AS$35</definedName>
    <definedName name="CULT1">'5. % BY PORTFOLIO'!$B$26:$G$44</definedName>
    <definedName name="CULT2">'5. % BY PORTFOLIO'!$I$26:$N$44</definedName>
    <definedName name="CULT3">'5. % BY PORTFOLIO'!$P$26:$U$44</definedName>
    <definedName name="CULT4">'5. % BY PORTFOLIO'!$W$26:$AB$44</definedName>
    <definedName name="CULTUR0">'6. CHARTS BY PORTFOLIO'!$A$21:$I$35</definedName>
    <definedName name="CULTUR1">'6. CHARTS BY PORTFOLIO'!$J$21:$R$35</definedName>
    <definedName name="CULTUR2">'6. CHARTS BY PORTFOLIO'!$S$21:$AA$35</definedName>
    <definedName name="CULTUR3">'6. CHARTS BY PORTFOLIO'!$AB$21:$AJ$35</definedName>
    <definedName name="CULTUR4">'6. CHARTS BY PORTFOLIO'!$AK$21:$AS$35</definedName>
    <definedName name="CustomPivot">'CUSTOM PIVOT'!$A$2</definedName>
    <definedName name="ELE_Q1" localSheetId="5">'5. % BY PORTFOLIO'!$B$48:$F$66</definedName>
    <definedName name="ELE_Q1">'3. % BY PRIORITY'!$B$47:$F$65</definedName>
    <definedName name="ELE_Q2" localSheetId="5">'5. % BY PORTFOLIO'!$I$48:$N$66</definedName>
    <definedName name="ELE_Q2">'3. % BY PRIORITY'!$I$47:$N$65</definedName>
    <definedName name="ELE_Q3" localSheetId="5">'5. % BY PORTFOLIO'!$P$48:$U$66</definedName>
    <definedName name="ELE_Q3">'3. % BY PRIORITY'!$P$47:$U$65</definedName>
    <definedName name="ELE_Q4" localSheetId="5">'5. % BY PORTFOLIO'!$W$48:$AB$65</definedName>
    <definedName name="ELE_Q4">'3. % BY PRIORITY'!$W$47:$AB$64</definedName>
    <definedName name="ELE_TARGETS" localSheetId="5">'1. ALL DATA'!#REF!</definedName>
    <definedName name="ELE_TARGETS">'1. ALL DATA'!#REF!</definedName>
    <definedName name="ELEQ1">'4. CHARTS BY PRIORITY'!$K$36:$R$51</definedName>
    <definedName name="ELEQ2">'4. CHARTS BY PRIORITY'!$T$36:$AA$51</definedName>
    <definedName name="ELEQ3">'4. CHARTS BY PRIORITY'!$AC$36:$AJ$51</definedName>
    <definedName name="ELEQ4">'4. CHARTS BY PRIORITY'!$AL$36:$AS$50</definedName>
    <definedName name="ELTB_Q1" localSheetId="5">'5. % BY PORTFOLIO'!$B$70:$F$88</definedName>
    <definedName name="ELTB_Q1">'3. % BY PRIORITY'!$B$69:$F$87</definedName>
    <definedName name="ELTB_Q2" localSheetId="5">'5. % BY PORTFOLIO'!$I$70:$N$88</definedName>
    <definedName name="ELTB_Q2">'3. % BY PRIORITY'!$I$69:$N$87</definedName>
    <definedName name="ELTB_Q3" localSheetId="5">'5. % BY PORTFOLIO'!$P$70:$U$88</definedName>
    <definedName name="ELTB_Q3">'3. % BY PRIORITY'!$P$69:$U$87</definedName>
    <definedName name="ELTB_Q4" localSheetId="5">'5. % BY PORTFOLIO'!$W$70:$AB$90</definedName>
    <definedName name="ELTB_Q4">'3. % BY PRIORITY'!$W$69:$AB$89</definedName>
    <definedName name="ELTB_TARGETS">'1. ALL DATA'!#REF!</definedName>
    <definedName name="ELTB_TARGETS2">'1. ALL DATA'!#REF!</definedName>
    <definedName name="ELTBQ1">'4. CHARTS BY PRIORITY'!$K$52:$R$67</definedName>
    <definedName name="ELTBQ2">'4. CHARTS BY PRIORITY'!$T$52:$AA$67</definedName>
    <definedName name="ELTBQ3">'4. CHARTS BY PRIORITY'!$AC$52:$AJ$67</definedName>
    <definedName name="ELTBQ4">'4. CHARTS BY PRIORITY'!$AL$52:$AS$67</definedName>
    <definedName name="ENT_1">'5. % BY PORTFOLIO'!$ENQ$1</definedName>
    <definedName name="ENTER1">'5. % BY PORTFOLIO'!$B$48:$G$66</definedName>
    <definedName name="ENTER2">'5. % BY PORTFOLIO'!$I$48:$N$66</definedName>
    <definedName name="ENTER3">'5. % BY PORTFOLIO'!$P$48:$U$66</definedName>
    <definedName name="ENTER4">'5. % BY PORTFOLIO'!$W$48:$AB$66</definedName>
    <definedName name="ENTERP1">'6. CHARTS BY PORTFOLIO'!$J$37:$R$51</definedName>
    <definedName name="ENTERP2">'6. CHARTS BY PORTFOLIO'!$S$37:$AA$51</definedName>
    <definedName name="ENTERP3">'6. CHARTS BY PORTFOLIO'!$AB$37:$AJ$51</definedName>
    <definedName name="ENTERP4">'6. CHARTS BY PORTFOLIO'!$AK$37:$AS$51</definedName>
    <definedName name="FINANC0">'6. CHARTS BY PORTFOLIO'!$A$53:$I$67</definedName>
    <definedName name="FINANC1">'6. CHARTS BY PORTFOLIO'!$J$53:$R$67</definedName>
    <definedName name="FINANC2">'6. CHARTS BY PORTFOLIO'!$S$53:$AA$67</definedName>
    <definedName name="FINANC3">'6. CHARTS BY PORTFOLIO'!$AB$53:$AJ$67</definedName>
    <definedName name="FINANC4">'6. CHARTS BY PORTFOLIO'!$AK$53:$AS$67</definedName>
    <definedName name="FINANCE1">'5. % BY PORTFOLIO'!$B$70:$G$88</definedName>
    <definedName name="FINANCE2">'5. % BY PORTFOLIO'!$I$70:$N$88</definedName>
    <definedName name="FINANCE3">'5. % BY PORTFOLIO'!$P$70:$U$88</definedName>
    <definedName name="FINANCE4">'5. % BY PORTFOLIO'!$W$70:$AB$88</definedName>
    <definedName name="LEADER0">'6. CHARTS BY PORTFOLIO'!$A$5:$I$19</definedName>
    <definedName name="LEADER1">'6. CHARTS BY PORTFOLIO'!$J$5:$R$19</definedName>
    <definedName name="LEADER2">'6. CHARTS BY PORTFOLIO'!$S$5:$AA$19</definedName>
    <definedName name="LEADER3">'6. CHARTS BY PORTFOLIO'!$AB$5:$AI$19</definedName>
    <definedName name="LEADER4">'6. CHARTS BY PORTFOLIO'!$AK$5:$AS$19</definedName>
    <definedName name="LEADERQ1">#REF!</definedName>
    <definedName name="OLE_LINK3" localSheetId="1">'1. ALL DATA'!$C$103</definedName>
    <definedName name="PARTC1">'6. CHARTS BY PORTFOLIO'!$K$68:$R$83</definedName>
    <definedName name="PARTC2">'6. CHARTS BY PORTFOLIO'!$T$68:$AA$83</definedName>
    <definedName name="PARTC3">'6. CHARTS BY PORTFOLIO'!$AC$68:$AJ$83</definedName>
    <definedName name="PARTC4">'6. CHARTS BY PORTFOLIO'!$AL$68:$AS$83</definedName>
    <definedName name="PARTQ1">#REF!</definedName>
    <definedName name="PARTQ2">#REF!</definedName>
    <definedName name="PARTQ3">#REF!</definedName>
    <definedName name="PARTQ4">#REF!</definedName>
    <definedName name="PLAN1">'5. % BY PORTFOLIO'!$B$92:$G$110</definedName>
    <definedName name="PLAN2">'5. % BY PORTFOLIO'!$I$92:$N$110</definedName>
    <definedName name="PLAN3">'5. % BY PORTFOLIO'!$P$92:$U$110</definedName>
    <definedName name="PLAN4">'5. % BY PORTFOLIO'!$W$92:$AB$110</definedName>
    <definedName name="PLANNING0">'6. CHARTS BY PORTFOLIO'!$A$69:$I$83</definedName>
    <definedName name="PLANNING1">'6. CHARTS BY PORTFOLIO'!$J$69:$R$83</definedName>
    <definedName name="PLANNING2">'6. CHARTS BY PORTFOLIO'!$S$69:$AA$83</definedName>
    <definedName name="PLANNING3">'6. CHARTS BY PORTFOLIO'!$AB$69:$AJ$83</definedName>
    <definedName name="PLANNING4">'6. CHARTS BY PORTFOLIO'!$AK$69:$AS$83</definedName>
    <definedName name="PLEG_1617">'1. ALL DATA'!$A$64</definedName>
    <definedName name="_xlnm.Print_Area" localSheetId="1">'1. ALL DATA'!$A$1:$AB$41</definedName>
    <definedName name="_xlnm.Print_Titles" localSheetId="1">'1. ALL DATA'!$3:$3</definedName>
    <definedName name="PSC_1617">'1. ALL DATA'!$A$79</definedName>
    <definedName name="PWBQ1">'3. % BY PRIORITY'!$B$69:$G$87</definedName>
    <definedName name="Q1_Leader">'5. % BY PORTFOLIO'!$B$2:$G$21</definedName>
    <definedName name="Q2_Leader">'5. % BY PORTFOLIO'!$I$3:$N$21</definedName>
    <definedName name="Q3LEADER">'5. % BY PORTFOLIO'!$P$1:$U$21</definedName>
    <definedName name="Q4_Leader">'5. % BY PORTFOLIO'!$W$1:$AB$21</definedName>
    <definedName name="RBV_Q1" localSheetId="5">'5. % BY PORTFOLIO'!$B$26:$F$44</definedName>
    <definedName name="RBV_Q1">'3. % BY PRIORITY'!$B$25:$F$43</definedName>
    <definedName name="RBV_Q2" localSheetId="5">'5. % BY PORTFOLIO'!$I$26:$N$44</definedName>
    <definedName name="RBV_Q2">'3. % BY PRIORITY'!$I$25:$N$43</definedName>
    <definedName name="RBV_Q3" localSheetId="5">'5. % BY PORTFOLIO'!$P$26:$U$44</definedName>
    <definedName name="RBV_Q3">'3. % BY PRIORITY'!$P$25:$U$43</definedName>
    <definedName name="RBV_Q4" localSheetId="5">'5. % BY PORTFOLIO'!$W$26:$AB$44</definedName>
    <definedName name="RBV_Q4">'3. % BY PRIORITY'!$W$25:$AB$43</definedName>
    <definedName name="RBV_TARGETS">'1. ALL DATA'!#REF!</definedName>
    <definedName name="RBVQ1">'4. CHARTS BY PRIORITY'!$K$20:$R$35</definedName>
    <definedName name="RBVQ2">'4. CHARTS BY PRIORITY'!$T$20:$AA$35</definedName>
    <definedName name="RBVQ3">'4. CHARTS BY PRIORITY'!$AC$20:$AJ$35</definedName>
    <definedName name="RBVQ4">'4. CHARTS BY PRIORITY'!$AL$20:$AS$34</definedName>
    <definedName name="REGUL1">'5. % BY PORTFOLIO'!$B$114:$G$132</definedName>
    <definedName name="REGUL2">'5. % BY PORTFOLIO'!$I$114:$N$132</definedName>
    <definedName name="REGUL3">'5. % BY PORTFOLIO'!$P$114:$U$132</definedName>
    <definedName name="REGUL4">'5. % BY PORTFOLIO'!$W$114:$AB$132</definedName>
    <definedName name="REGULATE1">'6. CHARTS BY PORTFOLIO'!$J$85:$R$99</definedName>
    <definedName name="REGULATE2">'6. CHARTS BY PORTFOLIO'!$S$85:$AA$99</definedName>
    <definedName name="REGULATE3">'6. CHARTS BY PORTFOLIO'!$AB$85:$AJ$99</definedName>
    <definedName name="REGULATE4">'6. CHARTS BY PORTFOLIO'!$AK$85:$AS$99</definedName>
    <definedName name="RS_Q1">#REF!</definedName>
    <definedName name="RS_Q2">#REF!</definedName>
    <definedName name="RS_Q3">#REF!</definedName>
    <definedName name="RS_Q4">#REF!</definedName>
    <definedName name="RSCQ1">'6. CHARTS BY PORTFOLIO'!$K$36:$R$51</definedName>
    <definedName name="RSCQ2">'6. CHARTS BY PORTFOLIO'!$T$36:$AA$51</definedName>
    <definedName name="RSCQ3">'6. CHARTS BY PORTFOLIO'!$AC$36:$AJ$51</definedName>
    <definedName name="RSCQ4">'6. CHARTS BY PORTFOLIO'!$AL$36:$AS$51</definedName>
    <definedName name="SC_Q1">#REF!</definedName>
    <definedName name="SC_Q2">#REF!</definedName>
    <definedName name="SC_Q3">#REF!</definedName>
    <definedName name="SC_Q4">#REF!</definedName>
    <definedName name="SCCQ1">'6. CHARTS BY PORTFOLIO'!$K$52:$R$67</definedName>
    <definedName name="SCCQ2">'6. CHARTS BY PORTFOLIO'!$T$52:$AA$67</definedName>
    <definedName name="SCCQ3">'6. CHARTS BY PORTFOLIO'!$AC$52:$AJ$67</definedName>
    <definedName name="SCCQ4">'6. CHARTS BY PORTFOLIO'!$AL$52:$AS$67</definedName>
    <definedName name="TCN_C_O">'6. CHARTS BY PORTFOLIO'!$A$101:$I$115</definedName>
    <definedName name="TCN_C_Q1">'6. CHARTS BY PORTFOLIO'!$A$101:$I$115</definedName>
    <definedName name="TCN_C_Q2">'6. CHARTS BY PORTFOLIO'!$J$101:$R$115</definedName>
    <definedName name="TCN_C_Q3">'6. CHARTS BY PORTFOLIO'!$S$101:$AA$115</definedName>
    <definedName name="TCN_C_Q4">'6. CHARTS BY PORTFOLIO'!$AK$101:$AS$115</definedName>
    <definedName name="TCN_C_Q5">'6. CHARTS BY PORTFOLIO'!$AB$101:$AJ$115</definedName>
    <definedName name="TCN_T_Q1">'5. % BY PORTFOLIO'!$B$136:$G$156</definedName>
    <definedName name="TCN_T_Q2">'5. % BY PORTFOLIO'!$I$136:$N$155</definedName>
    <definedName name="TCN_T_Q3">'5. % BY PORTFOLIO'!$P$136:$U$156</definedName>
    <definedName name="TCN_T_Q4">'5. % BY PORTFOLIO'!$W$136:$AB$155</definedName>
    <definedName name="VFM_1617">'1. ALL DATA'!$A$5</definedName>
  </definedNames>
  <calcPr calcId="152511"/>
  <pivotCaches>
    <pivotCache cacheId="0" r:id="rId14"/>
  </pivotCaches>
</workbook>
</file>

<file path=xl/calcChain.xml><?xml version="1.0" encoding="utf-8"?>
<calcChain xmlns="http://schemas.openxmlformats.org/spreadsheetml/2006/main">
  <c r="X32" i="22" l="1"/>
  <c r="X146" i="22"/>
  <c r="X144" i="22"/>
  <c r="X143" i="22"/>
  <c r="X142" i="22"/>
  <c r="X124" i="22"/>
  <c r="X122" i="22"/>
  <c r="X121" i="22"/>
  <c r="X120" i="22"/>
  <c r="X102" i="22"/>
  <c r="X100" i="22"/>
  <c r="X99" i="22"/>
  <c r="X98" i="22"/>
  <c r="X80" i="22"/>
  <c r="X78" i="22"/>
  <c r="X77" i="22"/>
  <c r="X76" i="22"/>
  <c r="X58" i="22"/>
  <c r="X56" i="22"/>
  <c r="X55" i="22"/>
  <c r="X54" i="22"/>
  <c r="X36" i="22"/>
  <c r="X34" i="22"/>
  <c r="X33" i="22"/>
  <c r="X13" i="22"/>
  <c r="X11" i="22"/>
  <c r="X10" i="22"/>
  <c r="X140" i="22"/>
  <c r="X118" i="22"/>
  <c r="X96" i="22"/>
  <c r="X74" i="22"/>
  <c r="X52" i="22"/>
  <c r="X30" i="22"/>
  <c r="X7" i="22"/>
  <c r="X152" i="22"/>
  <c r="X151" i="22"/>
  <c r="X150" i="22"/>
  <c r="X149" i="22"/>
  <c r="X147" i="22"/>
  <c r="X139" i="22"/>
  <c r="X130" i="22"/>
  <c r="X129" i="22"/>
  <c r="X128" i="22"/>
  <c r="X127" i="22"/>
  <c r="X125" i="22"/>
  <c r="X117" i="22"/>
  <c r="X108" i="22"/>
  <c r="X107" i="22"/>
  <c r="X106" i="22"/>
  <c r="X105" i="22"/>
  <c r="X103" i="22"/>
  <c r="X95" i="22"/>
  <c r="X86" i="22"/>
  <c r="X85" i="22"/>
  <c r="X84" i="22"/>
  <c r="X83" i="22"/>
  <c r="X81" i="22"/>
  <c r="X73" i="22"/>
  <c r="X64" i="22"/>
  <c r="X63" i="22"/>
  <c r="X62" i="22"/>
  <c r="X61" i="22"/>
  <c r="X59" i="22"/>
  <c r="X51" i="22"/>
  <c r="X42" i="22"/>
  <c r="X41" i="22"/>
  <c r="X40" i="22"/>
  <c r="X39" i="22"/>
  <c r="X37" i="22"/>
  <c r="X29" i="22"/>
  <c r="X19" i="22"/>
  <c r="X18" i="22"/>
  <c r="X17" i="22"/>
  <c r="X16" i="22"/>
  <c r="X14" i="22"/>
  <c r="X9" i="22"/>
  <c r="X6" i="22"/>
  <c r="Q152" i="22"/>
  <c r="Q151" i="22"/>
  <c r="Q150" i="22"/>
  <c r="Q149" i="22"/>
  <c r="Q147" i="22"/>
  <c r="Q146" i="22"/>
  <c r="Q142" i="22"/>
  <c r="E17" i="11" s="1"/>
  <c r="Q140" i="22"/>
  <c r="Q139" i="22"/>
  <c r="Q130" i="22"/>
  <c r="Q129" i="22"/>
  <c r="Q128" i="22"/>
  <c r="Q127" i="22"/>
  <c r="Q125" i="22"/>
  <c r="Q124" i="22"/>
  <c r="Q120" i="22"/>
  <c r="E16" i="11" s="1"/>
  <c r="Q118" i="22"/>
  <c r="Q117" i="22"/>
  <c r="Q108" i="22"/>
  <c r="Q107" i="22"/>
  <c r="Q106" i="22"/>
  <c r="Q105" i="22"/>
  <c r="Q103" i="22"/>
  <c r="Q102" i="22"/>
  <c r="Q98" i="22"/>
  <c r="E15" i="11" s="1"/>
  <c r="Q96" i="22"/>
  <c r="Q95" i="22"/>
  <c r="Q86" i="22"/>
  <c r="Q85" i="22"/>
  <c r="Q84" i="22"/>
  <c r="Q83" i="22"/>
  <c r="Q81" i="22"/>
  <c r="Q80" i="22"/>
  <c r="Q76" i="22"/>
  <c r="E14" i="11" s="1"/>
  <c r="Q74" i="22"/>
  <c r="Q73" i="22"/>
  <c r="Q64" i="22"/>
  <c r="Q63" i="22"/>
  <c r="Q62" i="22"/>
  <c r="Q61" i="22"/>
  <c r="Q59" i="22"/>
  <c r="Q58" i="22"/>
  <c r="Q54" i="22"/>
  <c r="E13" i="11" s="1"/>
  <c r="Q52" i="22"/>
  <c r="Q51" i="22"/>
  <c r="Q42" i="22"/>
  <c r="Q41" i="22"/>
  <c r="Q40" i="22"/>
  <c r="Q39" i="22"/>
  <c r="Q37" i="22"/>
  <c r="Q36" i="22"/>
  <c r="Q32" i="22"/>
  <c r="Q30" i="22"/>
  <c r="Q29" i="22"/>
  <c r="Q19" i="22"/>
  <c r="Q18" i="22"/>
  <c r="Q17" i="22"/>
  <c r="Q16" i="22"/>
  <c r="Q14" i="22"/>
  <c r="Q13" i="22"/>
  <c r="Q9" i="22"/>
  <c r="E11" i="11" s="1"/>
  <c r="Q7" i="22"/>
  <c r="Q6" i="22"/>
  <c r="J152" i="22"/>
  <c r="J151" i="22"/>
  <c r="J150" i="22"/>
  <c r="J149" i="22"/>
  <c r="J147" i="22"/>
  <c r="J146" i="22"/>
  <c r="J142" i="22"/>
  <c r="E17" i="10" s="1"/>
  <c r="J140" i="22"/>
  <c r="J139" i="22"/>
  <c r="J130" i="22"/>
  <c r="J129" i="22"/>
  <c r="J128" i="22"/>
  <c r="J127" i="22"/>
  <c r="J125" i="22"/>
  <c r="J124" i="22"/>
  <c r="J120" i="22"/>
  <c r="E16" i="10" s="1"/>
  <c r="J118" i="22"/>
  <c r="J117" i="22"/>
  <c r="J108" i="22"/>
  <c r="J107" i="22"/>
  <c r="J106" i="22"/>
  <c r="J105" i="22"/>
  <c r="J103" i="22"/>
  <c r="J102" i="22"/>
  <c r="J98" i="22"/>
  <c r="E15" i="10" s="1"/>
  <c r="J96" i="22"/>
  <c r="J95" i="22"/>
  <c r="J86" i="22"/>
  <c r="J85" i="22"/>
  <c r="J84" i="22"/>
  <c r="J83" i="22"/>
  <c r="J81" i="22"/>
  <c r="J80" i="22"/>
  <c r="J76" i="22"/>
  <c r="E14" i="10" s="1"/>
  <c r="J74" i="22"/>
  <c r="J73" i="22"/>
  <c r="J64" i="22"/>
  <c r="J63" i="22"/>
  <c r="J62" i="22"/>
  <c r="J61" i="22"/>
  <c r="J59" i="22"/>
  <c r="J58" i="22"/>
  <c r="J54" i="22"/>
  <c r="E13" i="10" s="1"/>
  <c r="C152" i="22"/>
  <c r="C151" i="22"/>
  <c r="C150" i="22"/>
  <c r="C149" i="22"/>
  <c r="C147" i="22"/>
  <c r="C146" i="22"/>
  <c r="C142" i="22"/>
  <c r="E17" i="9" s="1"/>
  <c r="C140" i="22"/>
  <c r="C139" i="22"/>
  <c r="C130" i="22"/>
  <c r="C129" i="22"/>
  <c r="C128" i="22"/>
  <c r="C127" i="22"/>
  <c r="C125" i="22"/>
  <c r="C124" i="22"/>
  <c r="C120" i="22"/>
  <c r="E16" i="9" s="1"/>
  <c r="C118" i="22"/>
  <c r="C117" i="22"/>
  <c r="C108" i="22"/>
  <c r="C107" i="22"/>
  <c r="C106" i="22"/>
  <c r="C105" i="22"/>
  <c r="C103" i="22"/>
  <c r="C102" i="22"/>
  <c r="C98" i="22"/>
  <c r="C96" i="22"/>
  <c r="C95" i="22"/>
  <c r="C86" i="22"/>
  <c r="C85" i="22"/>
  <c r="C84" i="22"/>
  <c r="C83" i="22"/>
  <c r="C81" i="22"/>
  <c r="C80" i="22"/>
  <c r="C76" i="22"/>
  <c r="E14" i="9" s="1"/>
  <c r="C74" i="22"/>
  <c r="C73" i="22"/>
  <c r="C64" i="22"/>
  <c r="C63" i="22"/>
  <c r="C62" i="22"/>
  <c r="C61" i="22"/>
  <c r="C59" i="22"/>
  <c r="C58" i="22"/>
  <c r="C54" i="22"/>
  <c r="C52" i="22"/>
  <c r="C51" i="22"/>
  <c r="C42" i="22"/>
  <c r="C41" i="22"/>
  <c r="C40" i="22"/>
  <c r="C39" i="22"/>
  <c r="C37" i="22"/>
  <c r="C36" i="22"/>
  <c r="C32" i="22"/>
  <c r="E12" i="9" s="1"/>
  <c r="C30" i="22"/>
  <c r="C29" i="22"/>
  <c r="C19" i="22"/>
  <c r="C18" i="22"/>
  <c r="C17" i="22"/>
  <c r="C16" i="22"/>
  <c r="C14" i="22"/>
  <c r="C13" i="22"/>
  <c r="C9" i="22"/>
  <c r="C7" i="22"/>
  <c r="C6" i="22"/>
  <c r="J52" i="22"/>
  <c r="J51" i="22"/>
  <c r="J42" i="22"/>
  <c r="J41" i="22"/>
  <c r="J40" i="22"/>
  <c r="J39" i="22"/>
  <c r="J37" i="22"/>
  <c r="J36" i="22"/>
  <c r="J32" i="22"/>
  <c r="E12" i="10" s="1"/>
  <c r="J30" i="22"/>
  <c r="J29" i="22"/>
  <c r="J19" i="22"/>
  <c r="J18" i="22"/>
  <c r="J17" i="22"/>
  <c r="J16" i="22"/>
  <c r="J14" i="22"/>
  <c r="J13" i="22"/>
  <c r="J9" i="22"/>
  <c r="E11" i="10" s="1"/>
  <c r="J7" i="22"/>
  <c r="J6" i="22"/>
  <c r="J85" i="4"/>
  <c r="J84" i="4"/>
  <c r="J83" i="4"/>
  <c r="J82" i="4"/>
  <c r="J80" i="4"/>
  <c r="J79" i="4"/>
  <c r="J75" i="4"/>
  <c r="E9" i="10" s="1"/>
  <c r="J73" i="4"/>
  <c r="J72" i="4"/>
  <c r="X85" i="4"/>
  <c r="X84" i="4"/>
  <c r="X83" i="4"/>
  <c r="X82" i="4"/>
  <c r="X80" i="4"/>
  <c r="X79" i="4"/>
  <c r="X77" i="4"/>
  <c r="X76" i="4"/>
  <c r="X75" i="4"/>
  <c r="X73" i="4"/>
  <c r="X72" i="4"/>
  <c r="X63" i="4"/>
  <c r="X62" i="4"/>
  <c r="X61" i="4"/>
  <c r="X60" i="4"/>
  <c r="X58" i="4"/>
  <c r="X57" i="4"/>
  <c r="X55" i="4"/>
  <c r="X54" i="4"/>
  <c r="X53" i="4"/>
  <c r="X51" i="4"/>
  <c r="X50" i="4"/>
  <c r="X41" i="4"/>
  <c r="X40" i="4"/>
  <c r="X39" i="4"/>
  <c r="X38" i="4"/>
  <c r="X36" i="4"/>
  <c r="X35" i="4"/>
  <c r="X33" i="4"/>
  <c r="X32" i="4"/>
  <c r="X31" i="4"/>
  <c r="X29" i="4"/>
  <c r="X28" i="4"/>
  <c r="X19" i="4"/>
  <c r="X18" i="4"/>
  <c r="X17" i="4"/>
  <c r="X16" i="4"/>
  <c r="X14" i="4"/>
  <c r="X13" i="4"/>
  <c r="X11" i="4"/>
  <c r="X10" i="4"/>
  <c r="X9" i="4"/>
  <c r="X7" i="4"/>
  <c r="X6" i="4"/>
  <c r="Q85" i="4"/>
  <c r="Q84" i="4"/>
  <c r="Q83" i="4"/>
  <c r="Q82" i="4"/>
  <c r="Q80" i="4"/>
  <c r="Q79" i="4"/>
  <c r="Q75" i="4"/>
  <c r="E9" i="11" s="1"/>
  <c r="Q73" i="4"/>
  <c r="Q72" i="4"/>
  <c r="Q63" i="4"/>
  <c r="Q62" i="4"/>
  <c r="Q61" i="4"/>
  <c r="Q60" i="4"/>
  <c r="Q58" i="4"/>
  <c r="Q57" i="4"/>
  <c r="Q53" i="4"/>
  <c r="E8" i="11" s="1"/>
  <c r="Q51" i="4"/>
  <c r="Q50" i="4"/>
  <c r="Q41" i="4"/>
  <c r="Q40" i="4"/>
  <c r="Q39" i="4"/>
  <c r="Q38" i="4"/>
  <c r="Q36" i="4"/>
  <c r="Q35" i="4"/>
  <c r="Q31" i="4"/>
  <c r="Q29" i="4"/>
  <c r="Q28" i="4"/>
  <c r="Q19" i="4"/>
  <c r="Q18" i="4"/>
  <c r="Q17" i="4"/>
  <c r="Q16" i="4"/>
  <c r="Q14" i="4"/>
  <c r="Q13" i="4"/>
  <c r="Q9" i="4"/>
  <c r="E5" i="11" s="1"/>
  <c r="Q7" i="4"/>
  <c r="Q6" i="4"/>
  <c r="J63" i="4"/>
  <c r="J62" i="4"/>
  <c r="J61" i="4"/>
  <c r="J60" i="4"/>
  <c r="J58" i="4"/>
  <c r="J57" i="4"/>
  <c r="J53" i="4"/>
  <c r="E8" i="10" s="1"/>
  <c r="J51" i="4"/>
  <c r="J50" i="4"/>
  <c r="J41" i="4"/>
  <c r="J40" i="4"/>
  <c r="J39" i="4"/>
  <c r="J38" i="4"/>
  <c r="J36" i="4"/>
  <c r="J35" i="4"/>
  <c r="J31" i="4"/>
  <c r="E7" i="10" s="1"/>
  <c r="J29" i="4"/>
  <c r="J28" i="4"/>
  <c r="J19" i="4"/>
  <c r="J18" i="4"/>
  <c r="J17" i="4"/>
  <c r="J16" i="4"/>
  <c r="J14" i="4"/>
  <c r="J13" i="4"/>
  <c r="J9" i="4"/>
  <c r="E5" i="10" s="1"/>
  <c r="J7" i="4"/>
  <c r="J6" i="4"/>
  <c r="C85" i="4"/>
  <c r="C84" i="4"/>
  <c r="C83" i="4"/>
  <c r="C82" i="4"/>
  <c r="C80" i="4"/>
  <c r="C79" i="4"/>
  <c r="C75" i="4"/>
  <c r="E9" i="9" s="1"/>
  <c r="C73" i="4"/>
  <c r="C72" i="4"/>
  <c r="C63" i="4"/>
  <c r="C62" i="4"/>
  <c r="C61" i="4"/>
  <c r="C60" i="4"/>
  <c r="C58" i="4"/>
  <c r="C57" i="4"/>
  <c r="C53" i="4"/>
  <c r="E8" i="9" s="1"/>
  <c r="C51" i="4"/>
  <c r="C50" i="4"/>
  <c r="C41" i="4"/>
  <c r="C40" i="4"/>
  <c r="C39" i="4"/>
  <c r="C38" i="4"/>
  <c r="C36" i="4"/>
  <c r="C35" i="4"/>
  <c r="C31" i="4"/>
  <c r="E7" i="9" s="1"/>
  <c r="C29" i="4"/>
  <c r="C28" i="4"/>
  <c r="C19" i="4"/>
  <c r="C18" i="4"/>
  <c r="C17" i="4"/>
  <c r="C16" i="4"/>
  <c r="C14" i="4"/>
  <c r="C13" i="4"/>
  <c r="C9" i="4"/>
  <c r="E5" i="9" s="1"/>
  <c r="C7" i="4"/>
  <c r="C6" i="4"/>
  <c r="D96" i="2"/>
  <c r="J45" i="2"/>
  <c r="J46" i="2"/>
  <c r="J47" i="2"/>
  <c r="J48" i="2"/>
  <c r="J49" i="2"/>
  <c r="J50" i="2"/>
  <c r="J51" i="2"/>
  <c r="J52" i="2"/>
  <c r="J53" i="2"/>
  <c r="J54" i="2"/>
  <c r="J55" i="2"/>
  <c r="J56" i="2"/>
  <c r="J57" i="2"/>
  <c r="J58" i="2"/>
  <c r="J59" i="2"/>
  <c r="J60" i="2"/>
  <c r="J61" i="2"/>
  <c r="J63" i="2"/>
  <c r="J64" i="2"/>
  <c r="J65" i="2"/>
  <c r="J66" i="2"/>
  <c r="J67" i="2"/>
  <c r="J68" i="2"/>
  <c r="J69" i="2"/>
  <c r="J70" i="2"/>
  <c r="J71" i="2"/>
  <c r="J72" i="2"/>
  <c r="J73" i="2"/>
  <c r="J74" i="2"/>
  <c r="J75" i="2"/>
  <c r="J76"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3" i="2"/>
  <c r="H64" i="2"/>
  <c r="H65" i="2"/>
  <c r="H66" i="2"/>
  <c r="H67" i="2"/>
  <c r="H68" i="2"/>
  <c r="H69" i="2"/>
  <c r="H70" i="2"/>
  <c r="H71" i="2"/>
  <c r="H72" i="2"/>
  <c r="H73" i="2"/>
  <c r="H74" i="2"/>
  <c r="H75" i="2"/>
  <c r="H76"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3" i="2"/>
  <c r="F64" i="2"/>
  <c r="F65" i="2"/>
  <c r="F66" i="2"/>
  <c r="F67" i="2"/>
  <c r="F68" i="2"/>
  <c r="F69" i="2"/>
  <c r="F70" i="2"/>
  <c r="F71" i="2"/>
  <c r="F72" i="2"/>
  <c r="F73" i="2"/>
  <c r="F74" i="2"/>
  <c r="F75" i="2"/>
  <c r="F76"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3" i="2"/>
  <c r="D64" i="2"/>
  <c r="D65" i="2"/>
  <c r="D66" i="2"/>
  <c r="D67" i="2"/>
  <c r="D68" i="2"/>
  <c r="D69" i="2"/>
  <c r="D70" i="2"/>
  <c r="D71" i="2"/>
  <c r="D72" i="2"/>
  <c r="D73" i="2"/>
  <c r="D74" i="2"/>
  <c r="D75" i="2"/>
  <c r="D76" i="2"/>
  <c r="D78" i="2"/>
  <c r="D79" i="2"/>
  <c r="D80" i="2"/>
  <c r="D81" i="2"/>
  <c r="D82" i="2"/>
  <c r="D83" i="2"/>
  <c r="D84" i="2"/>
  <c r="D85" i="2"/>
  <c r="D86" i="2"/>
  <c r="D87" i="2"/>
  <c r="D88" i="2"/>
  <c r="D89" i="2"/>
  <c r="D90" i="2"/>
  <c r="D91" i="2"/>
  <c r="D92" i="2"/>
  <c r="D93" i="2"/>
  <c r="D94" i="2"/>
  <c r="D95"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3" i="2"/>
  <c r="C64" i="2"/>
  <c r="C65" i="2"/>
  <c r="C66" i="2"/>
  <c r="C67" i="2"/>
  <c r="C68" i="2"/>
  <c r="C69" i="2"/>
  <c r="C70" i="2"/>
  <c r="C71" i="2"/>
  <c r="C72" i="2"/>
  <c r="C73" i="2"/>
  <c r="C74" i="2"/>
  <c r="C75" i="2"/>
  <c r="C76" i="2"/>
  <c r="C78" i="2"/>
  <c r="C79" i="2"/>
  <c r="C80" i="2"/>
  <c r="C81" i="2"/>
  <c r="C82" i="2"/>
  <c r="C83" i="2"/>
  <c r="C84" i="2"/>
  <c r="C85" i="2"/>
  <c r="C86" i="2"/>
  <c r="C87" i="2"/>
  <c r="C88" i="2"/>
  <c r="C89" i="2"/>
  <c r="C90" i="2"/>
  <c r="C91" i="2"/>
  <c r="C92" i="2"/>
  <c r="C93" i="2"/>
  <c r="C94"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4"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3" i="2"/>
  <c r="B64" i="2"/>
  <c r="B65" i="2"/>
  <c r="B66" i="2"/>
  <c r="B67" i="2"/>
  <c r="B68" i="2"/>
  <c r="B69" i="2"/>
  <c r="B70" i="2"/>
  <c r="B71" i="2"/>
  <c r="B72" i="2"/>
  <c r="B73" i="2"/>
  <c r="B74" i="2"/>
  <c r="B75" i="2"/>
  <c r="B76"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4" i="2"/>
  <c r="J5" i="2"/>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 i="2"/>
  <c r="H4" i="2"/>
  <c r="F4" i="2"/>
  <c r="D4" i="2"/>
  <c r="C15" i="12" l="1"/>
  <c r="G13" i="12"/>
  <c r="G15" i="12"/>
  <c r="G17" i="12"/>
  <c r="C17" i="11"/>
  <c r="G16" i="9"/>
  <c r="G14" i="11"/>
  <c r="G8" i="11"/>
  <c r="C9" i="11"/>
  <c r="C14" i="11"/>
  <c r="G14" i="10"/>
  <c r="C17" i="10"/>
  <c r="G11" i="11"/>
  <c r="C13" i="9"/>
  <c r="G14" i="9"/>
  <c r="C15" i="11"/>
  <c r="C17" i="12"/>
  <c r="G9" i="11"/>
  <c r="C14" i="9"/>
  <c r="G14" i="12"/>
  <c r="C5" i="9"/>
  <c r="G12" i="12"/>
  <c r="C13" i="12"/>
  <c r="G11" i="12"/>
  <c r="C109" i="22"/>
  <c r="D108" i="22" s="1"/>
  <c r="E108" i="22" s="1"/>
  <c r="G7" i="11"/>
  <c r="E15" i="9"/>
  <c r="G7" i="9"/>
  <c r="G8" i="9"/>
  <c r="C17" i="9"/>
  <c r="C14" i="10"/>
  <c r="G15" i="10"/>
  <c r="Q20" i="22"/>
  <c r="R18" i="22" s="1"/>
  <c r="S18" i="22" s="1"/>
  <c r="G12" i="11"/>
  <c r="G15" i="11"/>
  <c r="E13" i="12"/>
  <c r="E17" i="12"/>
  <c r="C7" i="11"/>
  <c r="C5" i="12"/>
  <c r="G7" i="12"/>
  <c r="C11" i="10"/>
  <c r="C11" i="9"/>
  <c r="G12" i="9"/>
  <c r="G15" i="9"/>
  <c r="C16" i="10"/>
  <c r="G17" i="10"/>
  <c r="G13" i="9"/>
  <c r="C16" i="9"/>
  <c r="G12" i="10"/>
  <c r="C15" i="9"/>
  <c r="C12" i="11"/>
  <c r="Q131" i="22"/>
  <c r="R118" i="22" s="1"/>
  <c r="G16" i="11"/>
  <c r="Q153" i="22"/>
  <c r="R140" i="22" s="1"/>
  <c r="C11" i="11"/>
  <c r="G11" i="9"/>
  <c r="G8" i="10"/>
  <c r="Q86" i="4"/>
  <c r="R82" i="4" s="1"/>
  <c r="S82" i="4" s="1"/>
  <c r="C12" i="10"/>
  <c r="C9" i="9"/>
  <c r="C5" i="10"/>
  <c r="G5" i="10"/>
  <c r="C8" i="10"/>
  <c r="C11" i="12"/>
  <c r="C14" i="12"/>
  <c r="G9" i="12"/>
  <c r="J153" i="22"/>
  <c r="K140" i="22" s="1"/>
  <c r="Q109" i="22"/>
  <c r="R108" i="22" s="1"/>
  <c r="S108" i="22" s="1"/>
  <c r="G17" i="11"/>
  <c r="J20" i="4"/>
  <c r="K9" i="4" s="1"/>
  <c r="L9" i="4" s="1"/>
  <c r="J131" i="22"/>
  <c r="K130" i="22" s="1"/>
  <c r="L130" i="22" s="1"/>
  <c r="Q87" i="22"/>
  <c r="C16" i="11"/>
  <c r="C9" i="10"/>
  <c r="C131" i="22"/>
  <c r="D117" i="22" s="1"/>
  <c r="X131" i="22"/>
  <c r="Y129" i="22" s="1"/>
  <c r="Z129" i="22" s="1"/>
  <c r="D107" i="22"/>
  <c r="E107" i="22" s="1"/>
  <c r="C86" i="4"/>
  <c r="D82" i="4" s="1"/>
  <c r="E82" i="4" s="1"/>
  <c r="G9" i="9"/>
  <c r="G5" i="9"/>
  <c r="G16" i="10"/>
  <c r="E15" i="12"/>
  <c r="E16" i="12"/>
  <c r="C20" i="4"/>
  <c r="D16" i="4" s="1"/>
  <c r="E16" i="4" s="1"/>
  <c r="E7" i="11"/>
  <c r="Q42" i="4"/>
  <c r="Q64" i="4"/>
  <c r="R51" i="4" s="1"/>
  <c r="C8" i="11"/>
  <c r="J109" i="22"/>
  <c r="K96" i="22" s="1"/>
  <c r="C15" i="10"/>
  <c r="G13" i="11"/>
  <c r="G7" i="10"/>
  <c r="J64" i="4"/>
  <c r="G5" i="11"/>
  <c r="J20" i="22"/>
  <c r="K18" i="22" s="1"/>
  <c r="L18" i="22" s="1"/>
  <c r="G11" i="10"/>
  <c r="J43" i="22"/>
  <c r="C20" i="22"/>
  <c r="D9" i="22" s="1"/>
  <c r="E9" i="22" s="1"/>
  <c r="C43" i="22"/>
  <c r="D37" i="22" s="1"/>
  <c r="C12" i="9"/>
  <c r="Q65" i="22"/>
  <c r="R59" i="22" s="1"/>
  <c r="C13" i="11"/>
  <c r="E11" i="9"/>
  <c r="C7" i="9"/>
  <c r="C42" i="4"/>
  <c r="G13" i="10"/>
  <c r="J87" i="22"/>
  <c r="K84" i="22" s="1"/>
  <c r="L84" i="22" s="1"/>
  <c r="C5" i="11"/>
  <c r="Q20" i="4"/>
  <c r="R19" i="4" s="1"/>
  <c r="S19" i="4" s="1"/>
  <c r="G9" i="10"/>
  <c r="J86" i="4"/>
  <c r="J65" i="22"/>
  <c r="K63" i="22" s="1"/>
  <c r="L63" i="22" s="1"/>
  <c r="C13" i="10"/>
  <c r="G17" i="9"/>
  <c r="E12" i="11"/>
  <c r="Q43" i="22"/>
  <c r="R32" i="22" s="1"/>
  <c r="S32" i="22" s="1"/>
  <c r="C64" i="4"/>
  <c r="C8" i="9"/>
  <c r="J42" i="4"/>
  <c r="K40" i="4" s="1"/>
  <c r="L40" i="4" s="1"/>
  <c r="C7" i="10"/>
  <c r="C153" i="22"/>
  <c r="D146" i="22" s="1"/>
  <c r="E13" i="9"/>
  <c r="C65" i="22"/>
  <c r="C87" i="22"/>
  <c r="X42" i="4"/>
  <c r="Y35" i="4" s="1"/>
  <c r="X20" i="4"/>
  <c r="Y17" i="4" s="1"/>
  <c r="Z17" i="4" s="1"/>
  <c r="X109" i="22"/>
  <c r="Y103" i="22" s="1"/>
  <c r="C7" i="12"/>
  <c r="G8" i="12"/>
  <c r="E9" i="12"/>
  <c r="E5" i="12"/>
  <c r="G5" i="12"/>
  <c r="E7" i="12"/>
  <c r="C8" i="12"/>
  <c r="X64" i="4"/>
  <c r="Y57" i="4" s="1"/>
  <c r="E8" i="12"/>
  <c r="X86" i="4"/>
  <c r="Y84" i="4" s="1"/>
  <c r="Z84" i="4" s="1"/>
  <c r="C9" i="12"/>
  <c r="E11" i="12"/>
  <c r="X20" i="22"/>
  <c r="Y13" i="22" s="1"/>
  <c r="G16" i="12"/>
  <c r="C12" i="12"/>
  <c r="X43" i="22"/>
  <c r="C16" i="12"/>
  <c r="X65" i="22"/>
  <c r="Y54" i="22" s="1"/>
  <c r="X87" i="22"/>
  <c r="Y81" i="22" s="1"/>
  <c r="E14" i="12"/>
  <c r="X153" i="22"/>
  <c r="Y142" i="22" s="1"/>
  <c r="E12" i="12"/>
  <c r="D96" i="22" l="1"/>
  <c r="D102" i="22"/>
  <c r="R129" i="22"/>
  <c r="S129" i="22" s="1"/>
  <c r="D98" i="22"/>
  <c r="E98" i="22" s="1"/>
  <c r="D103" i="22"/>
  <c r="D106" i="22"/>
  <c r="E106" i="22" s="1"/>
  <c r="C110" i="22"/>
  <c r="F96" i="22" s="1"/>
  <c r="D105" i="22"/>
  <c r="E105" i="22" s="1"/>
  <c r="D95" i="22"/>
  <c r="R128" i="22"/>
  <c r="S128" i="22" s="1"/>
  <c r="R117" i="22"/>
  <c r="S117" i="22" s="1"/>
  <c r="R125" i="22"/>
  <c r="R120" i="22"/>
  <c r="S120" i="22" s="1"/>
  <c r="Q132" i="22"/>
  <c r="T120" i="22" s="1"/>
  <c r="U120" i="22" s="1"/>
  <c r="BB88" i="7" s="1"/>
  <c r="R80" i="4"/>
  <c r="R75" i="4"/>
  <c r="S75" i="4" s="1"/>
  <c r="R73" i="4"/>
  <c r="R79" i="4"/>
  <c r="R107" i="22"/>
  <c r="S107" i="22" s="1"/>
  <c r="Q87" i="4"/>
  <c r="R84" i="4"/>
  <c r="S84" i="4" s="1"/>
  <c r="R152" i="22"/>
  <c r="S152" i="22" s="1"/>
  <c r="R83" i="4"/>
  <c r="S83" i="4" s="1"/>
  <c r="R127" i="22"/>
  <c r="S127" i="22" s="1"/>
  <c r="R130" i="22"/>
  <c r="S130" i="22" s="1"/>
  <c r="R124" i="22"/>
  <c r="R17" i="22"/>
  <c r="S17" i="22" s="1"/>
  <c r="R16" i="22"/>
  <c r="S16" i="22" s="1"/>
  <c r="Y125" i="22"/>
  <c r="Y128" i="22"/>
  <c r="Z128" i="22" s="1"/>
  <c r="D72" i="4"/>
  <c r="K19" i="4"/>
  <c r="L19" i="4" s="1"/>
  <c r="X132" i="22"/>
  <c r="AA125" i="22" s="1"/>
  <c r="Y122" i="22"/>
  <c r="R142" i="22"/>
  <c r="S142" i="22" s="1"/>
  <c r="K18" i="4"/>
  <c r="L18" i="4" s="1"/>
  <c r="R106" i="22"/>
  <c r="S106" i="22" s="1"/>
  <c r="R19" i="22"/>
  <c r="S19" i="22" s="1"/>
  <c r="R14" i="22"/>
  <c r="Y11" i="4"/>
  <c r="Y14" i="4"/>
  <c r="Y6" i="4"/>
  <c r="R103" i="22"/>
  <c r="Q21" i="22"/>
  <c r="T14" i="22" s="1"/>
  <c r="R64" i="22"/>
  <c r="S64" i="22" s="1"/>
  <c r="R13" i="22"/>
  <c r="R105" i="22"/>
  <c r="S105" i="22" s="1"/>
  <c r="R6" i="22"/>
  <c r="R9" i="22"/>
  <c r="S9" i="22" s="1"/>
  <c r="Y10" i="4"/>
  <c r="Y16" i="4"/>
  <c r="Z16" i="4" s="1"/>
  <c r="R150" i="22"/>
  <c r="S150" i="22" s="1"/>
  <c r="R7" i="22"/>
  <c r="K149" i="22"/>
  <c r="L149" i="22" s="1"/>
  <c r="R40" i="22"/>
  <c r="S40" i="22" s="1"/>
  <c r="R139" i="22"/>
  <c r="S139" i="22" s="1"/>
  <c r="J21" i="4"/>
  <c r="M6" i="4" s="1"/>
  <c r="D151" i="22"/>
  <c r="E151" i="22" s="1"/>
  <c r="R149" i="22"/>
  <c r="S149" i="22" s="1"/>
  <c r="D124" i="22"/>
  <c r="Q154" i="22"/>
  <c r="T139" i="22" s="1"/>
  <c r="R146" i="22"/>
  <c r="K13" i="4"/>
  <c r="Y41" i="4"/>
  <c r="Z41" i="4" s="1"/>
  <c r="R151" i="22"/>
  <c r="S151" i="22" s="1"/>
  <c r="R147" i="22"/>
  <c r="K14" i="4"/>
  <c r="R72" i="4"/>
  <c r="R85" i="4"/>
  <c r="S85" i="4" s="1"/>
  <c r="Y9" i="4"/>
  <c r="Y124" i="22"/>
  <c r="X21" i="4"/>
  <c r="AA9" i="4" s="1"/>
  <c r="Y130" i="22"/>
  <c r="Z130" i="22" s="1"/>
  <c r="Y55" i="4"/>
  <c r="Y19" i="4"/>
  <c r="Z19" i="4" s="1"/>
  <c r="Y18" i="4"/>
  <c r="Z18" i="4" s="1"/>
  <c r="Y13" i="4"/>
  <c r="Y102" i="22"/>
  <c r="Z102" i="22" s="1"/>
  <c r="Y76" i="22"/>
  <c r="Y38" i="4"/>
  <c r="Z38" i="4" s="1"/>
  <c r="Y18" i="22"/>
  <c r="Z18" i="22" s="1"/>
  <c r="Y73" i="4"/>
  <c r="Y39" i="4"/>
  <c r="Z39" i="4" s="1"/>
  <c r="Y31" i="4"/>
  <c r="J154" i="22"/>
  <c r="K150" i="22"/>
  <c r="L150" i="22" s="1"/>
  <c r="K147" i="22"/>
  <c r="Y33" i="4"/>
  <c r="Y29" i="4"/>
  <c r="R58" i="4"/>
  <c r="Y40" i="4"/>
  <c r="Z40" i="4" s="1"/>
  <c r="K6" i="4"/>
  <c r="K146" i="22"/>
  <c r="Y127" i="22"/>
  <c r="Z127" i="22" s="1"/>
  <c r="Y118" i="22"/>
  <c r="Y121" i="22"/>
  <c r="Y120" i="22"/>
  <c r="X43" i="4"/>
  <c r="AA31" i="4" s="1"/>
  <c r="K151" i="22"/>
  <c r="L151" i="22" s="1"/>
  <c r="D42" i="22"/>
  <c r="E42" i="22" s="1"/>
  <c r="Y36" i="4"/>
  <c r="Z35" i="4" s="1"/>
  <c r="Y32" i="4"/>
  <c r="K7" i="4"/>
  <c r="K139" i="22"/>
  <c r="L139" i="22" s="1"/>
  <c r="D30" i="22"/>
  <c r="D75" i="4"/>
  <c r="E75" i="4" s="1"/>
  <c r="D84" i="4"/>
  <c r="E84" i="4" s="1"/>
  <c r="D83" i="4"/>
  <c r="E83" i="4" s="1"/>
  <c r="D79" i="4"/>
  <c r="D80" i="4"/>
  <c r="C87" i="4"/>
  <c r="D73" i="4"/>
  <c r="D85" i="4"/>
  <c r="E85" i="4" s="1"/>
  <c r="Q88" i="22"/>
  <c r="R73" i="22"/>
  <c r="R84" i="22"/>
  <c r="S84" i="22" s="1"/>
  <c r="R81" i="22"/>
  <c r="R74" i="22"/>
  <c r="R83" i="22"/>
  <c r="S83" i="22" s="1"/>
  <c r="R86" i="22"/>
  <c r="S86" i="22" s="1"/>
  <c r="R76" i="22"/>
  <c r="S76" i="22" s="1"/>
  <c r="R85" i="22"/>
  <c r="S85" i="22" s="1"/>
  <c r="Y117" i="22"/>
  <c r="Y28" i="4"/>
  <c r="Y85" i="4"/>
  <c r="Z85" i="4" s="1"/>
  <c r="Y79" i="4"/>
  <c r="R6" i="4"/>
  <c r="K16" i="4"/>
  <c r="L16" i="4" s="1"/>
  <c r="K17" i="4"/>
  <c r="L17" i="4" s="1"/>
  <c r="K142" i="22"/>
  <c r="L142" i="22" s="1"/>
  <c r="K152" i="22"/>
  <c r="L152" i="22" s="1"/>
  <c r="D118" i="22"/>
  <c r="E117" i="22" s="1"/>
  <c r="D128" i="22"/>
  <c r="E128" i="22" s="1"/>
  <c r="D120" i="22"/>
  <c r="E120" i="22" s="1"/>
  <c r="D127" i="22"/>
  <c r="E127" i="22" s="1"/>
  <c r="C132" i="22"/>
  <c r="D130" i="22"/>
  <c r="E130" i="22" s="1"/>
  <c r="D129" i="22"/>
  <c r="E129" i="22" s="1"/>
  <c r="D125" i="22"/>
  <c r="K128" i="22"/>
  <c r="L128" i="22" s="1"/>
  <c r="K129" i="22"/>
  <c r="L129" i="22" s="1"/>
  <c r="K127" i="22"/>
  <c r="L127" i="22" s="1"/>
  <c r="K125" i="22"/>
  <c r="K118" i="22"/>
  <c r="K117" i="22"/>
  <c r="K120" i="22"/>
  <c r="L120" i="22" s="1"/>
  <c r="J132" i="22"/>
  <c r="K124" i="22"/>
  <c r="R96" i="22"/>
  <c r="R102" i="22"/>
  <c r="R95" i="22"/>
  <c r="R98" i="22"/>
  <c r="S98" i="22" s="1"/>
  <c r="Q110" i="22"/>
  <c r="R80" i="22"/>
  <c r="Y108" i="22"/>
  <c r="Z108" i="22" s="1"/>
  <c r="Y105" i="22"/>
  <c r="Z105" i="22" s="1"/>
  <c r="Y99" i="22"/>
  <c r="Y106" i="22"/>
  <c r="Z106" i="22" s="1"/>
  <c r="C65" i="4"/>
  <c r="D62" i="4"/>
  <c r="E62" i="4" s="1"/>
  <c r="D50" i="4"/>
  <c r="D60" i="4"/>
  <c r="E60" i="4" s="1"/>
  <c r="D51" i="4"/>
  <c r="D57" i="4"/>
  <c r="D61" i="4"/>
  <c r="E61" i="4" s="1"/>
  <c r="D53" i="4"/>
  <c r="E53" i="4" s="1"/>
  <c r="D63" i="4"/>
  <c r="E63" i="4" s="1"/>
  <c r="K86" i="22"/>
  <c r="L86" i="22" s="1"/>
  <c r="K83" i="22"/>
  <c r="L83" i="22" s="1"/>
  <c r="K73" i="22"/>
  <c r="K80" i="22"/>
  <c r="K85" i="22"/>
  <c r="L85" i="22" s="1"/>
  <c r="K81" i="22"/>
  <c r="J88" i="22"/>
  <c r="K74" i="22"/>
  <c r="Y100" i="22"/>
  <c r="Y80" i="4"/>
  <c r="D51" i="22"/>
  <c r="D64" i="22"/>
  <c r="E64" i="22" s="1"/>
  <c r="D52" i="22"/>
  <c r="D58" i="22"/>
  <c r="D61" i="22"/>
  <c r="E61" i="22" s="1"/>
  <c r="D59" i="22"/>
  <c r="D54" i="22"/>
  <c r="E54" i="22" s="1"/>
  <c r="D62" i="22"/>
  <c r="E62" i="22" s="1"/>
  <c r="C66" i="22"/>
  <c r="D63" i="22"/>
  <c r="E63" i="22" s="1"/>
  <c r="C154" i="22"/>
  <c r="D139" i="22"/>
  <c r="D147" i="22"/>
  <c r="E146" i="22" s="1"/>
  <c r="D152" i="22"/>
  <c r="E152" i="22" s="1"/>
  <c r="D142" i="22"/>
  <c r="E142" i="22" s="1"/>
  <c r="D149" i="22"/>
  <c r="E149" i="22" s="1"/>
  <c r="D150" i="22"/>
  <c r="E150" i="22" s="1"/>
  <c r="D140" i="22"/>
  <c r="K84" i="4"/>
  <c r="L84" i="4" s="1"/>
  <c r="K73" i="4"/>
  <c r="K79" i="4"/>
  <c r="K75" i="4"/>
  <c r="L75" i="4" s="1"/>
  <c r="K82" i="4"/>
  <c r="L82" i="4" s="1"/>
  <c r="K83" i="4"/>
  <c r="L83" i="4" s="1"/>
  <c r="K72" i="4"/>
  <c r="J87" i="4"/>
  <c r="K80" i="4"/>
  <c r="R9" i="4"/>
  <c r="S9" i="4" s="1"/>
  <c r="R13" i="4"/>
  <c r="R18" i="4"/>
  <c r="S18" i="4" s="1"/>
  <c r="R7" i="4"/>
  <c r="R17" i="4"/>
  <c r="S17" i="4" s="1"/>
  <c r="R16" i="4"/>
  <c r="S16" i="4" s="1"/>
  <c r="Q21" i="4"/>
  <c r="R14" i="4"/>
  <c r="D29" i="4"/>
  <c r="D41" i="4"/>
  <c r="E41" i="4" s="1"/>
  <c r="C43" i="4"/>
  <c r="D38" i="4"/>
  <c r="E38" i="4" s="1"/>
  <c r="D40" i="4"/>
  <c r="E40" i="4" s="1"/>
  <c r="D36" i="4"/>
  <c r="D31" i="4"/>
  <c r="E31" i="4" s="1"/>
  <c r="D39" i="4"/>
  <c r="E39" i="4" s="1"/>
  <c r="D35" i="4"/>
  <c r="R63" i="22"/>
  <c r="S63" i="22" s="1"/>
  <c r="R54" i="22"/>
  <c r="S54" i="22" s="1"/>
  <c r="Q66" i="22"/>
  <c r="R61" i="22"/>
  <c r="S61" i="22" s="1"/>
  <c r="R58" i="22"/>
  <c r="S58" i="22" s="1"/>
  <c r="R62" i="22"/>
  <c r="S62" i="22" s="1"/>
  <c r="R51" i="22"/>
  <c r="K9" i="22"/>
  <c r="L9" i="22" s="1"/>
  <c r="J21" i="22"/>
  <c r="K7" i="22"/>
  <c r="K14" i="22"/>
  <c r="K6" i="22"/>
  <c r="K16" i="22"/>
  <c r="L16" i="22" s="1"/>
  <c r="K17" i="22"/>
  <c r="L17" i="22" s="1"/>
  <c r="K13" i="22"/>
  <c r="K19" i="22"/>
  <c r="L19" i="22" s="1"/>
  <c r="K53" i="4"/>
  <c r="L53" i="4" s="1"/>
  <c r="K51" i="4"/>
  <c r="K62" i="4"/>
  <c r="L62" i="4" s="1"/>
  <c r="K50" i="4"/>
  <c r="K57" i="4"/>
  <c r="K63" i="4"/>
  <c r="L63" i="4" s="1"/>
  <c r="K58" i="4"/>
  <c r="K61" i="4"/>
  <c r="L61" i="4" s="1"/>
  <c r="J65" i="4"/>
  <c r="K52" i="22"/>
  <c r="K54" i="22"/>
  <c r="L54" i="22" s="1"/>
  <c r="K59" i="22"/>
  <c r="J66" i="22"/>
  <c r="K62" i="22"/>
  <c r="L62" i="22" s="1"/>
  <c r="K64" i="22"/>
  <c r="L64" i="22" s="1"/>
  <c r="K61" i="22"/>
  <c r="L61" i="22" s="1"/>
  <c r="K36" i="22"/>
  <c r="K29" i="22"/>
  <c r="K40" i="22"/>
  <c r="L40" i="22" s="1"/>
  <c r="K42" i="22"/>
  <c r="L42" i="22" s="1"/>
  <c r="K32" i="22"/>
  <c r="L32" i="22" s="1"/>
  <c r="K41" i="22"/>
  <c r="L41" i="22" s="1"/>
  <c r="J44" i="22"/>
  <c r="K37" i="22"/>
  <c r="K30" i="22"/>
  <c r="R29" i="4"/>
  <c r="R35" i="4"/>
  <c r="R40" i="4"/>
  <c r="S40" i="4" s="1"/>
  <c r="R41" i="4"/>
  <c r="S41" i="4" s="1"/>
  <c r="Q43" i="4"/>
  <c r="R38" i="4"/>
  <c r="S38" i="4" s="1"/>
  <c r="R28" i="4"/>
  <c r="R36" i="4"/>
  <c r="X110" i="22"/>
  <c r="AA98" i="22" s="1"/>
  <c r="Y95" i="22"/>
  <c r="D80" i="22"/>
  <c r="C88" i="22"/>
  <c r="D83" i="22"/>
  <c r="E83" i="22" s="1"/>
  <c r="D81" i="22"/>
  <c r="D74" i="22"/>
  <c r="D73" i="22"/>
  <c r="D76" i="22"/>
  <c r="E76" i="22" s="1"/>
  <c r="D84" i="22"/>
  <c r="E84" i="22" s="1"/>
  <c r="D85" i="22"/>
  <c r="E85" i="22" s="1"/>
  <c r="D86" i="22"/>
  <c r="E86" i="22" s="1"/>
  <c r="K41" i="4"/>
  <c r="L41" i="4" s="1"/>
  <c r="K38" i="4"/>
  <c r="L38" i="4" s="1"/>
  <c r="K31" i="4"/>
  <c r="L31" i="4" s="1"/>
  <c r="J43" i="4"/>
  <c r="K36" i="4"/>
  <c r="K29" i="4"/>
  <c r="K35" i="4"/>
  <c r="K39" i="4"/>
  <c r="L39" i="4" s="1"/>
  <c r="R29" i="22"/>
  <c r="R41" i="22"/>
  <c r="S41" i="22" s="1"/>
  <c r="R39" i="22"/>
  <c r="S39" i="22" s="1"/>
  <c r="R36" i="22"/>
  <c r="Q44" i="22"/>
  <c r="R30" i="22"/>
  <c r="R42" i="22"/>
  <c r="S42" i="22" s="1"/>
  <c r="R37" i="22"/>
  <c r="K76" i="22"/>
  <c r="L76" i="22" s="1"/>
  <c r="R31" i="4"/>
  <c r="S31" i="4" s="1"/>
  <c r="D6" i="22"/>
  <c r="D16" i="22"/>
  <c r="E16" i="22" s="1"/>
  <c r="D19" i="22"/>
  <c r="E19" i="22" s="1"/>
  <c r="D18" i="22"/>
  <c r="E18" i="22" s="1"/>
  <c r="D7" i="22"/>
  <c r="C21" i="22"/>
  <c r="D13" i="22"/>
  <c r="D14" i="22"/>
  <c r="D17" i="22"/>
  <c r="E17" i="22" s="1"/>
  <c r="Y107" i="22"/>
  <c r="Z107" i="22" s="1"/>
  <c r="Y98" i="22"/>
  <c r="Y96" i="22"/>
  <c r="Y7" i="4"/>
  <c r="K28" i="4"/>
  <c r="D58" i="4"/>
  <c r="K51" i="22"/>
  <c r="K58" i="22"/>
  <c r="D28" i="4"/>
  <c r="R52" i="22"/>
  <c r="D32" i="22"/>
  <c r="E32" i="22" s="1"/>
  <c r="D40" i="22"/>
  <c r="E40" i="22" s="1"/>
  <c r="D41" i="22"/>
  <c r="E41" i="22" s="1"/>
  <c r="C44" i="22"/>
  <c r="D29" i="22"/>
  <c r="D36" i="22"/>
  <c r="E36" i="22" s="1"/>
  <c r="D39" i="22"/>
  <c r="E39" i="22" s="1"/>
  <c r="K39" i="22"/>
  <c r="L39" i="22" s="1"/>
  <c r="K85" i="4"/>
  <c r="L85" i="4" s="1"/>
  <c r="K60" i="4"/>
  <c r="L60" i="4" s="1"/>
  <c r="K102" i="22"/>
  <c r="K107" i="22"/>
  <c r="L107" i="22" s="1"/>
  <c r="K95" i="22"/>
  <c r="L95" i="22" s="1"/>
  <c r="K98" i="22"/>
  <c r="L98" i="22" s="1"/>
  <c r="K105" i="22"/>
  <c r="L105" i="22" s="1"/>
  <c r="K103" i="22"/>
  <c r="K106" i="22"/>
  <c r="L106" i="22" s="1"/>
  <c r="J110" i="22"/>
  <c r="K108" i="22"/>
  <c r="L108" i="22" s="1"/>
  <c r="R50" i="4"/>
  <c r="S50" i="4" s="1"/>
  <c r="R60" i="4"/>
  <c r="S60" i="4" s="1"/>
  <c r="R57" i="4"/>
  <c r="R61" i="4"/>
  <c r="S61" i="4" s="1"/>
  <c r="R63" i="4"/>
  <c r="S63" i="4" s="1"/>
  <c r="Q65" i="4"/>
  <c r="R62" i="4"/>
  <c r="S62" i="4" s="1"/>
  <c r="R53" i="4"/>
  <c r="S53" i="4" s="1"/>
  <c r="D18" i="4"/>
  <c r="E18" i="4" s="1"/>
  <c r="C21" i="4"/>
  <c r="D14" i="4"/>
  <c r="D9" i="4"/>
  <c r="E9" i="4" s="1"/>
  <c r="D17" i="4"/>
  <c r="E17" i="4" s="1"/>
  <c r="D6" i="4"/>
  <c r="D19" i="4"/>
  <c r="E19" i="4" s="1"/>
  <c r="D7" i="4"/>
  <c r="D13" i="4"/>
  <c r="R39" i="4"/>
  <c r="S39" i="4" s="1"/>
  <c r="Y85" i="22"/>
  <c r="Z85" i="22" s="1"/>
  <c r="Y83" i="22"/>
  <c r="Z83" i="22" s="1"/>
  <c r="Y77" i="22"/>
  <c r="Y78" i="22"/>
  <c r="Y84" i="22"/>
  <c r="Z84" i="22" s="1"/>
  <c r="Y74" i="22"/>
  <c r="Y80" i="22"/>
  <c r="Z80" i="22" s="1"/>
  <c r="X88" i="22"/>
  <c r="Y73" i="22"/>
  <c r="Y41" i="22"/>
  <c r="Z41" i="22" s="1"/>
  <c r="Y29" i="22"/>
  <c r="Y37" i="22"/>
  <c r="Y33" i="22"/>
  <c r="Y42" i="22"/>
  <c r="Z42" i="22" s="1"/>
  <c r="Y40" i="22"/>
  <c r="Z40" i="22" s="1"/>
  <c r="Y34" i="22"/>
  <c r="X44" i="22"/>
  <c r="Y30" i="22"/>
  <c r="Y32" i="22"/>
  <c r="Y36" i="22"/>
  <c r="Y143" i="22"/>
  <c r="Y149" i="22"/>
  <c r="Z149" i="22" s="1"/>
  <c r="Y146" i="22"/>
  <c r="Y139" i="22"/>
  <c r="X154" i="22"/>
  <c r="Y147" i="22"/>
  <c r="Y151" i="22"/>
  <c r="Z151" i="22" s="1"/>
  <c r="Y152" i="22"/>
  <c r="Z152" i="22" s="1"/>
  <c r="Y144" i="22"/>
  <c r="Y140" i="22"/>
  <c r="Y61" i="22"/>
  <c r="Z61" i="22" s="1"/>
  <c r="Y51" i="22"/>
  <c r="Y59" i="22"/>
  <c r="Y64" i="22"/>
  <c r="Z64" i="22" s="1"/>
  <c r="Y56" i="22"/>
  <c r="Y63" i="22"/>
  <c r="Z63" i="22" s="1"/>
  <c r="X66" i="22"/>
  <c r="Y58" i="22"/>
  <c r="Y52" i="22"/>
  <c r="Y55" i="22"/>
  <c r="Y17" i="22"/>
  <c r="Z17" i="22" s="1"/>
  <c r="Y11" i="22"/>
  <c r="Y16" i="22"/>
  <c r="Z16" i="22" s="1"/>
  <c r="Y10" i="22"/>
  <c r="Y6" i="22"/>
  <c r="Y7" i="22"/>
  <c r="X21" i="22"/>
  <c r="Y77" i="4"/>
  <c r="Y82" i="4"/>
  <c r="Z82" i="4" s="1"/>
  <c r="X87" i="4"/>
  <c r="Y83" i="4"/>
  <c r="Z83" i="4" s="1"/>
  <c r="Y72" i="4"/>
  <c r="Y76" i="4"/>
  <c r="Y60" i="4"/>
  <c r="Z60" i="4" s="1"/>
  <c r="Y54" i="4"/>
  <c r="Y63" i="4"/>
  <c r="Z63" i="4" s="1"/>
  <c r="Y58" i="4"/>
  <c r="Z57" i="4" s="1"/>
  <c r="Y50" i="4"/>
  <c r="Y62" i="4"/>
  <c r="Z62" i="4" s="1"/>
  <c r="X65" i="4"/>
  <c r="Y53" i="4"/>
  <c r="Y75" i="4"/>
  <c r="Y19" i="22"/>
  <c r="Z19" i="22" s="1"/>
  <c r="Y62" i="22"/>
  <c r="Z62" i="22" s="1"/>
  <c r="Y150" i="22"/>
  <c r="Z150" i="22" s="1"/>
  <c r="Y86" i="22"/>
  <c r="Z86" i="22" s="1"/>
  <c r="Y9" i="22"/>
  <c r="Y61" i="4"/>
  <c r="Z61" i="4" s="1"/>
  <c r="Y51" i="4"/>
  <c r="Y14" i="22"/>
  <c r="Z13" i="22" s="1"/>
  <c r="Y39" i="22"/>
  <c r="Z39" i="22" s="1"/>
  <c r="L13" i="22" l="1"/>
  <c r="E95" i="22"/>
  <c r="E102" i="22"/>
  <c r="T117" i="22"/>
  <c r="Z36" i="22"/>
  <c r="L13" i="4"/>
  <c r="F102" i="22"/>
  <c r="F95" i="22"/>
  <c r="G95" i="22" s="1"/>
  <c r="D15" i="9" s="1"/>
  <c r="F98" i="22"/>
  <c r="G98" i="22" s="1"/>
  <c r="AZ72" i="7" s="1"/>
  <c r="F103" i="22"/>
  <c r="S124" i="22"/>
  <c r="T7" i="22"/>
  <c r="S72" i="4"/>
  <c r="S79" i="4"/>
  <c r="T125" i="22"/>
  <c r="T118" i="22"/>
  <c r="F16" i="11"/>
  <c r="S146" i="22"/>
  <c r="T124" i="22"/>
  <c r="S80" i="22"/>
  <c r="Z117" i="22"/>
  <c r="S6" i="4"/>
  <c r="T72" i="4"/>
  <c r="T75" i="4"/>
  <c r="U75" i="4" s="1"/>
  <c r="T80" i="4"/>
  <c r="M14" i="4"/>
  <c r="T142" i="22"/>
  <c r="U142" i="22" s="1"/>
  <c r="BB104" i="7" s="1"/>
  <c r="T79" i="4"/>
  <c r="Z6" i="4"/>
  <c r="T73" i="4"/>
  <c r="AA14" i="4"/>
  <c r="Z124" i="22"/>
  <c r="AA122" i="22"/>
  <c r="AA117" i="22"/>
  <c r="AA11" i="4"/>
  <c r="Z9" i="4"/>
  <c r="AA124" i="22"/>
  <c r="AB124" i="22" s="1"/>
  <c r="BC89" i="7" s="1"/>
  <c r="Z13" i="4"/>
  <c r="AA121" i="22"/>
  <c r="L6" i="4"/>
  <c r="AA118" i="22"/>
  <c r="AA120" i="22"/>
  <c r="S13" i="22"/>
  <c r="S102" i="22"/>
  <c r="Z31" i="4"/>
  <c r="E72" i="4"/>
  <c r="T9" i="22"/>
  <c r="U9" i="22" s="1"/>
  <c r="BB8" i="7" s="1"/>
  <c r="T6" i="22"/>
  <c r="E139" i="22"/>
  <c r="E58" i="22"/>
  <c r="S6" i="22"/>
  <c r="T13" i="22"/>
  <c r="U13" i="22" s="1"/>
  <c r="BB9" i="7" s="1"/>
  <c r="L124" i="22"/>
  <c r="S73" i="22"/>
  <c r="AA10" i="4"/>
  <c r="AA6" i="4"/>
  <c r="M13" i="4"/>
  <c r="T146" i="22"/>
  <c r="AA13" i="4"/>
  <c r="M9" i="4"/>
  <c r="N9" i="4" s="1"/>
  <c r="BA8" i="5" s="1"/>
  <c r="M7" i="4"/>
  <c r="N6" i="4" s="1"/>
  <c r="L28" i="4"/>
  <c r="T140" i="22"/>
  <c r="U139" i="22" s="1"/>
  <c r="S95" i="22"/>
  <c r="E124" i="22"/>
  <c r="T147" i="22"/>
  <c r="AA7" i="4"/>
  <c r="L36" i="22"/>
  <c r="Z120" i="22"/>
  <c r="Z29" i="22"/>
  <c r="AA96" i="22"/>
  <c r="AA99" i="22"/>
  <c r="Z72" i="4"/>
  <c r="Z54" i="22"/>
  <c r="Z51" i="22"/>
  <c r="Z79" i="4"/>
  <c r="F120" i="22"/>
  <c r="G120" i="22" s="1"/>
  <c r="F125" i="22"/>
  <c r="F118" i="22"/>
  <c r="F124" i="22"/>
  <c r="F117" i="22"/>
  <c r="AA28" i="4"/>
  <c r="AA33" i="4"/>
  <c r="AA32" i="4"/>
  <c r="AA36" i="4"/>
  <c r="S57" i="4"/>
  <c r="M118" i="22"/>
  <c r="M120" i="22"/>
  <c r="N120" i="22" s="1"/>
  <c r="M124" i="22"/>
  <c r="M117" i="22"/>
  <c r="M125" i="22"/>
  <c r="F75" i="4"/>
  <c r="G75" i="4" s="1"/>
  <c r="F80" i="4"/>
  <c r="F79" i="4"/>
  <c r="F73" i="4"/>
  <c r="F72" i="4"/>
  <c r="L146" i="22"/>
  <c r="AA29" i="4"/>
  <c r="AA95" i="22"/>
  <c r="AA103" i="22"/>
  <c r="E29" i="22"/>
  <c r="T74" i="22"/>
  <c r="T73" i="22"/>
  <c r="T76" i="22"/>
  <c r="U76" i="22" s="1"/>
  <c r="T81" i="22"/>
  <c r="T80" i="22"/>
  <c r="M139" i="22"/>
  <c r="M142" i="22"/>
  <c r="N142" i="22" s="1"/>
  <c r="M140" i="22"/>
  <c r="M146" i="22"/>
  <c r="M147" i="22"/>
  <c r="AA35" i="4"/>
  <c r="Z53" i="4"/>
  <c r="AA102" i="22"/>
  <c r="AA100" i="22"/>
  <c r="E13" i="4"/>
  <c r="L58" i="22"/>
  <c r="E6" i="22"/>
  <c r="S29" i="22"/>
  <c r="L35" i="4"/>
  <c r="E80" i="22"/>
  <c r="L29" i="22"/>
  <c r="L50" i="4"/>
  <c r="L6" i="22"/>
  <c r="E35" i="4"/>
  <c r="E51" i="22"/>
  <c r="L73" i="22"/>
  <c r="T103" i="22"/>
  <c r="T95" i="22"/>
  <c r="T102" i="22"/>
  <c r="T98" i="22"/>
  <c r="U98" i="22" s="1"/>
  <c r="T96" i="22"/>
  <c r="L117" i="22"/>
  <c r="Z28" i="4"/>
  <c r="E79" i="4"/>
  <c r="F29" i="22"/>
  <c r="F36" i="22"/>
  <c r="F32" i="22"/>
  <c r="G32" i="22" s="1"/>
  <c r="F30" i="22"/>
  <c r="F37" i="22"/>
  <c r="T35" i="4"/>
  <c r="T28" i="4"/>
  <c r="T36" i="4"/>
  <c r="T31" i="4"/>
  <c r="U31" i="4" s="1"/>
  <c r="T29" i="4"/>
  <c r="M81" i="22"/>
  <c r="M74" i="22"/>
  <c r="M73" i="22"/>
  <c r="M80" i="22"/>
  <c r="M76" i="22"/>
  <c r="N76" i="22" s="1"/>
  <c r="E57" i="4"/>
  <c r="Z32" i="22"/>
  <c r="Z95" i="22"/>
  <c r="S51" i="22"/>
  <c r="Z139" i="22"/>
  <c r="Z76" i="22"/>
  <c r="M98" i="22"/>
  <c r="N98" i="22" s="1"/>
  <c r="M103" i="22"/>
  <c r="M95" i="22"/>
  <c r="M102" i="22"/>
  <c r="M96" i="22"/>
  <c r="L51" i="22"/>
  <c r="Z98" i="22"/>
  <c r="E13" i="22"/>
  <c r="S28" i="4"/>
  <c r="M54" i="22"/>
  <c r="N54" i="22" s="1"/>
  <c r="M59" i="22"/>
  <c r="M52" i="22"/>
  <c r="M58" i="22"/>
  <c r="M51" i="22"/>
  <c r="F36" i="4"/>
  <c r="F35" i="4"/>
  <c r="F29" i="4"/>
  <c r="F31" i="4"/>
  <c r="G31" i="4" s="1"/>
  <c r="F28" i="4"/>
  <c r="T7" i="4"/>
  <c r="T9" i="4"/>
  <c r="U9" i="4" s="1"/>
  <c r="T13" i="4"/>
  <c r="T6" i="4"/>
  <c r="T14" i="4"/>
  <c r="M79" i="4"/>
  <c r="M73" i="4"/>
  <c r="M72" i="4"/>
  <c r="M75" i="4"/>
  <c r="N75" i="4" s="1"/>
  <c r="M80" i="4"/>
  <c r="F147" i="22"/>
  <c r="F139" i="22"/>
  <c r="F140" i="22"/>
  <c r="F142" i="22"/>
  <c r="G142" i="22" s="1"/>
  <c r="F146" i="22"/>
  <c r="G146" i="22" s="1"/>
  <c r="T30" i="22"/>
  <c r="T36" i="22"/>
  <c r="T37" i="22"/>
  <c r="T29" i="22"/>
  <c r="T32" i="22"/>
  <c r="U32" i="22" s="1"/>
  <c r="F51" i="22"/>
  <c r="F54" i="22"/>
  <c r="G54" i="22" s="1"/>
  <c r="F59" i="22"/>
  <c r="F52" i="22"/>
  <c r="F58" i="22"/>
  <c r="Z6" i="22"/>
  <c r="Z142" i="22"/>
  <c r="L102" i="22"/>
  <c r="S36" i="22"/>
  <c r="T51" i="22"/>
  <c r="T54" i="22"/>
  <c r="U54" i="22" s="1"/>
  <c r="T58" i="22"/>
  <c r="T59" i="22"/>
  <c r="T52" i="22"/>
  <c r="F50" i="4"/>
  <c r="F51" i="4"/>
  <c r="F53" i="4"/>
  <c r="G53" i="4" s="1"/>
  <c r="F58" i="4"/>
  <c r="F57" i="4"/>
  <c r="Z146" i="22"/>
  <c r="E6" i="4"/>
  <c r="F9" i="4"/>
  <c r="G9" i="4" s="1"/>
  <c r="F14" i="4"/>
  <c r="F6" i="4"/>
  <c r="F7" i="4"/>
  <c r="F13" i="4"/>
  <c r="T53" i="4"/>
  <c r="U53" i="4" s="1"/>
  <c r="T50" i="4"/>
  <c r="T58" i="4"/>
  <c r="T57" i="4"/>
  <c r="T51" i="4"/>
  <c r="E28" i="4"/>
  <c r="F6" i="22"/>
  <c r="F7" i="22"/>
  <c r="F14" i="22"/>
  <c r="F13" i="22"/>
  <c r="F9" i="22"/>
  <c r="G9" i="22" s="1"/>
  <c r="M36" i="4"/>
  <c r="M28" i="4"/>
  <c r="M29" i="4"/>
  <c r="M31" i="4"/>
  <c r="N31" i="4" s="1"/>
  <c r="M35" i="4"/>
  <c r="E73" i="22"/>
  <c r="F81" i="22"/>
  <c r="F73" i="22"/>
  <c r="F74" i="22"/>
  <c r="F76" i="22"/>
  <c r="G76" i="22" s="1"/>
  <c r="F80" i="22"/>
  <c r="S35" i="4"/>
  <c r="M32" i="22"/>
  <c r="N32" i="22" s="1"/>
  <c r="M37" i="22"/>
  <c r="M36" i="22"/>
  <c r="M30" i="22"/>
  <c r="M29" i="22"/>
  <c r="M50" i="4"/>
  <c r="M51" i="4"/>
  <c r="M57" i="4"/>
  <c r="M53" i="4"/>
  <c r="N53" i="4" s="1"/>
  <c r="M58" i="4"/>
  <c r="L57" i="4"/>
  <c r="M14" i="22"/>
  <c r="M6" i="22"/>
  <c r="M7" i="22"/>
  <c r="M9" i="22"/>
  <c r="N9" i="22" s="1"/>
  <c r="M13" i="22"/>
  <c r="S13" i="4"/>
  <c r="L72" i="4"/>
  <c r="L79" i="4"/>
  <c r="L80" i="22"/>
  <c r="E50" i="4"/>
  <c r="AA56" i="22"/>
  <c r="AA55" i="22"/>
  <c r="AA52" i="22"/>
  <c r="AA51" i="22"/>
  <c r="AA54" i="22"/>
  <c r="AA58" i="22"/>
  <c r="AA59" i="22"/>
  <c r="AA143" i="22"/>
  <c r="AA147" i="22"/>
  <c r="AA146" i="22"/>
  <c r="AA144" i="22"/>
  <c r="AA139" i="22"/>
  <c r="AA140" i="22"/>
  <c r="AA142" i="22"/>
  <c r="AA78" i="22"/>
  <c r="AA80" i="22"/>
  <c r="AA74" i="22"/>
  <c r="AA77" i="22"/>
  <c r="AA73" i="22"/>
  <c r="AA76" i="22"/>
  <c r="AA81" i="22"/>
  <c r="AA58" i="4"/>
  <c r="AA54" i="4"/>
  <c r="AA53" i="4"/>
  <c r="AA57" i="4"/>
  <c r="AA50" i="4"/>
  <c r="AA55" i="4"/>
  <c r="AA51" i="4"/>
  <c r="AA10" i="22"/>
  <c r="AA7" i="22"/>
  <c r="AA6" i="22"/>
  <c r="AA14" i="22"/>
  <c r="AA11" i="22"/>
  <c r="AA13" i="22"/>
  <c r="AA9" i="22"/>
  <c r="AA34" i="22"/>
  <c r="AA33" i="22"/>
  <c r="AA36" i="22"/>
  <c r="AA37" i="22"/>
  <c r="AA29" i="22"/>
  <c r="AA30" i="22"/>
  <c r="AA32" i="22"/>
  <c r="Z9" i="22"/>
  <c r="Z75" i="4"/>
  <c r="Z50" i="4"/>
  <c r="AA76" i="4"/>
  <c r="AA77" i="4"/>
  <c r="AA72" i="4"/>
  <c r="AA75" i="4"/>
  <c r="AA73" i="4"/>
  <c r="AA79" i="4"/>
  <c r="AA80" i="4"/>
  <c r="Z58" i="22"/>
  <c r="Z73" i="22"/>
  <c r="U6" i="22" l="1"/>
  <c r="U117" i="22"/>
  <c r="D16" i="11" s="1"/>
  <c r="G102" i="22"/>
  <c r="AZ73" i="7" s="1"/>
  <c r="G80" i="22"/>
  <c r="H14" i="9" s="1"/>
  <c r="U124" i="22"/>
  <c r="H16" i="11" s="1"/>
  <c r="N35" i="4"/>
  <c r="H7" i="10" s="1"/>
  <c r="F15" i="9"/>
  <c r="F5" i="10"/>
  <c r="N13" i="22"/>
  <c r="H11" i="10" s="1"/>
  <c r="AZ71" i="7"/>
  <c r="AB102" i="22"/>
  <c r="BC73" i="7" s="1"/>
  <c r="F17" i="11"/>
  <c r="N13" i="4"/>
  <c r="H5" i="10" s="1"/>
  <c r="U80" i="22"/>
  <c r="BB57" i="7" s="1"/>
  <c r="G72" i="4"/>
  <c r="AZ55" i="5" s="1"/>
  <c r="AB117" i="22"/>
  <c r="D16" i="12" s="1"/>
  <c r="AB98" i="22"/>
  <c r="F15" i="12" s="1"/>
  <c r="AB13" i="4"/>
  <c r="H5" i="12" s="1"/>
  <c r="AB9" i="4"/>
  <c r="F5" i="12" s="1"/>
  <c r="AB120" i="22"/>
  <c r="BC88" i="7" s="1"/>
  <c r="U72" i="4"/>
  <c r="U79" i="4"/>
  <c r="BB57" i="5" s="1"/>
  <c r="AB6" i="4"/>
  <c r="D5" i="12" s="1"/>
  <c r="F9" i="11"/>
  <c r="BB56" i="5"/>
  <c r="H16" i="12"/>
  <c r="D17" i="11"/>
  <c r="BB103" i="7"/>
  <c r="AB95" i="22"/>
  <c r="D15" i="12" s="1"/>
  <c r="U146" i="22"/>
  <c r="BB105" i="7" s="1"/>
  <c r="F11" i="11"/>
  <c r="AB28" i="4"/>
  <c r="BC23" i="5" s="1"/>
  <c r="N29" i="22"/>
  <c r="BA23" i="7" s="1"/>
  <c r="U57" i="4"/>
  <c r="BB41" i="5" s="1"/>
  <c r="U95" i="22"/>
  <c r="BB71" i="7" s="1"/>
  <c r="N139" i="22"/>
  <c r="D17" i="10" s="1"/>
  <c r="U28" i="4"/>
  <c r="BB23" i="5" s="1"/>
  <c r="H11" i="11"/>
  <c r="G57" i="4"/>
  <c r="AZ41" i="5" s="1"/>
  <c r="G51" i="22"/>
  <c r="D13" i="9" s="1"/>
  <c r="N72" i="4"/>
  <c r="BA55" i="5" s="1"/>
  <c r="G28" i="4"/>
  <c r="D7" i="9" s="1"/>
  <c r="N51" i="22"/>
  <c r="D13" i="10" s="1"/>
  <c r="N95" i="22"/>
  <c r="BA71" i="7" s="1"/>
  <c r="N73" i="22"/>
  <c r="BA55" i="7" s="1"/>
  <c r="G117" i="22"/>
  <c r="AZ87" i="7" s="1"/>
  <c r="AB146" i="22"/>
  <c r="H17" i="12" s="1"/>
  <c r="AB31" i="4"/>
  <c r="BC24" i="5" s="1"/>
  <c r="AB54" i="22"/>
  <c r="BC40" i="7" s="1"/>
  <c r="AB53" i="4"/>
  <c r="F8" i="12" s="1"/>
  <c r="AB35" i="4"/>
  <c r="H7" i="12" s="1"/>
  <c r="BA104" i="7"/>
  <c r="F17" i="10"/>
  <c r="BA88" i="7"/>
  <c r="F16" i="10"/>
  <c r="G58" i="22"/>
  <c r="AZ41" i="7" s="1"/>
  <c r="BA9" i="5"/>
  <c r="U13" i="4"/>
  <c r="BB9" i="5" s="1"/>
  <c r="N58" i="22"/>
  <c r="H13" i="10" s="1"/>
  <c r="BB72" i="7"/>
  <c r="F15" i="11"/>
  <c r="N146" i="22"/>
  <c r="F14" i="11"/>
  <c r="BB56" i="7"/>
  <c r="N117" i="22"/>
  <c r="F16" i="9"/>
  <c r="AZ88" i="7"/>
  <c r="F9" i="9"/>
  <c r="AZ56" i="5"/>
  <c r="G13" i="4"/>
  <c r="AZ9" i="5" s="1"/>
  <c r="U58" i="22"/>
  <c r="H13" i="11" s="1"/>
  <c r="U6" i="4"/>
  <c r="BB7" i="5" s="1"/>
  <c r="N80" i="22"/>
  <c r="H14" i="10" s="1"/>
  <c r="AB51" i="22"/>
  <c r="BC39" i="7" s="1"/>
  <c r="N36" i="22"/>
  <c r="BA25" i="7" s="1"/>
  <c r="G13" i="22"/>
  <c r="AZ9" i="7" s="1"/>
  <c r="U50" i="4"/>
  <c r="BB39" i="5" s="1"/>
  <c r="G36" i="22"/>
  <c r="AZ25" i="7" s="1"/>
  <c r="U102" i="22"/>
  <c r="U73" i="22"/>
  <c r="G79" i="4"/>
  <c r="N124" i="22"/>
  <c r="G124" i="22"/>
  <c r="AZ40" i="7"/>
  <c r="F13" i="9"/>
  <c r="F13" i="10"/>
  <c r="BA40" i="7"/>
  <c r="N50" i="4"/>
  <c r="BA24" i="5"/>
  <c r="F7" i="10"/>
  <c r="F11" i="9"/>
  <c r="AZ8" i="7"/>
  <c r="F13" i="11"/>
  <c r="BB40" i="7"/>
  <c r="BA7" i="5"/>
  <c r="D5" i="10"/>
  <c r="AB50" i="4"/>
  <c r="D8" i="12" s="1"/>
  <c r="AB139" i="22"/>
  <c r="BC103" i="7" s="1"/>
  <c r="N6" i="22"/>
  <c r="F8" i="10"/>
  <c r="BA40" i="5"/>
  <c r="G6" i="4"/>
  <c r="U51" i="22"/>
  <c r="G139" i="22"/>
  <c r="N79" i="4"/>
  <c r="BB8" i="5"/>
  <c r="F5" i="11"/>
  <c r="BA72" i="7"/>
  <c r="F15" i="10"/>
  <c r="U35" i="4"/>
  <c r="F11" i="10"/>
  <c r="BA8" i="7"/>
  <c r="BA24" i="7"/>
  <c r="F12" i="10"/>
  <c r="AZ8" i="5"/>
  <c r="F5" i="9"/>
  <c r="F12" i="11"/>
  <c r="BB24" i="7"/>
  <c r="F17" i="9"/>
  <c r="AZ104" i="7"/>
  <c r="G73" i="22"/>
  <c r="G6" i="22"/>
  <c r="G50" i="4"/>
  <c r="U29" i="22"/>
  <c r="AZ24" i="5"/>
  <c r="F7" i="9"/>
  <c r="D11" i="11"/>
  <c r="BB7" i="7"/>
  <c r="F12" i="9"/>
  <c r="AZ24" i="7"/>
  <c r="AB32" i="22"/>
  <c r="F12" i="12" s="1"/>
  <c r="AB9" i="22"/>
  <c r="BC8" i="7" s="1"/>
  <c r="AB6" i="22"/>
  <c r="D11" i="12" s="1"/>
  <c r="N57" i="4"/>
  <c r="AZ56" i="7"/>
  <c r="F14" i="9"/>
  <c r="N28" i="4"/>
  <c r="BB40" i="5"/>
  <c r="F8" i="11"/>
  <c r="AZ40" i="5"/>
  <c r="F8" i="9"/>
  <c r="U36" i="22"/>
  <c r="H17" i="9"/>
  <c r="AZ105" i="7"/>
  <c r="F9" i="10"/>
  <c r="BA56" i="5"/>
  <c r="G35" i="4"/>
  <c r="N102" i="22"/>
  <c r="BA56" i="7"/>
  <c r="F14" i="10"/>
  <c r="BB24" i="5"/>
  <c r="F7" i="11"/>
  <c r="G29" i="22"/>
  <c r="AB36" i="22"/>
  <c r="AB57" i="4"/>
  <c r="AB72" i="4"/>
  <c r="AB13" i="22"/>
  <c r="AB76" i="22"/>
  <c r="AB80" i="22"/>
  <c r="AB142" i="22"/>
  <c r="AB58" i="22"/>
  <c r="AB75" i="4"/>
  <c r="AB79" i="4"/>
  <c r="AB29" i="22"/>
  <c r="AB73" i="22"/>
  <c r="AZ57" i="7" l="1"/>
  <c r="BB87" i="7"/>
  <c r="H15" i="9"/>
  <c r="BB89" i="7"/>
  <c r="BA25" i="5"/>
  <c r="H15" i="12"/>
  <c r="BA9" i="7"/>
  <c r="D8" i="11"/>
  <c r="D7" i="11"/>
  <c r="D12" i="10"/>
  <c r="H8" i="9"/>
  <c r="D15" i="10"/>
  <c r="BA39" i="7"/>
  <c r="H14" i="11"/>
  <c r="BC72" i="7"/>
  <c r="H8" i="11"/>
  <c r="H9" i="11"/>
  <c r="D9" i="9"/>
  <c r="H17" i="11"/>
  <c r="BC87" i="7"/>
  <c r="BC9" i="5"/>
  <c r="BC105" i="7"/>
  <c r="F16" i="12"/>
  <c r="BC40" i="5"/>
  <c r="BC8" i="5"/>
  <c r="BC7" i="5"/>
  <c r="BC71" i="7"/>
  <c r="AZ23" i="5"/>
  <c r="D9" i="11"/>
  <c r="BB55" i="5"/>
  <c r="BA103" i="7"/>
  <c r="D16" i="9"/>
  <c r="D15" i="11"/>
  <c r="BA57" i="7"/>
  <c r="D17" i="12"/>
  <c r="F7" i="12"/>
  <c r="AZ39" i="7"/>
  <c r="D7" i="12"/>
  <c r="D14" i="10"/>
  <c r="D9" i="10"/>
  <c r="BC39" i="5"/>
  <c r="H12" i="9"/>
  <c r="H13" i="9"/>
  <c r="H12" i="10"/>
  <c r="H5" i="9"/>
  <c r="D5" i="11"/>
  <c r="BB41" i="7"/>
  <c r="H5" i="11"/>
  <c r="D13" i="12"/>
  <c r="F13" i="12"/>
  <c r="F11" i="12"/>
  <c r="BC25" i="5"/>
  <c r="BC24" i="7"/>
  <c r="BC7" i="7"/>
  <c r="AZ57" i="5"/>
  <c r="H9" i="9"/>
  <c r="BA41" i="7"/>
  <c r="D14" i="11"/>
  <c r="BB55" i="7"/>
  <c r="BA105" i="7"/>
  <c r="H17" i="10"/>
  <c r="H11" i="9"/>
  <c r="AZ89" i="7"/>
  <c r="H16" i="9"/>
  <c r="H15" i="11"/>
  <c r="BB73" i="7"/>
  <c r="BA87" i="7"/>
  <c r="D16" i="10"/>
  <c r="H16" i="10"/>
  <c r="BA89" i="7"/>
  <c r="D12" i="9"/>
  <c r="AZ23" i="7"/>
  <c r="AZ55" i="7"/>
  <c r="D14" i="9"/>
  <c r="BB39" i="7"/>
  <c r="D13" i="11"/>
  <c r="BA39" i="5"/>
  <c r="D8" i="10"/>
  <c r="H7" i="9"/>
  <c r="AZ25" i="5"/>
  <c r="D8" i="9"/>
  <c r="AZ39" i="5"/>
  <c r="H9" i="10"/>
  <c r="BA57" i="5"/>
  <c r="BA23" i="5"/>
  <c r="D7" i="10"/>
  <c r="BA7" i="7"/>
  <c r="D11" i="10"/>
  <c r="BA73" i="7"/>
  <c r="H15" i="10"/>
  <c r="H7" i="11"/>
  <c r="BB25" i="5"/>
  <c r="AZ7" i="5"/>
  <c r="D5" i="9"/>
  <c r="BB25" i="7"/>
  <c r="H12" i="11"/>
  <c r="H8" i="10"/>
  <c r="BA41" i="5"/>
  <c r="BB23" i="7"/>
  <c r="D12" i="11"/>
  <c r="AZ7" i="7"/>
  <c r="D11" i="9"/>
  <c r="D17" i="9"/>
  <c r="AZ103" i="7"/>
  <c r="BC55" i="7"/>
  <c r="D14" i="12"/>
  <c r="BC104" i="7"/>
  <c r="F17" i="12"/>
  <c r="H8" i="12"/>
  <c r="BC41" i="5"/>
  <c r="D12" i="12"/>
  <c r="BC23" i="7"/>
  <c r="H9" i="12"/>
  <c r="BC57" i="5"/>
  <c r="BC57" i="7"/>
  <c r="H14" i="12"/>
  <c r="BC9" i="7"/>
  <c r="H11" i="12"/>
  <c r="H13" i="12"/>
  <c r="BC41" i="7"/>
  <c r="F9" i="12"/>
  <c r="BC56" i="5"/>
  <c r="BC56" i="7"/>
  <c r="F14" i="12"/>
  <c r="BC55" i="5"/>
  <c r="D9" i="12"/>
  <c r="BC25" i="7"/>
  <c r="H12" i="12"/>
</calcChain>
</file>

<file path=xl/comments1.xml><?xml version="1.0" encoding="utf-8"?>
<comments xmlns="http://schemas.openxmlformats.org/spreadsheetml/2006/main">
  <authors>
    <author>james.abbott</author>
  </authors>
  <commentList>
    <comment ref="F2" authorId="0" shapeId="0">
      <text>
        <r>
          <rPr>
            <b/>
            <sz val="9"/>
            <color indexed="81"/>
            <rFont val="Tahoma"/>
            <family val="2"/>
          </rPr>
          <t>james.abbott:</t>
        </r>
        <r>
          <rPr>
            <sz val="9"/>
            <color indexed="81"/>
            <rFont val="Tahoma"/>
            <family val="2"/>
          </rPr>
          <t xml:space="preserve">
SHOWS ALL PERFORMANCE INDICATORS</t>
        </r>
      </text>
    </comment>
    <comment ref="G2" authorId="0" shapeId="0">
      <text>
        <r>
          <rPr>
            <b/>
            <sz val="9"/>
            <color indexed="81"/>
            <rFont val="Tahoma"/>
            <family val="2"/>
          </rPr>
          <t>james.abbott:</t>
        </r>
        <r>
          <rPr>
            <sz val="9"/>
            <color indexed="81"/>
            <rFont val="Tahoma"/>
            <family val="2"/>
          </rPr>
          <t xml:space="preserve">
JUMP TO VALUE FOR MONEY PERFORMANCE INDICATORS</t>
        </r>
      </text>
    </comment>
    <comment ref="H2" authorId="0" shapeId="0">
      <text>
        <r>
          <rPr>
            <b/>
            <sz val="9"/>
            <color indexed="81"/>
            <rFont val="Tahoma"/>
            <family val="2"/>
          </rPr>
          <t>james.abbott:</t>
        </r>
        <r>
          <rPr>
            <sz val="9"/>
            <color indexed="81"/>
            <rFont val="Tahoma"/>
            <family val="2"/>
          </rPr>
          <t xml:space="preserve">
JUMP TO PROMOTING LOCAL ECONOMIC GROWTH PERFORMANCE INDICATORS</t>
        </r>
      </text>
    </comment>
    <comment ref="I2" authorId="0" shapeId="0">
      <text>
        <r>
          <rPr>
            <b/>
            <sz val="9"/>
            <color indexed="81"/>
            <rFont val="Tahoma"/>
            <family val="2"/>
          </rPr>
          <t>james.abbott:</t>
        </r>
        <r>
          <rPr>
            <sz val="9"/>
            <color indexed="81"/>
            <rFont val="Tahoma"/>
            <family val="2"/>
          </rPr>
          <t xml:space="preserve">
JUMP TO PROTECTING AND STRENGTHENING COMMUNITIES PERFORMANCE INDICATORS</t>
        </r>
      </text>
    </comment>
    <comment ref="F3" authorId="0" shapeId="0">
      <text>
        <r>
          <rPr>
            <b/>
            <sz val="9"/>
            <color indexed="81"/>
            <rFont val="Tahoma"/>
            <family val="2"/>
          </rPr>
          <t>james.abbott:</t>
        </r>
        <r>
          <rPr>
            <sz val="9"/>
            <color indexed="81"/>
            <rFont val="Tahoma"/>
            <family val="2"/>
          </rPr>
          <t xml:space="preserve">
SHOWS SUMMARY OF ALL PERCENTAGES AS AT THE END OF QUARTER 1</t>
        </r>
      </text>
    </comment>
    <comment ref="G3" authorId="0" shapeId="0">
      <text>
        <r>
          <rPr>
            <b/>
            <sz val="9"/>
            <color indexed="81"/>
            <rFont val="Tahoma"/>
            <family val="2"/>
          </rPr>
          <t>james.abbott:</t>
        </r>
        <r>
          <rPr>
            <sz val="9"/>
            <color indexed="81"/>
            <rFont val="Tahoma"/>
            <family val="2"/>
          </rPr>
          <t xml:space="preserve">
SHOWS SUMMARY OF ALL PERCENTAGES AS AT THE END OF QUARTER 2</t>
        </r>
      </text>
    </comment>
    <comment ref="H3" authorId="0" shapeId="0">
      <text>
        <r>
          <rPr>
            <b/>
            <sz val="9"/>
            <color indexed="81"/>
            <rFont val="Tahoma"/>
            <family val="2"/>
          </rPr>
          <t>james.abbott:</t>
        </r>
        <r>
          <rPr>
            <sz val="9"/>
            <color indexed="81"/>
            <rFont val="Tahoma"/>
            <family val="2"/>
          </rPr>
          <t xml:space="preserve">
SHOWS SUMMARY OF ALL PERCENTAGES AS AT THE END OF QUARTER 3</t>
        </r>
      </text>
    </comment>
    <comment ref="I3" authorId="0" shapeId="0">
      <text>
        <r>
          <rPr>
            <b/>
            <sz val="9"/>
            <color indexed="81"/>
            <rFont val="Tahoma"/>
            <family val="2"/>
          </rPr>
          <t>james.abbott:</t>
        </r>
        <r>
          <rPr>
            <sz val="9"/>
            <color indexed="81"/>
            <rFont val="Tahoma"/>
            <family val="2"/>
          </rPr>
          <t xml:space="preserve">
SHOWS SUMMARY OF ALL PERCENTAGES AT THE END OF THE 2011/12 FINANCIAL YEAR</t>
        </r>
      </text>
    </comment>
    <comment ref="F4" authorId="0" shapeId="0">
      <text>
        <r>
          <rPr>
            <b/>
            <sz val="9"/>
            <color indexed="81"/>
            <rFont val="Tahoma"/>
            <family val="2"/>
          </rPr>
          <t>james.abbott:</t>
        </r>
        <r>
          <rPr>
            <sz val="9"/>
            <color indexed="81"/>
            <rFont val="Tahoma"/>
            <family val="2"/>
          </rPr>
          <t xml:space="preserve">
</t>
        </r>
        <r>
          <rPr>
            <sz val="10"/>
            <color indexed="81"/>
            <rFont val="Arial"/>
            <family val="2"/>
          </rPr>
          <t>VIEW CHANGES IN R/A/G STATUS BY QUARTER FOR ALL PERFORMANCE INDICATORS</t>
        </r>
      </text>
    </comment>
  </commentList>
</comments>
</file>

<file path=xl/sharedStrings.xml><?xml version="1.0" encoding="utf-8"?>
<sst xmlns="http://schemas.openxmlformats.org/spreadsheetml/2006/main" count="3586" uniqueCount="933">
  <si>
    <t>Measures</t>
  </si>
  <si>
    <t>Not yet due to be reported</t>
  </si>
  <si>
    <t>CP Ref</t>
  </si>
  <si>
    <t>Priority</t>
  </si>
  <si>
    <t>Service</t>
  </si>
  <si>
    <t>Regulatory Services</t>
  </si>
  <si>
    <t>Quarter 1 On track? (R/A/G)</t>
  </si>
  <si>
    <t>Quarter 2 On track? (R/A/G)</t>
  </si>
  <si>
    <t>Quarter 3 On track? (R/A/G)</t>
  </si>
  <si>
    <t>Direction of Travel From Q1 to Q2</t>
  </si>
  <si>
    <t>Direction of Travel From Q2 to Q3</t>
  </si>
  <si>
    <t>Direction of Travel From Q3 to Q4</t>
  </si>
  <si>
    <t>Quarter 4 Achieved? (R/A/G)</t>
  </si>
  <si>
    <t>QUARTER ONE</t>
  </si>
  <si>
    <t>QUARTER TWO</t>
  </si>
  <si>
    <t>QUARTER THREE</t>
  </si>
  <si>
    <t>QUARTER FOUR</t>
  </si>
  <si>
    <t>ALL TARGETS</t>
  </si>
  <si>
    <t>% of all indicators</t>
  </si>
  <si>
    <t>Green</t>
  </si>
  <si>
    <t>Amber</t>
  </si>
  <si>
    <t>Red</t>
  </si>
  <si>
    <t>Deferred</t>
  </si>
  <si>
    <t>Status</t>
  </si>
  <si>
    <t>Number of measures</t>
  </si>
  <si>
    <t>Percentage</t>
  </si>
  <si>
    <t>In Danger of Falling Behind Target</t>
  </si>
  <si>
    <t>Off Target</t>
  </si>
  <si>
    <t>Deleted</t>
  </si>
  <si>
    <t>% of due indicators</t>
  </si>
  <si>
    <t>Totals</t>
  </si>
  <si>
    <t>Due to be Reported</t>
  </si>
  <si>
    <t>Charts by Corporate Priority</t>
  </si>
  <si>
    <t>OVERALL PERFORMANCE</t>
  </si>
  <si>
    <t>Q1</t>
  </si>
  <si>
    <t>Q2</t>
  </si>
  <si>
    <t>Q3</t>
  </si>
  <si>
    <t>Q4</t>
  </si>
  <si>
    <t>REGULATORY SERVICES</t>
  </si>
  <si>
    <t>Charts by Portfolio</t>
  </si>
  <si>
    <t>Fully Achieved</t>
  </si>
  <si>
    <t>On Track to be Achieved</t>
  </si>
  <si>
    <t>Completed Behind Schedule</t>
  </si>
  <si>
    <t>Not yet due</t>
  </si>
  <si>
    <t>Update not Provided</t>
  </si>
  <si>
    <t>Target Fully Achieved</t>
  </si>
  <si>
    <t>Update not provided</t>
  </si>
  <si>
    <t>n/a</t>
  </si>
  <si>
    <t>Total % of all indicators</t>
  </si>
  <si>
    <t>Total % of due indicators</t>
  </si>
  <si>
    <t>ALL DATA</t>
  </si>
  <si>
    <t>STATUS TRACKING</t>
  </si>
  <si>
    <t>PERCENTAGE TABLES BY PRIORITY</t>
  </si>
  <si>
    <t>ALL  TARGETS</t>
  </si>
  <si>
    <t>QUARTER 1</t>
  </si>
  <si>
    <t>QUARTER 2</t>
  </si>
  <si>
    <t>QUARTER 3</t>
  </si>
  <si>
    <t>QUARTER 4</t>
  </si>
  <si>
    <t>CHARTS BY PRIORITY</t>
  </si>
  <si>
    <t>PERCENTAGE TABLES BY PORTFOLIO</t>
  </si>
  <si>
    <t>CHARTS BY PORTFOLIO</t>
  </si>
  <si>
    <t>View quarterly R/A/G percentages or charts for each priority / portfolio.</t>
  </si>
  <si>
    <t>Back to index</t>
  </si>
  <si>
    <t>Number of Indicators</t>
  </si>
  <si>
    <t>Overall Performance</t>
  </si>
  <si>
    <t>All due targets</t>
  </si>
  <si>
    <t>Corporate Priority</t>
  </si>
  <si>
    <t>Portfolio</t>
  </si>
  <si>
    <t>Q1 SUMMARY</t>
  </si>
  <si>
    <t>Q2 SUMMARY</t>
  </si>
  <si>
    <t>Q3 SUMMARY</t>
  </si>
  <si>
    <t>Q4 SUMMARY</t>
  </si>
  <si>
    <t>View data for all performance indicators, including performance updates and R/A/G statuses</t>
  </si>
  <si>
    <t>View changes in R/A/G statuses from quarter to quarter for individual performance indicators</t>
  </si>
  <si>
    <t>End of Year Achieved? (R/A/G)</t>
  </si>
  <si>
    <t>Click here to return to index page</t>
  </si>
  <si>
    <t>LEADER OF THE COUNCIL</t>
  </si>
  <si>
    <t>Leader of the Council</t>
  </si>
  <si>
    <t>View "at a glance" summaries of R/A/G percentages for all priorities and portfolios by quarter</t>
  </si>
  <si>
    <t>Numerical Outturn Within 5% Tolerance</t>
  </si>
  <si>
    <t>Numerical Outturn Within 10% Tolerance</t>
  </si>
  <si>
    <t>Target Partially Met</t>
  </si>
  <si>
    <t>Completed Significantly After Target Deadline</t>
  </si>
  <si>
    <t>Completion Date Within Reasonable Tolerance</t>
  </si>
  <si>
    <t>Quarter 1 On Track? (R/A/G)</t>
  </si>
  <si>
    <t>Cultural Services</t>
  </si>
  <si>
    <t>Deadline</t>
  </si>
  <si>
    <t>Team</t>
  </si>
  <si>
    <t>CULTURAL SERVICES</t>
  </si>
  <si>
    <t>CP order</t>
  </si>
  <si>
    <t>Environment</t>
  </si>
  <si>
    <t>Enterprise</t>
  </si>
  <si>
    <t>Planning</t>
  </si>
  <si>
    <t>Paul Farrer</t>
  </si>
  <si>
    <t>Sarah Richardson</t>
  </si>
  <si>
    <t>Chris Ebberley</t>
  </si>
  <si>
    <t>Lisa Turner</t>
  </si>
  <si>
    <t>Nathan Gallagher</t>
  </si>
  <si>
    <t>Guy Thornhill</t>
  </si>
  <si>
    <t>Reporting Officer</t>
  </si>
  <si>
    <t>Linda McDonald</t>
  </si>
  <si>
    <t>APPROVED</t>
  </si>
  <si>
    <t>AWAITING APPROVAL</t>
  </si>
  <si>
    <t>VFM01</t>
  </si>
  <si>
    <t>VFM02</t>
  </si>
  <si>
    <t>VFM03</t>
  </si>
  <si>
    <t>VFM04</t>
  </si>
  <si>
    <t>VFM05</t>
  </si>
  <si>
    <t>VFM06</t>
  </si>
  <si>
    <t>VFM07</t>
  </si>
  <si>
    <t>VFM08</t>
  </si>
  <si>
    <t>VFM09</t>
  </si>
  <si>
    <t>VFM10</t>
  </si>
  <si>
    <t>VFM11</t>
  </si>
  <si>
    <t>VFM12</t>
  </si>
  <si>
    <t>VFM13</t>
  </si>
  <si>
    <t>VFM14</t>
  </si>
  <si>
    <t>VFM15</t>
  </si>
  <si>
    <t>VFM16</t>
  </si>
  <si>
    <t>VFM17</t>
  </si>
  <si>
    <t>VFM18</t>
  </si>
  <si>
    <t>VFM19</t>
  </si>
  <si>
    <t>VFM20</t>
  </si>
  <si>
    <t>VFM21</t>
  </si>
  <si>
    <t>VFM22</t>
  </si>
  <si>
    <t>VFM23</t>
  </si>
  <si>
    <t>VFM24</t>
  </si>
  <si>
    <t>VFM25</t>
  </si>
  <si>
    <t>VFM26</t>
  </si>
  <si>
    <t>VFM27</t>
  </si>
  <si>
    <t>VFM28</t>
  </si>
  <si>
    <t>VFM29</t>
  </si>
  <si>
    <t>VFM30</t>
  </si>
  <si>
    <t>VFM31</t>
  </si>
  <si>
    <t>VFM32</t>
  </si>
  <si>
    <t>VFM33</t>
  </si>
  <si>
    <t>VFM34</t>
  </si>
  <si>
    <t>VFM35</t>
  </si>
  <si>
    <t>VFM36</t>
  </si>
  <si>
    <t>VFM37</t>
  </si>
  <si>
    <t>VFM38</t>
  </si>
  <si>
    <t>VFM39</t>
  </si>
  <si>
    <t>VFM40</t>
  </si>
  <si>
    <t>VFM41</t>
  </si>
  <si>
    <t>VFM42</t>
  </si>
  <si>
    <t>VFM43</t>
  </si>
  <si>
    <t>VFM44</t>
  </si>
  <si>
    <t>VFM45</t>
  </si>
  <si>
    <t>VFM46</t>
  </si>
  <si>
    <t>VFM47</t>
  </si>
  <si>
    <t>VFM48</t>
  </si>
  <si>
    <t>VFM49</t>
  </si>
  <si>
    <t>VFM50</t>
  </si>
  <si>
    <t>PSC01</t>
  </si>
  <si>
    <t>PSC02</t>
  </si>
  <si>
    <t>PSC03</t>
  </si>
  <si>
    <t>PSC04</t>
  </si>
  <si>
    <t>PSC05</t>
  </si>
  <si>
    <t>PSC06</t>
  </si>
  <si>
    <t>PSC07</t>
  </si>
  <si>
    <t>PSC08</t>
  </si>
  <si>
    <t>PSC09</t>
  </si>
  <si>
    <t>PSC10</t>
  </si>
  <si>
    <t>PSC11</t>
  </si>
  <si>
    <t>PSC12</t>
  </si>
  <si>
    <t>PSC13</t>
  </si>
  <si>
    <t>PSC14</t>
  </si>
  <si>
    <t>PSC15</t>
  </si>
  <si>
    <t>PSC16</t>
  </si>
  <si>
    <t>PSC17</t>
  </si>
  <si>
    <t>PSC18</t>
  </si>
  <si>
    <t>PSC19</t>
  </si>
  <si>
    <t>PSC20</t>
  </si>
  <si>
    <t>PSC21</t>
  </si>
  <si>
    <t>PSC22</t>
  </si>
  <si>
    <t>PSC23</t>
  </si>
  <si>
    <t>PSC24</t>
  </si>
  <si>
    <t>PSC25</t>
  </si>
  <si>
    <t>PSC26</t>
  </si>
  <si>
    <t>PSC27</t>
  </si>
  <si>
    <t>PSC28</t>
  </si>
  <si>
    <t>PSC29</t>
  </si>
  <si>
    <t>PSC30</t>
  </si>
  <si>
    <t>PSC31</t>
  </si>
  <si>
    <t>PSC32</t>
  </si>
  <si>
    <t>PSC33</t>
  </si>
  <si>
    <t>PSC34</t>
  </si>
  <si>
    <t>PSC35</t>
  </si>
  <si>
    <t>VFM51</t>
  </si>
  <si>
    <t>Value for Money Council Services</t>
  </si>
  <si>
    <t>Promoting Local Economic Growth</t>
  </si>
  <si>
    <t>Protecting and Strengthening Communities</t>
  </si>
  <si>
    <t>PLEG01</t>
  </si>
  <si>
    <t>PLEG02</t>
  </si>
  <si>
    <t>PLEG03</t>
  </si>
  <si>
    <t>PLEG04</t>
  </si>
  <si>
    <t>PLEG05</t>
  </si>
  <si>
    <t>PLEG06</t>
  </si>
  <si>
    <t>PLEG07</t>
  </si>
  <si>
    <t>PLEG08</t>
  </si>
  <si>
    <t>PLEG09</t>
  </si>
  <si>
    <t>PLEG10</t>
  </si>
  <si>
    <t>PLEG13</t>
  </si>
  <si>
    <t>PLEG14</t>
  </si>
  <si>
    <t>Value for Money Council Services - Protecting Your Money</t>
  </si>
  <si>
    <t>PLEG11</t>
  </si>
  <si>
    <t>PLEG12</t>
  </si>
  <si>
    <t>Ref</t>
  </si>
  <si>
    <t>VFM</t>
  </si>
  <si>
    <t>PLEG</t>
  </si>
  <si>
    <t>PSC</t>
  </si>
  <si>
    <t>VALUE FOR MONEY COUNCIL SERVICES</t>
  </si>
  <si>
    <t>PROMOTING LOCAL ECONOMIC GROWTH</t>
  </si>
  <si>
    <t>PROTECTING AND STRENGTHENING COMMUNITIES</t>
  </si>
  <si>
    <t>Quarter 1</t>
  </si>
  <si>
    <t>Quarter 2</t>
  </si>
  <si>
    <t>Quarter 3</t>
  </si>
  <si>
    <t>Quarter 4</t>
  </si>
  <si>
    <t>End of year forecast as at end of Q2
(NUMERICAL INDICATORS ONLY)</t>
  </si>
  <si>
    <t>Comments / Further action (Q2)
(IF APPLICABLE)</t>
  </si>
  <si>
    <t>ê</t>
  </si>
  <si>
    <t>é</t>
  </si>
  <si>
    <t>è</t>
  </si>
  <si>
    <t>Please note that all charts shown below can be amended to be displayed in alternative styles. Please right click on the relevant chart, select "change chart type" and choose your preferred chart option.</t>
  </si>
  <si>
    <t xml:space="preserve">Please click on the filter icon displayed in the header of each column to sort and / or filter the data by your preferred option(s). </t>
  </si>
  <si>
    <t>(blank)</t>
  </si>
  <si>
    <t>Grand Total</t>
  </si>
  <si>
    <t>Row Labels</t>
  </si>
  <si>
    <t xml:space="preserve">The PivotTable below can be used to create a customised count with your preferred information. Please click on the example PivotTable provided below, then drag and drop items from the "PivotTable Field List" (displayed on the upper right hand side of the screen), into or out of the appropriate area(s) at the lower right hand side of the screen. Further assistance on the use of PivotTables can be see by clicking on the help icon           in the toolbar above.  </t>
  </si>
  <si>
    <t>Create customised PivotTable Data Counts</t>
  </si>
  <si>
    <t>End of year forecast as at end of Q3
(NUMERICAL INDICATORS ONLY)</t>
  </si>
  <si>
    <t>Brett Atkinson</t>
  </si>
  <si>
    <t>Rachel Liddle</t>
  </si>
  <si>
    <t>1.5 missed bins per 10,000 collections</t>
  </si>
  <si>
    <t xml:space="preserve">Monitor Local Plan Performance </t>
  </si>
  <si>
    <t>Comments / Further action (Q1)
(IF APPLICABLE)</t>
  </si>
  <si>
    <t>Comments / Further action (Q3)
(IF APPLICABLE)</t>
  </si>
  <si>
    <t>Comments / Further action (Q4)
(IF APPLICABLE)</t>
  </si>
  <si>
    <t>ENTERPRISE</t>
  </si>
  <si>
    <t>ENVIRONMENT</t>
  </si>
  <si>
    <t>PLANNING</t>
  </si>
  <si>
    <t>Quarter 2 
(July - Sept 2017)</t>
  </si>
  <si>
    <t>Quarter 4 
(Jan - March 2018)</t>
  </si>
  <si>
    <t>Continuing to Improve the Value for Money of Council Services</t>
  </si>
  <si>
    <t>Increasing Staffing Availability Through Reduced Sickness</t>
  </si>
  <si>
    <t>VFM52</t>
  </si>
  <si>
    <t>VFM53</t>
  </si>
  <si>
    <t>VFM54</t>
  </si>
  <si>
    <t>VFM55</t>
  </si>
  <si>
    <t>VFM56</t>
  </si>
  <si>
    <t>VFM57</t>
  </si>
  <si>
    <t>VFM58</t>
  </si>
  <si>
    <t>Major Planning Applications Determined Within 13 Weeks</t>
  </si>
  <si>
    <t>Minor Planning Applications Determined Within 8 Weeks</t>
  </si>
  <si>
    <t>Deliver Supplementary Planning Documents</t>
  </si>
  <si>
    <t xml:space="preserve">To Carry Out Necessary Work With Reference to the Transfer of the Local Land Charges Register to the Land Registry </t>
  </si>
  <si>
    <t>Community Sport and Health Development Initiatives</t>
  </si>
  <si>
    <t>PSC36</t>
  </si>
  <si>
    <t>Thomas Deery</t>
  </si>
  <si>
    <t>End of year forecast as at end of Q1
(NUMERICAL INDICATORS ONLY)</t>
  </si>
  <si>
    <t>Simon Humble</t>
  </si>
  <si>
    <t>Andrea Smith</t>
  </si>
  <si>
    <t>Owen Hurcombe</t>
  </si>
  <si>
    <t>Anna Miller</t>
  </si>
  <si>
    <t>Angela Wakefield</t>
  </si>
  <si>
    <t>HOUSING AND HOMELESSNESS</t>
  </si>
  <si>
    <t>REGENERATION</t>
  </si>
  <si>
    <t>Regeneration</t>
  </si>
  <si>
    <t>Housing and Homelessness</t>
  </si>
  <si>
    <t>(All)</t>
  </si>
  <si>
    <t>Count of End of Year Achieved? (R/A/G)</t>
  </si>
  <si>
    <t>Set Budget for 2019/20</t>
  </si>
  <si>
    <t>Set Budget for Council Approval
(February 2019)</t>
  </si>
  <si>
    <t>Statement of Accounts</t>
  </si>
  <si>
    <t>Responding to Significant Local Government Finance Changes and Assessing the Impact on the Council’s Financial Position</t>
  </si>
  <si>
    <t xml:space="preserve">Improve Finance Awareness with Members  </t>
  </si>
  <si>
    <t>Providing a Secure Virtual Working Environment and Raising Awareness with Elected Members</t>
  </si>
  <si>
    <t>Short Term Sickness Days Average: 2.95 days</t>
  </si>
  <si>
    <t>Continuing to Meet Public Sector Equality Duties</t>
  </si>
  <si>
    <t>Improve On The Average Time To Pay Creditors</t>
  </si>
  <si>
    <t>Average Time to Pay Creditors: 
13 days</t>
  </si>
  <si>
    <t xml:space="preserve">Legal and Assets </t>
  </si>
  <si>
    <t>Leisure and Cultural Service Delivery Review</t>
  </si>
  <si>
    <t xml:space="preserve">Improve Awareness of ESBC Venues and Initiatives </t>
  </si>
  <si>
    <t>Improve Awareness of ESBC Venues and Initiatives</t>
  </si>
  <si>
    <t>Attend a Minimum of 4 “Outreach” Days (1 Per Quarter) to Raise the Profile of the Council’s Services</t>
  </si>
  <si>
    <t xml:space="preserve">Improvements to the Brewhouse Facilities </t>
  </si>
  <si>
    <t>Improve Efficiency in Repairs, Maintenance and Adaptation Works Procurement</t>
  </si>
  <si>
    <t>Maintaining a Strong Building Consultancy Service</t>
  </si>
  <si>
    <t>Ensuring Site Inspections are Undertaken Within 1 Day of Notification:
95%</t>
  </si>
  <si>
    <t>Maintaining A Strong Building Consultancy Service</t>
  </si>
  <si>
    <t xml:space="preserve">Smarter Working Initiatives </t>
  </si>
  <si>
    <t>Smarter Working Initiatives</t>
  </si>
  <si>
    <t>Minimise The Number Of Missed Bin Collections</t>
  </si>
  <si>
    <t>Deliver A High Quality Environmental Service</t>
  </si>
  <si>
    <t xml:space="preserve">Work In Partnership To Minimise Costs And Maximise Waste And Recycling Opportunities </t>
  </si>
  <si>
    <t>2 Performance Reports Per Year on JWMB / Partnership Working</t>
  </si>
  <si>
    <t xml:space="preserve">Improve Planning Awareness with Members  </t>
  </si>
  <si>
    <t>Continue to Develop SMARTER Working Practices for Planning</t>
  </si>
  <si>
    <t>Improve Value for Money in Environmental Health Activities</t>
  </si>
  <si>
    <t>Complete a Review of Animal Welfare Policy Within 2 Months of Anticipated Legislative Updates</t>
  </si>
  <si>
    <t>tbc</t>
  </si>
  <si>
    <t>Disabled Facilities Grant Service</t>
  </si>
  <si>
    <t>Community and Civil Enforcement Activities</t>
  </si>
  <si>
    <t>Licensing Activities</t>
  </si>
  <si>
    <t>Continue to Improve the Ways We Provide Benefits to Those Most in Need:Time Taken to Process Benefit New Claims and Change Events (Previously NI 181)</t>
  </si>
  <si>
    <t>7 Days</t>
  </si>
  <si>
    <t>Continuing to Improve Customer Access to Services</t>
  </si>
  <si>
    <t>99% of CSC and Telephony Team Enquiries Resolved at First Point of Contact</t>
  </si>
  <si>
    <t xml:space="preserve">Minimum 75% Telephony Team Calls Answered Within 10 Seconds </t>
  </si>
  <si>
    <t>Working Towards the Reduction of Claimant Error Housing Benefit Overpayments (HBOPs): % of HBOPs  Recovered During the Year; % of HBOPS Processed and on Payment Arrangement</t>
  </si>
  <si>
    <t>% of HBOPs Recovered During the Year: 
80%
% of HBOPs Processed and on Payment Arrangement:
85%</t>
  </si>
  <si>
    <t xml:space="preserve">Continue to Maximise Income Through Effective Collection Processes (Previously BV 9 &amp; 10) </t>
  </si>
  <si>
    <t>Continue to Maximise Income Through Effective Collection Processes: Reduce Arrears for Council Tax; NNDR; Sundry Debts</t>
  </si>
  <si>
    <t xml:space="preserve">Council Tax Former Years Arrears: 
£1,900,000 (net)     
NNDR Former Years Arrears:
£500,000 (net)     
Sundry Debts Current Years Arrears (older than 90 days): 
£40,000
</t>
  </si>
  <si>
    <t>Prepare for Universal Credit Full Service Implementation</t>
  </si>
  <si>
    <t>Review Council Tax Support Scheme</t>
  </si>
  <si>
    <t>Review the Discretionary Housing Payments Policy and the Council Tax Reduction Discretionary Payments Policy</t>
  </si>
  <si>
    <t>Investigate Automation of the Assessment Benefit Claims and Changes of Circumstances</t>
  </si>
  <si>
    <t xml:space="preserve">Maintain Commissioning Approach with Third Sector Partners </t>
  </si>
  <si>
    <t>Neighbourhood Fund Implementation</t>
  </si>
  <si>
    <t>4 New Projects and 4 Existing Projects Taken to Completion</t>
  </si>
  <si>
    <t>Raise the Profile of Neighbourhood Fund (NF) and Councillor Community Fund (CCF)</t>
  </si>
  <si>
    <t>Brief Elected Members on New Councillor Community Fund (CCF)</t>
  </si>
  <si>
    <t>Sal Khan</t>
  </si>
  <si>
    <t>Mark Rizk</t>
  </si>
  <si>
    <t>Michael Hovers</t>
  </si>
  <si>
    <t>Markets Options Appraisal</t>
  </si>
  <si>
    <t>Top Quartile as Measured Against Relevant DCLG Figures</t>
  </si>
  <si>
    <t>Other Planning Applications Determined Within 8 Weeks</t>
  </si>
  <si>
    <t xml:space="preserve">To Carry Out Necessary Work With Reference To Planning Legislative Changes </t>
  </si>
  <si>
    <t>Implement the Brownfield and Infill Regeneration Strategy</t>
  </si>
  <si>
    <t xml:space="preserve">Deliver a Mixed-Use Scheme at Bargates </t>
  </si>
  <si>
    <t xml:space="preserve">Promote Local Employment Opportunities </t>
  </si>
  <si>
    <t>Complete the Sale of Land at Lynwood Road</t>
  </si>
  <si>
    <t xml:space="preserve">Campaign for Improvements to Burton Train Station </t>
  </si>
  <si>
    <t>Facilitate Inward Investment and Support Businesses Looking for Funding and Employment Opportunities Across the Region to Position the Council as a Key Contact for Inward Investment</t>
  </si>
  <si>
    <t>PSC37</t>
  </si>
  <si>
    <t>PSC38</t>
  </si>
  <si>
    <t>PSC39</t>
  </si>
  <si>
    <t>PSC40</t>
  </si>
  <si>
    <t>PSC41</t>
  </si>
  <si>
    <t>PSC42</t>
  </si>
  <si>
    <t>PSC43</t>
  </si>
  <si>
    <t>PSC44</t>
  </si>
  <si>
    <t>PSC45</t>
  </si>
  <si>
    <t>PSC46</t>
  </si>
  <si>
    <t>PSC47</t>
  </si>
  <si>
    <t>PSC48</t>
  </si>
  <si>
    <t>PSC49</t>
  </si>
  <si>
    <t>PSC50</t>
  </si>
  <si>
    <t>Increasing Opportunity for Democratic Engagement</t>
  </si>
  <si>
    <t>Continue to Develop SMART/Digital Approach to Improve Public Access to Services</t>
  </si>
  <si>
    <t>Improving Public Art in the Borough</t>
  </si>
  <si>
    <t xml:space="preserve">Delivering Open Space Improvement Initiatives </t>
  </si>
  <si>
    <t>Delivering Open Space Improvement Initiatives</t>
  </si>
  <si>
    <t>Review The Provision Of Cycle Facilities On Open Spaces And Car Parks</t>
  </si>
  <si>
    <t>Green Flag Awards</t>
  </si>
  <si>
    <t>Achieve 2 Green Flag Awards at Bramshall Park and Stapenhill Gardens</t>
  </si>
  <si>
    <t xml:space="preserve">In Bloom Awards </t>
  </si>
  <si>
    <t>Achieve 3 In Bloom Gold Awards at Winshill, Burton And Uttoxeter</t>
  </si>
  <si>
    <t>In Bloom Awards</t>
  </si>
  <si>
    <t>Achieve a Minimum of 5 Silver Gilt and Above for In Bloom Parks Awards. Including; Branston Water Park, Stapenhill Cemetery, Bramshall Park, Winshill (Mill Hill Lane) and Shobnall Fields.</t>
  </si>
  <si>
    <t>Adult Safeguarding Training Programme</t>
  </si>
  <si>
    <t>Prepare a Succession Plan for Volunteers Running the GO Garden Project</t>
  </si>
  <si>
    <t>Maintain Top Quartile Performance For Street Cleansing - Litter</t>
  </si>
  <si>
    <t>Maintain Top Quartile Performance For Street Cleansing - Detritus</t>
  </si>
  <si>
    <t>Maintain Top Quartile Performance For Street Cleansing - Graffiti</t>
  </si>
  <si>
    <t>Maintain Top Quartile Performance For Street Cleansing – Fly-Posting</t>
  </si>
  <si>
    <t xml:space="preserve">Maintain Top Quartile Performance On Recycling </t>
  </si>
  <si>
    <t>Household Waste Recycled and Composted:
50%</t>
  </si>
  <si>
    <t xml:space="preserve">Maintain Top Quartile Performance On Waste Reduction </t>
  </si>
  <si>
    <t>Residual Household Waste Per Household:
475kg</t>
  </si>
  <si>
    <t>Continue to Increase Public Awareness Of Recycling and Other Environmental Issues Such as Street Cleanliness</t>
  </si>
  <si>
    <t>Guidance to Support Planning Services</t>
  </si>
  <si>
    <t>Delivery of Strategic Housing and Employment Sites</t>
  </si>
  <si>
    <t>Delivering Improvements to the Washlands</t>
  </si>
  <si>
    <t>Enforcement Activities</t>
  </si>
  <si>
    <t xml:space="preserve">Deliver Focussed Community and Civil Enforcement Initiatives </t>
  </si>
  <si>
    <t>Selective Licensing Scheme</t>
  </si>
  <si>
    <t>Deliver Focussed Environmental Health Initiatives</t>
  </si>
  <si>
    <t>Tackle Rough Sleeping and Supporting Homeless Residents</t>
  </si>
  <si>
    <t>Delivering Better Services to Support Homelessness</t>
  </si>
  <si>
    <t>100% Of Applicants Accepted for a New Homeless Duty Receiving a Personal Housing Plan</t>
  </si>
  <si>
    <t>World War One Centenary Commemorations</t>
  </si>
  <si>
    <t>Deliver Phase 1b of the Burton Regeneration Programme</t>
  </si>
  <si>
    <t xml:space="preserve">Deliver 80% of 2018/19 Project Milestones </t>
  </si>
  <si>
    <t>Deliver Phase 2 of the Burton Regeneration Programme</t>
  </si>
  <si>
    <t>Commission Independent Consultant’s Report on “A Strategic Vision for a Better, Brighter Burton in the Future” (May 2018)</t>
  </si>
  <si>
    <t>Consider Findings of Consultant’s Report Within 6 Weeks of Receipt of Report</t>
  </si>
  <si>
    <t>Promote Tourism Across the Borough</t>
  </si>
  <si>
    <t>Review the Provision of Physical Tourism Information</t>
  </si>
  <si>
    <t>Expand the In Bloom Federation, Achieving 1 Additional Member</t>
  </si>
  <si>
    <t>Andy O'Brien</t>
  </si>
  <si>
    <t>Finance</t>
  </si>
  <si>
    <t>Democratic Services</t>
  </si>
  <si>
    <t>P&amp;T / FMU / Legal</t>
  </si>
  <si>
    <t>ICT</t>
  </si>
  <si>
    <t>HR&amp;P</t>
  </si>
  <si>
    <t>Legal</t>
  </si>
  <si>
    <t>Assets</t>
  </si>
  <si>
    <t>Leisure / Arts</t>
  </si>
  <si>
    <t>Marketing</t>
  </si>
  <si>
    <t>Brewhouse / Arts</t>
  </si>
  <si>
    <t>Facilities</t>
  </si>
  <si>
    <t>Building Consultancy</t>
  </si>
  <si>
    <t>Environmental Health</t>
  </si>
  <si>
    <t>Community and Civil Enforcement</t>
  </si>
  <si>
    <t>Licensing</t>
  </si>
  <si>
    <t>RB&amp;CC</t>
  </si>
  <si>
    <t>RB&amp;CC / Housing Options</t>
  </si>
  <si>
    <t>Neighbourhood Working</t>
  </si>
  <si>
    <t>Markets</t>
  </si>
  <si>
    <t>Planning Support</t>
  </si>
  <si>
    <t>Promoting Local Economic Growth - to Benefit Local People by Turning Aspiration into Reality</t>
  </si>
  <si>
    <t>Protecting and Strengthening Communities - Love Where You Live</t>
  </si>
  <si>
    <t>Quarter 1 
(April - June 2018)</t>
  </si>
  <si>
    <t>Year to Date
(April - Sept 2018)
(NUMERICAL INDICATORS ONLY)</t>
  </si>
  <si>
    <t>Quarter 3 
(Oct - Dec 2018)</t>
  </si>
  <si>
    <t>Year to Date
(April - Dec 2018)
(NUMERICAL INDICATORS ONLY)</t>
  </si>
  <si>
    <t>Cumulative Annual Outturn
(April 2018 - March 2019)
(NUMERICAL INDICATORS ONLY)</t>
  </si>
  <si>
    <t>Elections</t>
  </si>
  <si>
    <t>Programmes and Transformation</t>
  </si>
  <si>
    <t>Sports Development</t>
  </si>
  <si>
    <t>Open Spaces</t>
  </si>
  <si>
    <t>Enforcement</t>
  </si>
  <si>
    <t>Housing Options</t>
  </si>
  <si>
    <t>Target 2018/19</t>
  </si>
  <si>
    <r>
      <rPr>
        <b/>
        <u/>
        <sz val="18"/>
        <color rgb="FF002060"/>
        <rFont val="Arial"/>
        <family val="2"/>
      </rPr>
      <t>PERFORMANCE DATA 2018/19</t>
    </r>
    <r>
      <rPr>
        <b/>
        <sz val="18"/>
        <color rgb="FF002060"/>
        <rFont val="Arial"/>
        <family val="2"/>
      </rPr>
      <t xml:space="preserve"> - </t>
    </r>
    <r>
      <rPr>
        <b/>
        <sz val="14"/>
        <rFont val="Arial"/>
        <family val="2"/>
      </rPr>
      <t>Please click on the relevant link to view the information of your choice</t>
    </r>
  </si>
  <si>
    <t>Quarter One (2018/19)</t>
  </si>
  <si>
    <t>Quarter Two (2018/19)</t>
  </si>
  <si>
    <t>Quarter Three (2018/19)</t>
  </si>
  <si>
    <t>End of Year (2018/19)</t>
  </si>
  <si>
    <t>Completed in Accordance With Any Legislative Requirements
(March 2019)</t>
  </si>
  <si>
    <t>Introduce the Policies and Procedures Necessary to Ensure Compliance with the General Data Protection Regulations 
(May 2018)</t>
  </si>
  <si>
    <t>Condition Survey Commissioned in Respect of the Canal Street Industrial Units 
(October 2018)</t>
  </si>
  <si>
    <t>Refreshed Gambling Act Policy Approved
(January 2019)</t>
  </si>
  <si>
    <t>Review of Taxi Compliance Testing Stations Complete
(March 2019)</t>
  </si>
  <si>
    <t>Review of High Hedge Complaint Procedures and Fees Complete
(March 2019)</t>
  </si>
  <si>
    <t>At Least 2 Briefings Delivered to Elected Members During the Year 
(March 2019)</t>
  </si>
  <si>
    <t>Introduce the New Charging Regime 
(April 2018)</t>
  </si>
  <si>
    <t>Seek to Identify Any Other Commercialisation Opportunities 
(December 2018)</t>
  </si>
  <si>
    <t>Investigate and Report on the use of Permission in Principle (PiP) 
(September 2018)</t>
  </si>
  <si>
    <t>Digitised Planning Information Progress Report
(March 2019)</t>
  </si>
  <si>
    <t>Completed in Accordance With Any Legislative Changes And Requirements
(March 2019)</t>
  </si>
  <si>
    <t>Adoption of Open Spaces Supplementary Planning Document
(March 2019)</t>
  </si>
  <si>
    <t>Introduce New Cannock Chase Special Area of Conservation (SAC) Guidance
(April 2018)</t>
  </si>
  <si>
    <t>Devise Borough-wide Planting Guidance 
(June 2018)</t>
  </si>
  <si>
    <t>Introduce New Heritage Impact Assessment Guidance Notes 
(April 2018)</t>
  </si>
  <si>
    <t>Strategic Site Progress Report Prepared 
(December 2018)</t>
  </si>
  <si>
    <t>Annual Monitoring Report Prepared
(November 2018)</t>
  </si>
  <si>
    <t>Introduce New Protocol to Neighbourhood Planning 
(June 2018)</t>
  </si>
  <si>
    <t>Adoption of a Washlands Strategy 
(December 2018)</t>
  </si>
  <si>
    <t>Rough Sleeper Count Completed
(December 2018)</t>
  </si>
  <si>
    <t>Revise Joint Allocations Policy
(December 2018)</t>
  </si>
  <si>
    <t>Approve Refreshed Homelessness Strategy
(September 2018)</t>
  </si>
  <si>
    <t>Review Payment of Fees for the Independent Remuneration Panel 
(March 2019)</t>
  </si>
  <si>
    <t>Investigate Use of Digital Engagement Software for Electoral Registration 
(December 2018)</t>
  </si>
  <si>
    <t>Prepare for Polling District Review 
(March 2019)</t>
  </si>
  <si>
    <t>Adoption of Digital Strategy 
(October 2018)</t>
  </si>
  <si>
    <t>80% of 2018/19 Milestones in New Digital Strategy Achieved 
(March 2019)</t>
  </si>
  <si>
    <t>Corporate Website Refresh Complete 
(March 2019)</t>
  </si>
  <si>
    <t>Security Arrangements to Meet Requirements of PSN (or Replacement) / PCIDSS and Member Briefing Undertaken 
(March 2019)</t>
  </si>
  <si>
    <t>Review of Single Equality Scheme Complete
(July 2018)</t>
  </si>
  <si>
    <t>Submit Statement of Accounts by New Statutory Deadline 
(July 2018)</t>
  </si>
  <si>
    <t>Activities Throughout the Year Reported in Line with the Timed Responses 
(March 2019)</t>
  </si>
  <si>
    <t>Achieve Savings Targets as Stated in the Medium Term Financial Strategy 
(March 2019)</t>
  </si>
  <si>
    <t>Conduct Budget Consultation 
(September 2018)</t>
  </si>
  <si>
    <t>Establish a Contracts and Strategic Leisure Team 
(September 2018)</t>
  </si>
  <si>
    <t>Commence the Monitoring of the Delivery of Cultural Services in Line With the Agreed Contract(s) 
(Quarter 3 2018/19)</t>
  </si>
  <si>
    <t>Evaluation of Future Options for the Market Offering Completed 
(March 2019)</t>
  </si>
  <si>
    <t>New Contract With an External Building Services Contractor Commences
(June 2018)</t>
  </si>
  <si>
    <t>Undertake a Review of Community and Civil Enforcement  Role 
(October 2018)</t>
  </si>
  <si>
    <t>Management Strategy Prepared and Ready for 2019 Green Flag Submission, Including the Washlands and Stapenhill Gardens 
(January 2019)</t>
  </si>
  <si>
    <t>Develop Proposals for the Improvement of the Memorial Gardens, Abbot’s Garden and Andressey Passage 
(June 2018)</t>
  </si>
  <si>
    <t>Submit an Application to The National Forest for Grant Support 
(November 2018)</t>
  </si>
  <si>
    <t>Review of Cycle Facilities Complete 
(October 2018)</t>
  </si>
  <si>
    <t>Deliver Training to Services Which Have Contact With Vulnerable Adults: Housing; Licensing; Enforcement; Revenues and Benefits 
(March 2019)</t>
  </si>
  <si>
    <t>Plan Approved Ready for Implementation for 2019 Growing Season 
(October 2018)</t>
  </si>
  <si>
    <t>Undertake a Minimum of 11 Initiatives Across the Borough
(March 2019)</t>
  </si>
  <si>
    <t>Deliver a Minimum of 2 Town Centre Events in Conjunction With Local Partners 
(October 2018)</t>
  </si>
  <si>
    <t>Re-Launch the Council’s Disability Sport Programme Under the “Able Too” Brand
(July 2018)</t>
  </si>
  <si>
    <t>Investigate The Feasibility Of Securing External Funding To Further Develop And Improve The Brewhouse Facilities
(July 2018)</t>
  </si>
  <si>
    <t>Develop a Project Plan for the Delivery of Public Art Including;    New Public Art Commissions Including Both Permanent and Temporary Pieces     Investigating the Feasibility of Moving the Malt Shovel 
(August 2018)</t>
  </si>
  <si>
    <t>Identify a Mechanism for Monitoring Customer Satisfaction and Establish Baseline Level
(March 2019)</t>
  </si>
  <si>
    <t>Review Smarter Waste Collection Business Plan 
(November 2018)</t>
  </si>
  <si>
    <t>Review of Street Cleaning Operations Complete
(January 2019)</t>
  </si>
  <si>
    <t>Review Public Toilet Provision
(April 2018)</t>
  </si>
  <si>
    <t>Resolve 100% of Customer Requests for Repaired or Replacement Bin Requests Within 5 Working Days 
(March 2019)</t>
  </si>
  <si>
    <t>Produce and Implement New Communications Plan
(December 2018)</t>
  </si>
  <si>
    <t>Introduce a Charging Policy for Requested FHRS Re-Inspections and Food Safety Advice to Businesses
(June 2018)</t>
  </si>
  <si>
    <t>Implement In-House Disabled Facility Grant Service
(April 2018)</t>
  </si>
  <si>
    <t>Complete a Review of the Public Health Funeral Policy
(September 2018)</t>
  </si>
  <si>
    <t>Provide a Member Briefing on Progress With the Selective Licensing Pilot Scheme
(June 2018)</t>
  </si>
  <si>
    <t>Complete an Evaluation of Selective Licensing Scheme
(November 2018)</t>
  </si>
  <si>
    <t>Undertake a Minimum of 2 Multi-Agency Initiatives to Address Modern Slavery
(March 2019)</t>
  </si>
  <si>
    <t>Undertake a Minimum of 4 Initiatives With Weekend Market Traders to Ensure Compliance With Food Hygiene Legislation
(March 2019)</t>
  </si>
  <si>
    <t>Complete a Targeted Initiative Tackling Concerns on Houses in Multiple Occupation
(March 2019)</t>
  </si>
  <si>
    <t>90% Satisfaction with the Corporate Contribution to the Strategic Leisure Management Project 
(March 2019)</t>
  </si>
  <si>
    <t>90% Satisfaction with the Corporate Contribution to the Accommodation Move Project 
(March 2019)</t>
  </si>
  <si>
    <t>Procurement of at Least 2 Contract Opportunities via Third Sector Organisations
(March 2019)</t>
  </si>
  <si>
    <t>Hold 2 Stakeholder Meetings and 1 Member Briefing
(March 2019)</t>
  </si>
  <si>
    <t>Carry Out Review of the Council Tax Reduction Scheme 
(September 2018)</t>
  </si>
  <si>
    <t>Carry Out a Review of the Council’s Discretionary Payment Policies 
(April 2018)</t>
  </si>
  <si>
    <t>Carry Out Pilot Study to Investigate Automation of the Assessment Benefit Claims and Changes of Circumstances 
(September 2018)</t>
  </si>
  <si>
    <t>Introduce Payment Kiosk at Burton Customer Service Centre 
(June 2018)</t>
  </si>
  <si>
    <t>Plan for Amendments and Alterations to Customer Service Centre Complete
(August 2018)</t>
  </si>
  <si>
    <t>Agree Project Milestones 
(May 2018)</t>
  </si>
  <si>
    <t>Progress the Project in Line With Key Milestones, Providing Quarterly Updates 
(March 2019)</t>
  </si>
  <si>
    <t>Highlight Supported NF and CCF Projects Via Social Media Channels 
(March 2019)</t>
  </si>
  <si>
    <t>Hold Member Workshop on the CCF Providing Guidance on Developing Community Projects 
(July 2018)</t>
  </si>
  <si>
    <t>Agree an Action Plan with Key Partners to Campaign for Improvements to Burton Train Station 
(March 2019)</t>
  </si>
  <si>
    <t>Identify a Pilot Scheme for Using Commuted Sums to Facilitate Affordable Housing on Brownfield Land
(July 2018)</t>
  </si>
  <si>
    <t xml:space="preserve">Complete the Sale of Bargates (Conditional on Planning Permission Being Granted) 
(July 2018) </t>
  </si>
  <si>
    <t>Review the Success of the Marketing Campaign and Implement any Relevant Next Steps 
(March 2019)</t>
  </si>
  <si>
    <t>Support the Delivery of Three Job Fairs 
(March 2019)</t>
  </si>
  <si>
    <t>Complete the Sale of Land at Lynwood Road for a Residential Development 
(September 2018)</t>
  </si>
  <si>
    <t>Work With Partners to Develop a Detailed Business Case for Delivering Improvements to the Washlands
(September 2018)</t>
  </si>
  <si>
    <t>Action Plan Developed Setting Out a Schedule of Events 
(May 2018)</t>
  </si>
  <si>
    <t>Support the Council’s Strategic Tourism Partners in Promotion Activities 
(March 2019)</t>
  </si>
  <si>
    <t>Consider Existing Tourism Signage and Information Boards and How These Can be Improved 
(September 2018)</t>
  </si>
  <si>
    <t>Completed</t>
  </si>
  <si>
    <t>Legislation due to be implemented October 2018</t>
  </si>
  <si>
    <t>Public Health Funeral Policy is completed in draft</t>
  </si>
  <si>
    <t>Member briefing provided on 21st June 2018</t>
  </si>
  <si>
    <t xml:space="preserve">In-house DFG service was fully implemented on 1st April 2018. </t>
  </si>
  <si>
    <t>Information provided for the member briefing will feed into this.</t>
  </si>
  <si>
    <t>Properties identified to undertake initiatives at. Awaiting for dates to be booked in with immigration</t>
  </si>
  <si>
    <t>Investigating dates of markets to determine dates for initiatives</t>
  </si>
  <si>
    <t>Legislation for HMOs has been amended which goes live on 1st October 2018. HMO policy and amenity standards are in the process of being amended to cover these changes and to identify HMOs that require a licence</t>
  </si>
  <si>
    <t>On the 9th June 2018, the DASH Summer program was launched at Coopers Square Shopping Centre.</t>
  </si>
  <si>
    <t>Plans are underway to deliver these events through the Summer and Autumn</t>
  </si>
  <si>
    <t>The Strategy is currently being created. Once completed the findings will be considered in line with this target.</t>
  </si>
  <si>
    <t>Project Milestones were agreed in May 2018.</t>
  </si>
  <si>
    <t>13 days</t>
  </si>
  <si>
    <t>The project team invited the remaining bidders to Submit their Final Tenders for both lots 1 &amp; 2 on Friday 15th June. The bidders now have until the 13th July to submit their final proposals. The evaluation wil be concluded by 2nd August.</t>
  </si>
  <si>
    <t xml:space="preserve">Customer satisfaction surveys to be sent to customers that have used the service, which will help establish baseline data for the year. </t>
  </si>
  <si>
    <t>Initial discussions with the leisure centre and marketing teams have taken place, with a launch in Qtr 2</t>
  </si>
  <si>
    <t>Collecting data following the collection round changes which will support the review, including finish times.</t>
  </si>
  <si>
    <t>Work will commence next quarter.</t>
  </si>
  <si>
    <t>Accounts approved by CFO in line with statutory deadline (31st May 2018). External audit largely complete, with audit findings report and accounts to be considered by Audit Committee in July.</t>
  </si>
  <si>
    <t>No formal consultations have taken place this quarter, however officers have been keeping up to date with the various work streams that are underway, at a national level.</t>
  </si>
  <si>
    <t>An Audit Committee briefing is scheduled for July in respect of the Statement of Accounts and further briefings will be agreed with the Portfolio holder or Audit Committee Chair, as appropriate.</t>
  </si>
  <si>
    <t>Discussions have taken place at officer/lead member level.</t>
  </si>
  <si>
    <t>475kg</t>
  </si>
  <si>
    <t>6.17 days</t>
  </si>
  <si>
    <t>7 days</t>
  </si>
  <si>
    <t>We are now utilising Direct Earnings Attachments to collect outstanding HBOPs which are improving collection of current and previous years outstanding amounts.</t>
  </si>
  <si>
    <t>Target is annual</t>
  </si>
  <si>
    <t>2 Stakeholder Meetings and 1 Member briefing</t>
  </si>
  <si>
    <t>The first stakeholder meeting is being planned for August/September and the Member briefing will take place in early November.</t>
  </si>
  <si>
    <t>Completed March 2018 for implementation April 2018</t>
  </si>
  <si>
    <t>Report currently going through approvals process.</t>
  </si>
  <si>
    <t xml:space="preserve">Borough-wide guidance has been prepared and was presented to CMT in June. </t>
  </si>
  <si>
    <t>The Member Workshop has been arranged for 18th July 2018.</t>
  </si>
  <si>
    <t>1 new project and 2 existing projects have been taken to completion.</t>
  </si>
  <si>
    <t>In the process of agreeing timescales for improvements in partnership with East Midlands Trains, National Rail and others.</t>
  </si>
  <si>
    <t>A pilot scheme has been identified, the Council is currently in the process of creating an appropriate process for aportioning commuted sums.</t>
  </si>
  <si>
    <t>A business database has been secured that is being used for marketing activities. The development of a prospectus for inward investment is being explored.</t>
  </si>
  <si>
    <t>Two job fairs have been delivered, one in Burton on 17th May 2018 and one in Uttoxeter on 13th June 2018.</t>
  </si>
  <si>
    <t>Discussions with the preferred bidder continue and a report providing a recommendation on the potential sale of the site will be discussed at Council in September.</t>
  </si>
  <si>
    <t>The landscape vision is currently being finalised with next steps being agreed, the business case is in development.</t>
  </si>
  <si>
    <t>An action plan outlining a schedule of events has been developed and approved.</t>
  </si>
  <si>
    <t>The Council has supported the promotion of the 'Timber' festival in partnership with the National Forest and an Arts Festival in conjunction with Marstons.</t>
  </si>
  <si>
    <t>Staff have commenced visiting all polling places across the borough. As soon as the visits are complete a consultation docuement will be published which will outline recommendations for any changes.</t>
  </si>
  <si>
    <t>Contract awarded April 2018 and KPI's agreed with supplier</t>
  </si>
  <si>
    <t>4 initiatives have taken place in qtr 1</t>
  </si>
  <si>
    <t>Negotiations with our key partner, Trent and Dove, are at an advanced stage.</t>
  </si>
  <si>
    <t>The draft Homelessness Strategy is out to consulation, which closes on the 13th July 18.</t>
  </si>
  <si>
    <t>The Count takes place during November, with preparations typically begining in September.</t>
  </si>
  <si>
    <t>Upgrades to the IT database have enabled the generation of typical Personal Housing Plans based on particular causes of homelessness, which can then be individualised.</t>
  </si>
  <si>
    <t>Ongoing at present</t>
  </si>
  <si>
    <t>Report and action plan being prepared in conjunction with managers and Equalities and Health Working Group.</t>
  </si>
  <si>
    <t>The GO Garden project is now an affiliated sub group of the "Friends of Bramshall Park" which is a fully constituted organisation.</t>
  </si>
  <si>
    <t>Facilities assisiting with selection of contractor</t>
  </si>
  <si>
    <t>Preliminary work to commence in August 2018</t>
  </si>
  <si>
    <t xml:space="preserve">Benchmarking exercise carried out. </t>
  </si>
  <si>
    <t xml:space="preserve">Public Art Project Proposal presented to LDL on 31 May 2018. Recommended next steps to be taken in line with Burton Regeneration Strategy. </t>
  </si>
  <si>
    <t xml:space="preserve">Policies and procedures implemented before 25th May deadline. </t>
  </si>
  <si>
    <t>Will be monitored to ensure they remain fit for purpose.</t>
  </si>
  <si>
    <t>In Bloom federation members have been joined by Brizlincote and Branston, with also some interest (but no commitment) from Rolleston</t>
  </si>
  <si>
    <t>A tender process was completed in May 2018 and the successful consultants, Cushman and Wakefield, were commissioned to begin work on the Strategic Plan.</t>
  </si>
  <si>
    <t>Household Enquiry Forms have been sent to all households in the borough for 2018 canvass. This year we are making a concerted effort to gather as many responses as possible via electronic means - be it SMS or email. Utlising the Election Management System we will look to communicate with voters using paperless methods.</t>
  </si>
  <si>
    <t>ESBC has implemented the Cabinet Office's secure email requirements, we still continue to meet the requirments of PSN whilst monitoring the ongoing changes proposed by NCSC</t>
  </si>
  <si>
    <t>100%
1474 requests received in quarter 1. All completed within time.</t>
  </si>
  <si>
    <t>Quarter 1 initiatives were:
1. Action Week in the Horninglow ward (April).
2.Initiative throughout the Weaver ward across 3 days (May) 
3.The CCE Team worked alongside Harley’s Hounds charity at Burton Cineworld, to engage and educate the public on dog related issues throughout the Borough (May)
4. Action Week in the Stapenhill ward (June)</t>
  </si>
  <si>
    <t>A new charging regime was introduced in April including a premium validaiton service.</t>
  </si>
  <si>
    <t>This workload is on the Forward Plan for August CMT.</t>
  </si>
  <si>
    <t>Consultants have now completed the evidence base.</t>
  </si>
  <si>
    <t xml:space="preserve">The guidance was prepared and published in April. </t>
  </si>
  <si>
    <t>New guidance has been prepared and was published in April.</t>
  </si>
  <si>
    <t xml:space="preserve">The guidance was prepared and published in June. </t>
  </si>
  <si>
    <t>Work is ongoing.</t>
  </si>
  <si>
    <t>Work on the Washlands Strategy is ongoing.</t>
  </si>
  <si>
    <t>The first briefing is programmed for 25th July and the second is ususally programmed for January.</t>
  </si>
  <si>
    <t>Charging policy has been approved and was implemented in June 2018.</t>
  </si>
  <si>
    <t xml:space="preserve">EDR Signed 13th June 2018. </t>
  </si>
  <si>
    <t>£2,056,244.24                                              
£1,386,357.91
£0</t>
  </si>
  <si>
    <t>Ctax and NNDR reported figures are net of credits, amounts on arangement and identified write offs.
Since 1st April 2018 £856k business rates relating to liabilities prior to that date have also been raised, which are included in the NNDR figures.</t>
  </si>
  <si>
    <t>£1,900,000     
£500,000
£40,000</t>
  </si>
  <si>
    <t>Collection Rates of -    
Council Tax : 98%     
NNDR : 99%</t>
  </si>
  <si>
    <t xml:space="preserve">
29.8%          
31.61%</t>
  </si>
  <si>
    <t xml:space="preserve">
98%  
99%</t>
  </si>
  <si>
    <t xml:space="preserve">
103%                                                                     
88%</t>
  </si>
  <si>
    <t xml:space="preserve">
80%                                                          
85%</t>
  </si>
  <si>
    <t>13 applications all within time = 100%
TOP QUARTILE</t>
  </si>
  <si>
    <t>83 applications 2 out of time = 98%
TOP QUARTILE</t>
  </si>
  <si>
    <t>135 applications all within time = 100%
TOP QUARTILE</t>
  </si>
  <si>
    <t>Review commenced April 2018 for completion in Summer 2018. Report due September.</t>
  </si>
  <si>
    <t>The Quarter 1 forecast indicates that the Council is on track to underspend for the full financial year.</t>
  </si>
  <si>
    <t>Will be completed during Quarter 2.</t>
  </si>
  <si>
    <t>Research is taking place as to the content of an ESBC Management plan for the Washlands &amp; SPG. First draft to be completed in Quarter 2.</t>
  </si>
  <si>
    <t>Consultants report received in Quarter 1 as the basis for grant application</t>
  </si>
  <si>
    <t>Results awaited in Quarter 2</t>
  </si>
  <si>
    <t>Surveys run April - July</t>
  </si>
  <si>
    <t>50.92% - estimated</t>
  </si>
  <si>
    <t>120.39kg - estimated</t>
  </si>
  <si>
    <t>Work on preparing an Arts Council England Capital bid has been undertaken. The Brewhouse are bidding for up to £95,000 from Arts Council England's Capital (Buildings) fund. 
In the application we will seek funding for upgrades to: sound control consoles; video projection facilities; PA system; assistive listening systems; additional stage facilities.</t>
  </si>
  <si>
    <t xml:space="preserve">The deadline is 28th September 2018 and we expect to be notified of a decision within 12 weeks of submission. </t>
  </si>
  <si>
    <t xml:space="preserve">Proposals presented to Cabinet in quarter 1. </t>
  </si>
  <si>
    <t>The planning application is still being determined by the Local Planning Authority. The sale cannot be completed until after this.</t>
  </si>
  <si>
    <t xml:space="preserve">Missed collections is not an issue affecting any one specific area within the Borough, however performance data on individual collection rounds is available and analysed on an ongoing basis to aid improvement. Figures for the end of Quarter 1 (June) demonstrate a decrease in the total number of missed bins in relation to the beginning of the Quarter (April). </t>
  </si>
  <si>
    <t xml:space="preserve">4.9 per 10,000
Equates to 475 missed bins in the first quarter from 968,000 collections. The round changes across the Borough has impacted on this performance due to unfamiliarity. Measures have been put in place with the collection crews to improve this. </t>
  </si>
  <si>
    <t xml:space="preserve">Implementation date has been put back as agreed with the supplier for this added value service, allowing additional time for the necessary background software to be fully installed and integrated with the Merchant Banking Service provider and reporting functions to be calibrated. Revised implementation now due September 2018. </t>
  </si>
  <si>
    <t>Consultation document is ready for publication on the website from 1st to 31st October.</t>
  </si>
  <si>
    <t>Digital Strategy will be presented to Cabinet in October 2018.</t>
  </si>
  <si>
    <t>Overall 50% of 2018/19 project milestones have been achieved.
As of the end of September 2018 100% of due indicators have been achieved.</t>
  </si>
  <si>
    <t>On Target to achieve 100% of 2018/19 project milestones.</t>
  </si>
  <si>
    <t>6.54 days</t>
  </si>
  <si>
    <t>6.33 days</t>
  </si>
  <si>
    <t xml:space="preserve">Universal Credit Full Service is due to be introduced in East Staffordshire on 21/11/2018. As it takes the DWP 30 days to assess UC entitlement this will affect our New Claims processing from Q3 onwards. </t>
  </si>
  <si>
    <t>Stakeholder meeting took place 21/09/2018.</t>
  </si>
  <si>
    <t>Stakeholder meetings are being arranged monthly from October 2018. Members Briefing has been arranged for 14/11/2018.</t>
  </si>
  <si>
    <t>Completed - EDR signed September 2018</t>
  </si>
  <si>
    <t>Study completed and report issued to Deputy Leader September 2018</t>
  </si>
  <si>
    <t>Decision not to go ahead with automation currrently due to software not fully tested or in use in any Capita site. This will be reviewed within the next 6 months (by the end of March 2019)</t>
  </si>
  <si>
    <t>Plans approved August 2018</t>
  </si>
  <si>
    <t>Alterations commenced 28/09/2018 and are due to be finished mid-October.</t>
  </si>
  <si>
    <t>CT: 57.60%                                                                          NNDR: 60.19%</t>
  </si>
  <si>
    <t>CT: 98%                                                                          NNDR: 99%</t>
  </si>
  <si>
    <t>At the end of Q2, both Council Tax and Non Domestic Rates collections are exceeding original estimates: Ctax by 0.60% and Non Domestic Rates by 0.19%.</t>
  </si>
  <si>
    <t>Louise Kemplay</t>
  </si>
  <si>
    <t>103%                                                                                                    88%</t>
  </si>
  <si>
    <t>80%                                                                                                    85%</t>
  </si>
  <si>
    <t>£2,000,471.22                                                              £980,850.62                                                                    £71,341.76</t>
  </si>
  <si>
    <t>£1,900,000                                                              £500,000                                                                    £40,000</t>
  </si>
  <si>
    <t>In this quarter we 1. supported the Brewhouse autumn campaign with an event at Coopers Square Shopping Centre, 2. attended the National Playday event and 3. joined with partners to promote National Know Your Number campaign by offering free blood pressure testing.</t>
  </si>
  <si>
    <t>1st August we hosted that National Playday event at Shobnall Leisure Complex with a range of partners. 26th September, we held an event in conjunction with Burton Albion Community Trust and Coopers Square Shopping Centre to support National Fitness Day.</t>
  </si>
  <si>
    <t>Leisure Management outsourcing proposals are now expected to go before full Council in Q3.</t>
  </si>
  <si>
    <t>April - July 1%</t>
  </si>
  <si>
    <t>April - July 0%</t>
  </si>
  <si>
    <t>The Member Workshop was delivered in July.</t>
  </si>
  <si>
    <t>A further job fair took place on 5th September in Burton.</t>
  </si>
  <si>
    <t xml:space="preserve">4 new projects and 2 existing projects have now been taken to completion. </t>
  </si>
  <si>
    <t>159 Applications 156 within time = 98%</t>
  </si>
  <si>
    <t>275 Applications 272 within time = 99%</t>
  </si>
  <si>
    <t>45% - Estimated</t>
  </si>
  <si>
    <t>118kg - Estimated</t>
  </si>
  <si>
    <t>49.48% - estimated</t>
  </si>
  <si>
    <t>234kg - estimated</t>
  </si>
  <si>
    <t>470kg - estimated</t>
  </si>
  <si>
    <t>Surveys continue to be sent to customers to establish a baseline level.</t>
  </si>
  <si>
    <t>Internal audit completed which will feed into review. Report due to November cabinet.</t>
  </si>
  <si>
    <t>2.9 per 10,000
Equates to 281 missed bins in the second quarter from approximately 968,000 collections.</t>
  </si>
  <si>
    <t xml:space="preserve">Missed bins remains off target due to unfamiliarity with the collection rounds following the round changes across the Borough in March. However, Quarter 2 results indicate a significant improvement compared to quarter 1 and work will continue to improve this further. </t>
  </si>
  <si>
    <t>Gambling Act Policy is under current Consultation which closes on the 18th October 2018.</t>
  </si>
  <si>
    <t>The Count has been set for the night of the 14th November into the morning of the 15th November 2018. Relevant local partners have been invited to participate, and Homeless Link have confirmed that a verifier will be present.</t>
  </si>
  <si>
    <t>The Homelessness Strategy 2018 – 2022 was approved at Cabinet on 17 September 2018.</t>
  </si>
  <si>
    <t>Consultation on the new Allocations Policy was concluded on 5th October 2018.</t>
  </si>
  <si>
    <t>Draft review report to be presented to CMT in October</t>
  </si>
  <si>
    <t>Green Flag award achieved for both locations</t>
  </si>
  <si>
    <t>Key services have received face to face training via the Adult Safeguarding board. Plans are in place for a full staff roll out of an e-module around Adult Safeguarding</t>
  </si>
  <si>
    <t>Volunteers are now working more indepdently with officers acting in a more advisory capacity. Draft plan has been completed for approval.</t>
  </si>
  <si>
    <t>32 Applications all within time = 100%</t>
  </si>
  <si>
    <t>19 applications all within time = 100% 
(TOP QUARTILE)</t>
  </si>
  <si>
    <t>76 Applications 75 within time = 99% 
(TOP QUARTILE)</t>
  </si>
  <si>
    <t>140 Applications 137 within time = 98% 
(TOP QUARTILE)</t>
  </si>
  <si>
    <t>Charging policy fully operational</t>
  </si>
  <si>
    <t>Public Heath Funeral Policy approved via EDR in September 2018</t>
  </si>
  <si>
    <t>Report completed and to be presented to CMT in October and Cabinet in November</t>
  </si>
  <si>
    <t>HMO Policy amended and approved via EDR in September 2018. HMOs currently being licensed that fall within the revised definition of a HMO</t>
  </si>
  <si>
    <t>Specific actions have been identified and agreed with partners. These are being worked into an action plan.</t>
  </si>
  <si>
    <t>Marketing activity continues to be delivered using the business database. Ideas for the annual report in March are being considered.</t>
  </si>
  <si>
    <t>Work with partners to promote tourism activities continues. The Council are now working on a tourism strategy that sets out the role the Council plays in tourism. This will be considered by Members in due course.</t>
  </si>
  <si>
    <t>Existing tourism signage has been identified and considered, this will now feed into the Burton Regeneration Programme in order to ensure any improvements are aligned to the agreed styles and formats.</t>
  </si>
  <si>
    <t>Completed in Quarter 1</t>
  </si>
  <si>
    <t>Review commenced April 2018 for completion in Summer 2018. Report postponed to enable additional information to be gathered and assessed. Now due in November.</t>
  </si>
  <si>
    <t>Through a data sharing agreement with DWP we now have access to employer information from HMRC. We can now issue Direct Earnings Attachments to employers which will increase our HBOP collection during 2018/19.</t>
  </si>
  <si>
    <t>3 jobs fairs have been delivered this financial year.</t>
  </si>
  <si>
    <t>The sale of the land has been agreed subject to formal approval at Council.</t>
  </si>
  <si>
    <t>Work commenced updating budget for key changes since budget was set in February 2018.  Budget guidelines established and key dates agreed.</t>
  </si>
  <si>
    <t>Officers have been keeping abreast of developments in relation to the new funding arrangements, including proposals for a simplified business rates retention system.  A consulation in relation to the fair funding review is anticpated in the next quarter, with consultation on business rates retention expected later this year or early next year.</t>
  </si>
  <si>
    <t>The accounts were approved by the Audit (Approval of Statement of Accounts) Committee on 25th July and subsequently published including an unqualified opinion issued by the Council's external auditors.</t>
  </si>
  <si>
    <t>A briefing on universal credit has been arranged for November.</t>
  </si>
  <si>
    <t>Members to be briefed in October 2018</t>
  </si>
  <si>
    <t>Responses are currently being analysed.</t>
  </si>
  <si>
    <t xml:space="preserve">The budget consultation opened on 7th September in line with the target.  </t>
  </si>
  <si>
    <t xml:space="preserve">Report was presented to CMT in September and is scheduled for presentation to LDL in October. </t>
  </si>
  <si>
    <t>In-house DFG service fully operational</t>
  </si>
  <si>
    <t>1 Market initiative completed at Tutbury Market on Sunday 16th September 2018</t>
  </si>
  <si>
    <t>Payment kiosk completed September 2018</t>
  </si>
  <si>
    <t>Implementation date was put back as agreed with the supplier for this added value service, allowing additional time for the necessary background software to be fully installed and integrated with the Merchant Banking Service provider and reporting functions to be calibrated.</t>
  </si>
  <si>
    <t>The final evaluation has now been completed and the project team's recommendations will go to full Council Meeting on the 7th November.</t>
  </si>
  <si>
    <t xml:space="preserve">3 new projects </t>
  </si>
  <si>
    <t>This report will be presented to CMT in November</t>
  </si>
  <si>
    <t>Work on this report is underway</t>
  </si>
  <si>
    <t>This report has been to CMT and will be signed off by EDR in November</t>
  </si>
  <si>
    <t>This report has been to CMT and will be signed off by Council in December</t>
  </si>
  <si>
    <t>Condition report was obtained on 21st September 2018.</t>
  </si>
  <si>
    <t>One briefing has been delivered. The second briefing is in the diary for January.</t>
  </si>
  <si>
    <t>Report presented to August CMT and signed off by EDR.</t>
  </si>
  <si>
    <t>3.9 per 10,000</t>
  </si>
  <si>
    <t>100%
1292 requests completed in 5 working days</t>
  </si>
  <si>
    <t>Legislation changed on 1st October 2018.
Report completed and scheduled to be presented to CMT in October and Licensing Committee in November</t>
  </si>
  <si>
    <t>Quarter 2 initiatives were:
1. Two day initiative in Branston targeting dog fouling hotspots (July)
2. Two day engagement initiative in Tutbury and Outwoods (July)
3. Three day initiative in Stretton centred on tackling ongoing environmental crime (July/August)
4. Three day engagement initiative in Rolleston on Dove (August)
5. Three day engagement initiative in Winshill (August)
6. Action week in Burton aimed at a variety of issues including fly-tipping, littering and parking (September)
7. Three day engagement initiative in Bagots (September)
8. Drop-in session in Anglesey in partnership with the Local Policing Team (September)</t>
  </si>
  <si>
    <t>8 initiatives have taken place in qtr 2</t>
  </si>
  <si>
    <t>12 initiatives</t>
  </si>
  <si>
    <t xml:space="preserve">2 Initiatives completed to investigate concerns of modern day slavery. </t>
  </si>
  <si>
    <t>Relevant audit of security arrangements scheduled for November 2018</t>
  </si>
  <si>
    <t>Review completed in July in line with the target, ahead of it being presented to CMT in August.</t>
  </si>
  <si>
    <t>This report has been to CMT and will be signed off ready for consultation in November</t>
  </si>
  <si>
    <t>A pilot scheme was identified and considered.</t>
  </si>
  <si>
    <t xml:space="preserve">It was agreed that the Council should instead look to take schemes forwards through an open process based on the Council's brownfield register. </t>
  </si>
  <si>
    <t xml:space="preserve">Public Art Project Proposal was presented to LDL on 31 May. </t>
  </si>
  <si>
    <t>At this meeting the following action was agreed: “Report noted and awaits Town Centre Consultants report”.</t>
  </si>
  <si>
    <t>Draft Tree Management Plan has been received from consultant and a resulting bid is now being written for grant support</t>
  </si>
  <si>
    <t>3 in Bloom gold awards with special recognition awards received for Winshill. Winshill also won the West Midlands category and are scheduled to enter the UK nationals in 2019.</t>
  </si>
  <si>
    <t>The landscape vision has been agreed with the Deputy Leader and this will be considered by Members in December. The business case was completed in conjunction with the Environment Agency and the full business case will be completed by Q1 2019/20, pending confirmation of costs and other details.</t>
  </si>
  <si>
    <t xml:space="preserve">Permission to apply granted by Arts Council England. </t>
  </si>
  <si>
    <t xml:space="preserve">Draft application currently being developed and quotes for all capital works obtained. </t>
  </si>
  <si>
    <t>There is one outstanding Debtors invoice of £45,557.13 that is now over 90 days old which HR and Legal teams are dealing with.</t>
  </si>
  <si>
    <t xml:space="preserve">A selection of 'Able Too' logos have been designed, consulted with the Able Too Forum and participants at this year's Able Too Games. </t>
  </si>
  <si>
    <t xml:space="preserve">The monitoring of the project delivery by the established Contracts Management team will commence with the mobilisation phase of the contract in November 2018. </t>
  </si>
  <si>
    <t>ESBC achieved the following 9 awards at the RHS  Its Your Neighbourhood Awards 2018:
4 "special recognition awards" were scooped by community projects supported by ESBC. These awards identify these projects as one of the best in the West Midlands.
Gold: Stapenhill Cemetery, Stapenhill Gardens, Mill Hill Lane (all up from Silver Gilt last year)
Silver Gilt: Bramshall Park
Silver: Branston Water Park (up from Bronze in 2017), Shobnall LC
Certificate of Entry: Anglesey, St Lukes Road, Pennycroft Park, Heath Road Park, Eton Park. The parks with a certificate of entry were entered for the first time to set a baseline for future improvements to the these parks.</t>
  </si>
  <si>
    <t xml:space="preserve">
Council was planned to meet in September to consider a range of projects, at which Lynwood Rd was all ready to be determined as it had been since Summer time. Due to external factors, the other projects (Leisure Management Options for instance) were reprogrammed to go to a November Council meeting. Given the December meeting, already necessary and in the calendar, it  was deemed an inefficient use of time to call three Council meetings (September, November and December) in a nine week period. Because of this it is believed that the item is ‘green’.
</t>
  </si>
  <si>
    <t xml:space="preserve">The Disability Sport Programme was launched in July. </t>
  </si>
  <si>
    <t>(TOP QUARTILE)</t>
  </si>
  <si>
    <t>The Quarter 2 forecast indicates that the Council is on track to underspend for the full financial year.</t>
  </si>
  <si>
    <t xml:space="preserve">Following approval to proceed with the mobilisation of the new Leisure Services management arrangements, the review of options for the Markets element of Cultural Services and any subsequent implementation can only take place beyond the end of the current financial year. </t>
  </si>
  <si>
    <t>To be deferred for consideration in the 2019/20 Corporate Plan</t>
  </si>
  <si>
    <t xml:space="preserve">The appointment of the Contracts and Strategic Leisure resource was dependent on the approval of the Leisure Management outsourcing arrangements. These proposals went before full Council in November 2018. The establishment of the Contracts team could only proceed once the appointment of a preferred contractor was approved by Council. The recruitment process commenced in November 2018 following this approval, with the appointment expected in early December. This resource will form an integral part of the mobilisation phase of the project, as well as the ongoing contract management post ‘go-live’. </t>
  </si>
  <si>
    <t>Consultation ended on the 31st October 2018. A report will be taken to Council in March 2019.</t>
  </si>
  <si>
    <t>Digital Strategy adopted by Cabinet in October 2019.</t>
  </si>
  <si>
    <t xml:space="preserve">Delegated decision EDR signed. </t>
  </si>
  <si>
    <t xml:space="preserve">The draft National Planning Policy Framework (NPPF) was published for consultation in March which implements around 80 reforms from the housing White Paper and associated consultations in 2017. ESBC sent a response to this in May. The revised NPPF was published in July 2018. 
Alongside the draft NPPF, there was a consultation on the reform of developer contributions to which a response was submitted. 
The regulations which require local planning authorities to review their local plans and statements of community involvement every five years came into force on 6th April. 
The permission in principle regulations which enable applications for permission in principle to be made for minor housing-led development came into force on 1 June 2018. 
Measures to streamline the decision-taking process for compulsory purchase orders (CPOs) came into force on 6 April 2018.
The consultation on powers for dealing with unauthorised development and encampments was published on 5 April.
Legislation came into force on 6 April 2018 to amend national permitted development rights. 
In October a further consultation on housing methodology was announced, setting out that the methodology should use the higher 2014 base population projections rather than the 2016 projections. ESBC provided a response in December 2018. 
The updated planning practice guidance on viability was published alongside the revised Framework in July and in September and guidance on Build to rent, Plan-making, Housing need assessment and Neighbourhood planning was updated. 
The first Housing Delivery Test (HDT) measurement was due to be published in November. As at early December 2018 no details of this have been announced but it is expected that as a result, ESBC can remain a 5% authority in terms of the five year land supply. 
The Planning Appeal Inquires Review took place during the summer and examined the planning appeal inquiry process from end to end and will make recommendations to reduce the time taken to conclude planning inquiries, while maintaining the quality of decisions. The Review report is expected by the end of 2018.
On 19 July 2018 the Government launched a consultation to seek views on the principle of whether non-hydraulic fracturing shale exploration development should be granted planning permission through a permitted development right, and in particular the circumstances in which it would be appropriate. ESBC have not received any such applications to date. 
From 1 October 2018 it is no longer acceptable to grant planning permission subject to a pre-commencement condition without the written agreement of the applicant. 
Following publication of the new viability guidance in July, MHCLG is developing open data tools to support increased transparency for developer contributions and viability assessments. MHCLG tested these tools with local authorities in the autumn.
During October MHCLG launched a consultation setting out proposals for permitted development rights to support the high street including allowing greater flexibility for change of use, extending buildings upwards to create new homes and removing the permitted development right for telephone kiosks and associated advertising consent. In addition, there are proposals to increase the height limit for electric vehicle charging points in off street parking spaces to accommodate rapid charging points and make permanent two time-limited rights to change use from storage or distribution to residential use and for larger home extensions. Views are also invited on the feasibility of a permitted development right for the redevelopment of a commercial site to create new homes.
The consultation also proposes to extend local authorities’ freedoms to dispose of surplus land at less than best consideration without the Secretary of State’s consent, and invites comments on a draft listed building consent order to allow routine works to the Canal &amp; River Trust’s structures without the need for individual applications. 
Alongside the budget, MHCLG published the Government’s response to the consultation on reforms to developer contributions. 
The reforms to developer contributions build on changes to viability assessments earlier in the year through the NPPF and accompanying guidance. They ensure that developers know what contributions they are expected to make, that local communities are clear about the infrastructure and affordable housing they will get, and that local authorities can hold them to account. The reforms include: introducing a new tariff for combined authorities, removing restrictions on how planning obligations can be used, measures to make Community Infrastructure Levy (CIL) rates more responsive to changes in the value of development, increasing transparency, and increasing certainty for developers on the contributions that they are required to make, by clarifying regulations. 
The report of the Independent Review of Build Out Rates was published alongside the Budget, finding no evidence of speculative land banking, with recommendations on new planning rules that require developers to offer a variety of property types on sites. The government will respond to the review in full in February 2019.
A final consultation was published in October, setting out the proposals to alter the standard method for assessing local housing need (set out above), housing land supply, the definition of deliverable and appropriate assessment. 
The Government consulted on whether developers should be required to conduct pre-application community consultation prior to submitting a planning application for shale gas development.
In October the government published three EU Exit statutory instruments which amend planning legislation in preparation for when the UK leaves the EU in March 2019. These relate to implementation of the EIA Directive, SEA Directive, and the land-use planning aspects of the Seveso III Directive (dangerous substances). 
</t>
  </si>
  <si>
    <t>Report to be taken to CMT in Feb.</t>
  </si>
  <si>
    <t>The Strategy is currently being finalised. Once completed the findings will be considered in line with this target.</t>
  </si>
  <si>
    <t>Star Chambers and Briefing to Conservative Away Day took place during this period.</t>
  </si>
  <si>
    <t>Government issued two new consultations in mid December, which are currently being reviewed by Officers.</t>
  </si>
  <si>
    <t>Analysis and reporting took place this quarter.</t>
  </si>
  <si>
    <t>On the 7th November Full Council approved the decision to award the Leisure Contract to Sport and Leisure Management. The Contract is due to commence 1st February.</t>
  </si>
  <si>
    <t>Off target</t>
  </si>
  <si>
    <t>Three job fairs have been delievered to date, a further job fair is arranged for January.</t>
  </si>
  <si>
    <t>The sale of land at Lynwood Road was approved by Full Council.</t>
  </si>
  <si>
    <t>Work with partners is ongoing and plans are in motion to involve new, commercial partners in emerging tourism activities. More information on this will be available in Quarter 4.</t>
  </si>
  <si>
    <t>The Count took place on night of 14th into the morning of 15th November 2018. Eleven rough sleepers were found, the result has been verified by Homeless Link but is awaiting adoptions by MHCLG.</t>
  </si>
  <si>
    <t xml:space="preserve">The revised Allocations Policy was adopted by the Council at a Cabinet meeting on 12 November 2018.  </t>
  </si>
  <si>
    <t>The Homelessness Stratgey 2018 - 2023 was adopted by the Council at a Cabinet meeting on 17 September 2018.</t>
  </si>
  <si>
    <t>To date 83% of 2018/19 project milestones have been achieved.</t>
  </si>
  <si>
    <t>End of year forecast 83% of 2018/19 project milestones will be achieved.</t>
  </si>
  <si>
    <t>Target costs and detailed design and contract documents were completed in December 2018.
Overall 83% of 2018/19 project milestones have been achieved.</t>
  </si>
  <si>
    <t>The policy for HMOs has been amended to include for a change in legislation removing the exemptions for HMOs that are less that two storeys. These changes have been publicised to make landlords aware which has led to an increased amount of HMOs that require a licence.</t>
  </si>
  <si>
    <t>Report approved by Cabinet in November 2018.</t>
  </si>
  <si>
    <t>Report to be submitted to January 2019 Cabinet.</t>
  </si>
  <si>
    <t>All customers are sent a satisfaction survey on completion which will help estbalish the basline level.</t>
  </si>
  <si>
    <t>Review of public toilet provision completed November 2018. It was agreed to retain the current level of provision across the Borough.</t>
  </si>
  <si>
    <t>First update report of the Deputy Leader included in the Members briefing in December 2018. Second report due March 2019.</t>
  </si>
  <si>
    <t>Communications Plan completed and approved by Executive Decision Record in December 2018.</t>
  </si>
  <si>
    <t>0% surveys Aug - Nov 18</t>
  </si>
  <si>
    <t>2.28 per 10,000
Equates to 221 missed bins in the third quarter from a total of 968,000 collections</t>
  </si>
  <si>
    <t>3.36 per 10,000</t>
  </si>
  <si>
    <t xml:space="preserve">Missed bins remains off target due to unfamiliarity with the collection rounds following the round changes across the Borough in March. However, performance in quarter 3 continues to improve from both Q1 and Q2. </t>
  </si>
  <si>
    <t>Completed.</t>
  </si>
  <si>
    <t>In this quarter we joined with the East Staffordshire Diabetes group to raise awareness of Diabetes to local residents via a promotioned stand in Station Street as part of our ongoing health promotions work toward national Diabetes Day.</t>
  </si>
  <si>
    <t>100% 
880 requests achieved within 5 working days</t>
  </si>
  <si>
    <t>42.05% estimated</t>
  </si>
  <si>
    <t>118.39kg - estimated</t>
  </si>
  <si>
    <t>355.50kg - estimated</t>
  </si>
  <si>
    <t>47.31% - estimated</t>
  </si>
  <si>
    <t>473.89kg - estimated</t>
  </si>
  <si>
    <t xml:space="preserve">Figures estimated as not all data received as yet.  </t>
  </si>
  <si>
    <t xml:space="preserve">figures estimated as not all data received as yet.  </t>
  </si>
  <si>
    <t>45% estimated</t>
  </si>
  <si>
    <t>12 Applications all within time = 100% - (Top quartile = 88%)</t>
  </si>
  <si>
    <t>80 Applications 76 within time = 95% - (Top quartile = 85%)</t>
  </si>
  <si>
    <t>139 Applications 135 within time = 97% - (Top quartile = 90%)</t>
  </si>
  <si>
    <t>44 Applications all within time = 100%</t>
  </si>
  <si>
    <t>414 Applications, 410 within time = 99%</t>
  </si>
  <si>
    <t>239 Applications, 232 within time = 97%</t>
  </si>
  <si>
    <t>Cabinet approved the deferral of this target at Q2 2018.</t>
  </si>
  <si>
    <t xml:space="preserve">Following the appointment of SLM (Everyone Active) in November 2018, the monitoring of the project delivery by the established Contracts Management team commenced with the mobilisation phase of the contract in November 2018.
</t>
  </si>
  <si>
    <t>The appointment of the Contracts and Strategic Leisure resource was dependent on the approval of the Leisure Management outsourcing arrangements. These proposals went before full Council in November 2018. The establishment of the Contracts team could only proceed once the appointment of a preferred contractor was approved by Council. A Contract Manager was appointed in November 2018 to oversee the leisure contract.</t>
  </si>
  <si>
    <t>The approved contract commenement date is 1st February 2019 and mobilisation and monitoiring will continue to be progressed.</t>
  </si>
  <si>
    <t>Enforcement initiatives continue to take place across the Borough with 9 undetaken in quarter 3</t>
  </si>
  <si>
    <t>21 initiatives</t>
  </si>
  <si>
    <t>A succession plan has been agreed with GO Garden volunteers which enables workers to utilise the facility without the direct supervison of ESBC officers</t>
  </si>
  <si>
    <t>Completed in quarter 1</t>
  </si>
  <si>
    <t>Grant submitted December 2018.</t>
  </si>
  <si>
    <t>Draft Green Flag Management Strategy is being drafted ready for final submission on January 31st. The draft plan incorporates elements of the Washlands project and elements funded through "business as usual" activities of the Open Spaces team.</t>
  </si>
  <si>
    <t>Actions are being agreed and taken forward with partners.</t>
  </si>
  <si>
    <t>1.87 days</t>
  </si>
  <si>
    <t>2.81 days</t>
  </si>
  <si>
    <t>10 days</t>
  </si>
  <si>
    <t>11 days</t>
  </si>
  <si>
    <t>12 days</t>
  </si>
  <si>
    <t>6.95 days</t>
  </si>
  <si>
    <t>6.50 days</t>
  </si>
  <si>
    <t>110.68%;                                                                            86%</t>
  </si>
  <si>
    <t>80%;                                                                            85%</t>
  </si>
  <si>
    <t>We are now able to request deductions from claimant's earnings via Direct Earnings Attachments, enabling increased collection of outstanding overpayments.</t>
  </si>
  <si>
    <t xml:space="preserve">85.33%;                                                                           86.03%   </t>
  </si>
  <si>
    <t xml:space="preserve">98%;                                                                           99%   </t>
  </si>
  <si>
    <t>Target is annual.</t>
  </si>
  <si>
    <t>£2,054,697.70;                                                               £856,263.28;                                                                 £70,311.85</t>
  </si>
  <si>
    <t>£1,900,000;                                                               £500,000;                                                                 £40,000</t>
  </si>
  <si>
    <t>There is an outstanding Sundry Debt invoice of £45,557.13 where the Debtor is currently in Administration. We are waiting for Legal/HR to confirm when the invoice can be sent for write off approval.</t>
  </si>
  <si>
    <t>Stakeholder meetings have been held monthly fom July 2018 and a Member's Briefing was held in November 2018.</t>
  </si>
  <si>
    <t>Completed September 2018</t>
  </si>
  <si>
    <t>Completed March 2018</t>
  </si>
  <si>
    <t>Study was completed September 2018 with no perceived improvements identified currently due to automation not being widely used by Capita sites. SSCM will provide an update to HoS and DL during Q4 as Capita are intending to make further improvements to the automation modules.</t>
  </si>
  <si>
    <t xml:space="preserve">Installation fully completed behind schedule due to technical difficulties with the software. </t>
  </si>
  <si>
    <t>Plan approved by Cabinet August 2018 and alterations completed October 2018.</t>
  </si>
  <si>
    <t>Universal Credit Live Service was implemented in East Staffordshire by the DWP on 21/11/2018. UC claimants have at least 5 weeks to wait for their UC claim decision which will impact on our processing performance as we move in Q4.</t>
  </si>
  <si>
    <t xml:space="preserve">Arts Council England application for Capital refurbishment costs for the Brewhouse submitted 25 October 2018. We will be notified of the outcome of the application by the end of January 2019. </t>
  </si>
  <si>
    <t>Public Art Project Proposal presented to LDL on 31 May 2018. Recommended next steps to be taken in line with Burton Regeneration Strategy.</t>
  </si>
  <si>
    <t>The Gambiling Act Policy was adoped by Council in December 2018.</t>
  </si>
  <si>
    <t>Content for the current website is being reviewed. Work will start on migrating data to the new website in February. The new website will be launched in March 2019.</t>
  </si>
  <si>
    <t>Fully achieved in previous quarter.</t>
  </si>
  <si>
    <t>Universal credit briefing took place this quarter.</t>
  </si>
  <si>
    <t>Quarter 3 figures not yet available.</t>
  </si>
  <si>
    <t>The Independent Chair and Panel have been appointed by Council and will be meeting in January 2019.</t>
  </si>
  <si>
    <t>PSN audit completed and submission made, awaiting response, member briefing arranged.</t>
  </si>
  <si>
    <t>Completed in last quarter.</t>
  </si>
  <si>
    <t>Completed in first quarter.</t>
  </si>
  <si>
    <t>100&amp;</t>
  </si>
  <si>
    <t>Report prepared for CMT in February 2019.</t>
  </si>
  <si>
    <t>Completed in second quarter.</t>
  </si>
  <si>
    <t>Review of Community &amp; Civil Enforcement Role presented to and approved by CMT in October 2018.</t>
  </si>
  <si>
    <t>(a) Conduct a Marketing Campaign Aimed at Businesses (October 2018) and; (b) Produce an Annual Report on Activity (March 2019)</t>
  </si>
  <si>
    <t>(a) Oct-18
(b) Mar-19</t>
  </si>
  <si>
    <t xml:space="preserve">(a) Marketing activity has been delivered.
(b) A report is now in production to be considered by Members in March. </t>
  </si>
  <si>
    <t>Report presented and approval given in October LDL for the improvement of cycling provision.</t>
  </si>
  <si>
    <t>Council decision in December 2018.</t>
  </si>
  <si>
    <t>2 initiatives undertaken with Police and Immigration focussing on HMOs and a food business.</t>
  </si>
  <si>
    <t>1 market inspection completed and desktop studies undertaken on an additional 3 markets in the borough.</t>
  </si>
  <si>
    <t>100%. This target has been achieved again for this quarter, and is on track to be achieved for the year as a whole.</t>
  </si>
  <si>
    <t>The consultants' report is due to be presented in January 2019.</t>
  </si>
  <si>
    <t>Second briefing is on 15 January 2019.</t>
  </si>
  <si>
    <t>121.89%;                                         
87%</t>
  </si>
  <si>
    <t>TBC</t>
  </si>
  <si>
    <t>James Abbott</t>
  </si>
  <si>
    <t>A report was presented and approved by Council on the 4th March 2019.</t>
  </si>
  <si>
    <t>Daniel Arnold</t>
  </si>
  <si>
    <t>Chloe Brown</t>
  </si>
  <si>
    <t>Completed in Quarter 2</t>
  </si>
  <si>
    <t>PSN accreditation awarded and member / briefing carried out, officer training and awareness carried out</t>
  </si>
  <si>
    <t>Completed in Quarter 3</t>
  </si>
  <si>
    <t>The consultants' report was presented in January 2019 and the findings have been considered by members. 
The Strategy has been used to support the Expression of Interest submitted in relation to the Future High Street Fund.
Some of the short-term recommendations have gone on to form Corporate Plan targets for 2019/20.</t>
  </si>
  <si>
    <t>Completed in June 2018</t>
  </si>
  <si>
    <t>Completed in June 2018. Service is fully operational</t>
  </si>
  <si>
    <t>Policy completed and adopted. New legislation is fully operational</t>
  </si>
  <si>
    <t>Policy completed and adopted in Sept 18</t>
  </si>
  <si>
    <t>In House service has been operational since April 2018</t>
  </si>
  <si>
    <t>Completed in November 2018</t>
  </si>
  <si>
    <t>2 initiatives undertaken in previous quarters for the investigation of potential modern day slavery at a HMO and an investgation of accommodation at the rear of a restaurant/ nail bar.</t>
  </si>
  <si>
    <t xml:space="preserve">1 Market visit for tutbury market and 3 desktop excercises completed for weekend markets. </t>
  </si>
  <si>
    <t>New legislation introduced in October 18 and targetted communication with landlords to aid compliance</t>
  </si>
  <si>
    <t xml:space="preserve">Feasibility resulted in funding Application to the Arts Council England which was unsuccessful. </t>
  </si>
  <si>
    <t>report presented and reslting recommendation was to revisit the plan, if appropriate, once plans for town centre regeneration underway/approved.</t>
  </si>
  <si>
    <t>Budget set at February 2019 Council.</t>
  </si>
  <si>
    <t>Responded to two consultations - "Business Rates Reform" and A Review of Relative Needs and Resources" in February 2019.</t>
  </si>
  <si>
    <t>Achieved in earlier quarter</t>
  </si>
  <si>
    <t>Report and recommendations approved by Cabinet in Jan-19.</t>
  </si>
  <si>
    <t>Report approved by Cabinet in Nov-18</t>
  </si>
  <si>
    <t>Resident surveys sent out and collected throughout the year to establish baseline levels of satisfaction.</t>
  </si>
  <si>
    <t>Two performance reports of the Deputy Leader included in the Members Briefing in December 2018 and March 2019 respectively.</t>
  </si>
  <si>
    <t>99%
953 resolved within 5 working days from a total of 965</t>
  </si>
  <si>
    <t>Completed in quarter 1.</t>
  </si>
  <si>
    <t>Completed in quarter 2.</t>
  </si>
  <si>
    <t>2 existing projects have been taken to completion.</t>
  </si>
  <si>
    <t xml:space="preserve">New corporate website design launched on 27th March 2019 </t>
  </si>
  <si>
    <t>Over 80% of targets milestones schedule for 2018/19 of the digital strategy achieved including launch of new website design, revision and restructure of web content and improvements to ESBC LLPG data.</t>
  </si>
  <si>
    <t>Completed, the authority organised and attended a total of six 'outreach' events to engage with local residents.</t>
  </si>
  <si>
    <t>Completed two events working in partnership with a number of local organisations and sponsors.</t>
  </si>
  <si>
    <t>4 new projects and 4 existing projects have been taken to completion.</t>
  </si>
  <si>
    <t>Supported Neighbourhood Fund and CCF projects have been promoted through press releases and social media channels.</t>
  </si>
  <si>
    <t>A report was presented to Cabinet in March, which provided an update on the business landscape in East Staffordshire and considered areas for futher investigation.</t>
  </si>
  <si>
    <t>Following a small, qualitative consultation of businesses for the business landscape report, it was agreed that a wider, quantitative survey would be undertaken during 2019/20.</t>
  </si>
  <si>
    <t>4 Job fairs have been delivered in total, this was the three expected events in addition to a complementary jobs fair in Uttoxeter.</t>
  </si>
  <si>
    <t>The landscape vision has been agreed with the Deputy Leader and this has been approved by Members at Council in December. The business case was completed in conjunction with the Environment Agency and the full business case will be completed by Q1 2019/20, pending confirmation of costs and other details.</t>
  </si>
  <si>
    <t>The Council has worked with its strategic partners on key activities such as a tourism BID feasibility project, with the National Forest, and a hotel and visitor accommodation study, with the Staffordshire Destination Management Partnership. As ever, we have supported promotion activities through electronic formats.</t>
  </si>
  <si>
    <t>2.8 per 10,000
Equates to 274 missed bins in the third quarter from a total of 968,000 collections</t>
  </si>
  <si>
    <t>3.2 per 10,000
Equates to 1251 missed bins in the full year from a total of 3.87 million collections</t>
  </si>
  <si>
    <t>6.21 days</t>
  </si>
  <si>
    <t>We have benefitted from DWP funding allowing us to purchase remote assistance in clearing DWPs VEP files. Staff have been able to manage the daily workload and the implementation of UC with this assistance.</t>
  </si>
  <si>
    <t>Review will be conducted in 2019/20 for 2020/21.</t>
  </si>
  <si>
    <t>Next review due 2020.</t>
  </si>
  <si>
    <t>The kiosk is working very well at the CSC, with £424k payments taken since its installation.</t>
  </si>
  <si>
    <t>The revised layout is working very well, with positive comments from customers and staff. Housing Options clients are dealt with in a more private setting. The upgraded visitor management system is enabling us to manage all CSC visitors in a more timely and professional manner.</t>
  </si>
  <si>
    <t>We are continuing to hold stakeholder meetings into 2019/20 to address any service issues and to prepare for possible managed migration of remaining caseload.</t>
  </si>
  <si>
    <t>Actions have been agreed and are now being implemented to improve the platform at the Train Station.</t>
  </si>
  <si>
    <t>37.11% estimated as not all data received</t>
  </si>
  <si>
    <t>118.39kg estimated as not all data received</t>
  </si>
  <si>
    <t>477.41kg estimated as not all data received</t>
  </si>
  <si>
    <t>44.92% estimated as not all data received</t>
  </si>
  <si>
    <t xml:space="preserve">The Council accepted 93 Prevention Duties and 113 Relief Duties across the 12 months, providing a Personal Housing Plan in each case. Target Fully Achieved. </t>
  </si>
  <si>
    <t>10 Applications - 9 Within time = 90% (Top quartile - 88)</t>
  </si>
  <si>
    <t>82 Applications - 77 within time = 94% (Top quartile = 85%)</t>
  </si>
  <si>
    <t>120 Applications - 119 within time = 99% (Top quartile = 90%)</t>
  </si>
  <si>
    <t>54 Applications - 53 within time = 98%</t>
  </si>
  <si>
    <t>321 Applications - 309 within time = 96%</t>
  </si>
  <si>
    <t>534 Applications - 529 within time = 99%</t>
  </si>
  <si>
    <t>TOP QUARTILE</t>
  </si>
  <si>
    <t>5.39 days</t>
  </si>
  <si>
    <t>All RBCC staff have received further training during the year which enables us to provide even better enquiry resolution at the first point of contact across the whole service.</t>
  </si>
  <si>
    <t>We have provided training to more staff during this year, increasing available resources.</t>
  </si>
  <si>
    <t>96.21%                                                                  85%</t>
  </si>
  <si>
    <t>106.74%                                                               86%</t>
  </si>
  <si>
    <t>During 2018/19, the DWP introduced Direct Earnings Attachments in partnership with HMRC which has enabled better collection during this year.</t>
  </si>
  <si>
    <t>97.79%                                                                 98.59%</t>
  </si>
  <si>
    <t>£2,148,726.01                                                       £576,290.06                                                          £26,083.72</t>
  </si>
  <si>
    <t>Council Tax and Business Rates arrears targets have not been met. This is partly due to the Revenues Team Leader being off sick for 3 months. The Valuation Office Agency has implemented new charges for business rates relating to years prior to 1st April 2018 totalling £1.31m during this year, £106k raised in March 2019 alone. Had these charges not been created it is highly likely that the business rates target would have been met. We have recently reviewed our resources to enable more work to be done on arrears cases and better collection in 2019/20.</t>
  </si>
  <si>
    <t>6 initiatives took place in qtr 4.</t>
  </si>
  <si>
    <t xml:space="preserve">Enforcement initiatives continue to take place across the Borough with 6 undetaken in quarter 4. </t>
  </si>
  <si>
    <t>Satisfaction of the Project Executive for both projects has achieved the milestones set, considering relevant financial, legal, procurement and project management contributions to these projects. This is further demonstrated by these projects achieving their milestones and tracking within approved budgets</t>
  </si>
  <si>
    <t>On 1st February 2019 SLM, under their customer facing brand of Everyone Active, took over management of the Council’s leisure services and facilities. 
Co-ordinated by the Leisure Services Contract Manager, the Council has implemented a robust contract management procedure to ensure that the performance standards set out in the contract specification are being adhered to. The Council and Everyone Active have met on a regular basis to discuss feedback, and undertake the necessary contract management. 
In addition to the service developments, building redevelopment at Meadowside Leisure Centre commenced on Monday 25th March 2019. The centre, will receive a new a state-of-the-art 120-station fitness suite kitted out with Technogym equipment, a new group exercise studio and virtual cycling studio, a large functional training and free weight area and a health suite. In addition, a new four-storey soft play facility and an exhilarating Clip ’n Climb activity area will be installed, alongside new-look dryside changing rooms and front of house and café areas.</t>
  </si>
  <si>
    <t>Completed MARCH 2019. Fees signed off by EDR and republished April 2019.</t>
  </si>
  <si>
    <t xml:space="preserve">Green Flag management plan completed and submitted to Keep Britain Tidy on January 30th. Judging date arranged for May 16th 2019 </t>
  </si>
  <si>
    <t>Completed March 2019. Contract and new terms being set currently for completion later in 2019.</t>
  </si>
  <si>
    <t>Previously deferred.</t>
  </si>
  <si>
    <t>1 * RBCC contract with ESCA for Universal Credit suport and 2 * HO contracts with YMCA for Homelessness related services.</t>
  </si>
  <si>
    <t>Achieved in Quarter 3.</t>
  </si>
  <si>
    <t>Completed earlier in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</si>
</sst>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 yyyy"/>
  </numFmts>
  <fonts count="69" x14ac:knownFonts="1">
    <font>
      <sz val="11"/>
      <color theme="1"/>
      <name val="Calibri"/>
      <family val="2"/>
      <scheme val="minor"/>
    </font>
    <font>
      <b/>
      <sz val="12"/>
      <color rgb="FF000000"/>
      <name val="Arial"/>
      <family val="2"/>
    </font>
    <font>
      <b/>
      <sz val="12"/>
      <name val="Arial"/>
      <family val="2"/>
    </font>
    <font>
      <b/>
      <sz val="12"/>
      <color theme="0"/>
      <name val="Arial"/>
      <family val="2"/>
    </font>
    <font>
      <sz val="11"/>
      <color theme="0"/>
      <name val="Calibri"/>
      <family val="2"/>
      <scheme val="minor"/>
    </font>
    <font>
      <sz val="10"/>
      <name val="Arial"/>
      <family val="2"/>
    </font>
    <font>
      <sz val="12"/>
      <color theme="1"/>
      <name val="Arial"/>
      <family val="2"/>
    </font>
    <font>
      <b/>
      <sz val="12"/>
      <color theme="1"/>
      <name val="Arial"/>
      <family val="2"/>
    </font>
    <font>
      <b/>
      <sz val="12"/>
      <color rgb="FFFFFFFF"/>
      <name val="Arial"/>
      <family val="2"/>
    </font>
    <font>
      <b/>
      <i/>
      <sz val="12"/>
      <color theme="1"/>
      <name val="Arial"/>
      <family val="2"/>
    </font>
    <font>
      <b/>
      <sz val="14"/>
      <color theme="0"/>
      <name val="Arial"/>
      <family val="2"/>
    </font>
    <font>
      <b/>
      <sz val="11"/>
      <color theme="1"/>
      <name val="Arial"/>
      <family val="2"/>
    </font>
    <font>
      <sz val="11"/>
      <color theme="1"/>
      <name val="Arial"/>
      <family val="2"/>
    </font>
    <font>
      <b/>
      <sz val="14"/>
      <name val="Arial"/>
      <family val="2"/>
    </font>
    <font>
      <sz val="11"/>
      <color theme="0"/>
      <name val="Arial"/>
      <family val="2"/>
    </font>
    <font>
      <b/>
      <u/>
      <sz val="28"/>
      <color theme="0"/>
      <name val="Arial"/>
      <family val="2"/>
    </font>
    <font>
      <b/>
      <u/>
      <sz val="11"/>
      <color theme="0"/>
      <name val="Arial"/>
      <family val="2"/>
    </font>
    <font>
      <b/>
      <sz val="11"/>
      <color theme="0"/>
      <name val="Arial"/>
      <family val="2"/>
    </font>
    <font>
      <b/>
      <i/>
      <sz val="11"/>
      <color theme="0"/>
      <name val="Arial"/>
      <family val="2"/>
    </font>
    <font>
      <b/>
      <sz val="18"/>
      <color rgb="FF000000"/>
      <name val="Arial"/>
      <family val="2"/>
    </font>
    <font>
      <b/>
      <sz val="16"/>
      <color theme="0"/>
      <name val="Arial"/>
      <family val="2"/>
    </font>
    <font>
      <b/>
      <sz val="14"/>
      <color theme="1"/>
      <name val="Arial"/>
      <family val="2"/>
    </font>
    <font>
      <b/>
      <sz val="13"/>
      <color theme="3"/>
      <name val="Calibri"/>
      <family val="2"/>
      <scheme val="minor"/>
    </font>
    <font>
      <b/>
      <sz val="10"/>
      <name val="Arial"/>
      <family val="2"/>
    </font>
    <font>
      <u/>
      <sz val="11"/>
      <color theme="10"/>
      <name val="Calibri"/>
      <family val="2"/>
    </font>
    <font>
      <b/>
      <u/>
      <sz val="14"/>
      <color theme="10"/>
      <name val="Arial"/>
      <family val="2"/>
    </font>
    <font>
      <b/>
      <sz val="11"/>
      <name val="Arial"/>
      <family val="2"/>
    </font>
    <font>
      <b/>
      <sz val="18"/>
      <color rgb="FF002060"/>
      <name val="Arial"/>
      <family val="2"/>
    </font>
    <font>
      <b/>
      <u/>
      <sz val="12"/>
      <color rgb="FF002060"/>
      <name val="Arial"/>
      <family val="2"/>
    </font>
    <font>
      <b/>
      <u/>
      <sz val="18"/>
      <color rgb="FF002060"/>
      <name val="Arial"/>
      <family val="2"/>
    </font>
    <font>
      <u/>
      <sz val="11"/>
      <color theme="0"/>
      <name val="Calibri"/>
      <family val="2"/>
    </font>
    <font>
      <b/>
      <sz val="20"/>
      <color rgb="FFFFFFFF"/>
      <name val="Arial"/>
      <family val="2"/>
    </font>
    <font>
      <b/>
      <sz val="20"/>
      <color theme="1"/>
      <name val="Arial"/>
      <family val="2"/>
    </font>
    <font>
      <b/>
      <u/>
      <sz val="12"/>
      <color theme="10"/>
      <name val="Arial"/>
      <family val="2"/>
    </font>
    <font>
      <sz val="12"/>
      <name val="Arial"/>
      <family val="2"/>
    </font>
    <font>
      <sz val="9"/>
      <color indexed="81"/>
      <name val="Tahoma"/>
      <family val="2"/>
    </font>
    <font>
      <b/>
      <sz val="9"/>
      <color indexed="81"/>
      <name val="Tahoma"/>
      <family val="2"/>
    </font>
    <font>
      <u/>
      <sz val="14"/>
      <color theme="10"/>
      <name val="Arial"/>
      <family val="2"/>
    </font>
    <font>
      <sz val="10"/>
      <color indexed="81"/>
      <name val="Arial"/>
      <family val="2"/>
    </font>
    <font>
      <b/>
      <sz val="48"/>
      <color rgb="FF000000"/>
      <name val="Arial"/>
      <family val="2"/>
    </font>
    <font>
      <u/>
      <sz val="12"/>
      <color theme="10"/>
      <name val="Calibri"/>
      <family val="2"/>
    </font>
    <font>
      <sz val="12"/>
      <color theme="1"/>
      <name val="Calibri"/>
      <family val="2"/>
      <scheme val="minor"/>
    </font>
    <font>
      <sz val="11"/>
      <name val="Arial"/>
      <family val="2"/>
    </font>
    <font>
      <b/>
      <sz val="16"/>
      <name val="Arial"/>
      <family val="2"/>
    </font>
    <font>
      <sz val="11"/>
      <name val="Calibri"/>
      <family val="2"/>
      <scheme val="minor"/>
    </font>
    <font>
      <b/>
      <sz val="18"/>
      <name val="Arial"/>
      <family val="2"/>
    </font>
    <font>
      <sz val="16"/>
      <name val="Arial"/>
      <family val="2"/>
    </font>
    <font>
      <sz val="12"/>
      <color theme="0"/>
      <name val="Arial"/>
      <family val="2"/>
    </font>
    <font>
      <b/>
      <sz val="18"/>
      <color theme="0"/>
      <name val="Arial"/>
      <family val="2"/>
    </font>
    <font>
      <sz val="12"/>
      <color rgb="FF000000"/>
      <name val="Arial"/>
      <family val="2"/>
    </font>
    <font>
      <b/>
      <shadow/>
      <sz val="16"/>
      <color rgb="FFFFFFFF"/>
      <name val="Arial"/>
      <family val="2"/>
    </font>
    <font>
      <sz val="16"/>
      <color theme="1"/>
      <name val="Calibri"/>
      <family val="2"/>
      <scheme val="minor"/>
    </font>
    <font>
      <sz val="11"/>
      <color theme="1"/>
      <name val="Wingdings"/>
      <charset val="2"/>
    </font>
    <font>
      <sz val="72"/>
      <color theme="1"/>
      <name val="Wingdings"/>
      <charset val="2"/>
    </font>
    <font>
      <sz val="72"/>
      <name val="Wingdings"/>
      <charset val="2"/>
    </font>
    <font>
      <b/>
      <u/>
      <sz val="14"/>
      <color rgb="FF0066FF"/>
      <name val="Calibri"/>
      <family val="2"/>
    </font>
    <font>
      <sz val="11"/>
      <color rgb="FF0066FF"/>
      <name val="Calibri"/>
      <family val="2"/>
      <scheme val="minor"/>
    </font>
    <font>
      <b/>
      <u/>
      <sz val="16"/>
      <color theme="10"/>
      <name val="Arial"/>
      <family val="2"/>
    </font>
    <font>
      <b/>
      <sz val="16"/>
      <color theme="1"/>
      <name val="Arial"/>
      <family val="2"/>
    </font>
    <font>
      <sz val="12"/>
      <color theme="0"/>
      <name val="Calibri"/>
      <family val="2"/>
      <scheme val="minor"/>
    </font>
    <font>
      <sz val="16"/>
      <color theme="0"/>
      <name val="Arial"/>
      <family val="2"/>
    </font>
    <font>
      <sz val="12"/>
      <name val="Calibri"/>
      <family val="2"/>
      <scheme val="minor"/>
    </font>
    <font>
      <b/>
      <u/>
      <sz val="11"/>
      <color rgb="FF0066FF"/>
      <name val="Calibri"/>
      <family val="2"/>
    </font>
    <font>
      <b/>
      <sz val="48"/>
      <name val="Arial"/>
      <family val="2"/>
    </font>
    <font>
      <sz val="11"/>
      <color theme="1"/>
      <name val="Calibri"/>
      <family val="2"/>
      <scheme val="minor"/>
    </font>
    <font>
      <sz val="14"/>
      <name val="Wingdings"/>
      <charset val="2"/>
    </font>
    <font>
      <sz val="14"/>
      <color theme="1"/>
      <name val="Calibri"/>
      <family val="2"/>
      <scheme val="minor"/>
    </font>
    <font>
      <b/>
      <i/>
      <sz val="12"/>
      <color rgb="FF000000"/>
      <name val="Arial"/>
      <family val="2"/>
    </font>
    <font>
      <b/>
      <i/>
      <sz val="12"/>
      <name val="Arial"/>
      <family val="2"/>
    </font>
  </fonts>
  <fills count="22">
    <fill>
      <patternFill patternType="none"/>
    </fill>
    <fill>
      <patternFill patternType="gray125"/>
    </fill>
    <fill>
      <patternFill patternType="solid">
        <fgColor rgb="FF00206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C000"/>
        <bgColor indexed="64"/>
      </patternFill>
    </fill>
    <fill>
      <patternFill patternType="solid">
        <fgColor theme="0"/>
        <bgColor indexed="64"/>
      </patternFill>
    </fill>
    <fill>
      <patternFill patternType="solid">
        <fgColor rgb="FFFFFF99"/>
        <bgColor indexed="64"/>
      </patternFill>
    </fill>
    <fill>
      <patternFill patternType="solid">
        <fgColor rgb="FF91F789"/>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00863D"/>
        <bgColor indexed="64"/>
      </patternFill>
    </fill>
    <fill>
      <patternFill patternType="solid">
        <fgColor rgb="FFD9FFD9"/>
        <bgColor indexed="64"/>
      </patternFill>
    </fill>
    <fill>
      <patternFill patternType="solid">
        <fgColor rgb="FF00B050"/>
        <bgColor indexed="64"/>
      </patternFill>
    </fill>
    <fill>
      <patternFill patternType="solid">
        <fgColor rgb="FF00B050"/>
        <bgColor rgb="FF000000"/>
      </patternFill>
    </fill>
    <fill>
      <patternFill patternType="solid">
        <fgColor rgb="FFCCC0DA"/>
        <bgColor indexed="64"/>
      </patternFill>
    </fill>
    <fill>
      <patternFill patternType="solid">
        <fgColor rgb="FFEFEFFF"/>
        <bgColor indexed="64"/>
      </patternFill>
    </fill>
    <fill>
      <patternFill patternType="solid">
        <fgColor theme="0"/>
        <bgColor rgb="FF000000"/>
      </patternFill>
    </fill>
  </fills>
  <borders count="5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tint="0.499984740745262"/>
      </bottom>
      <diagonal/>
    </border>
    <border>
      <left/>
      <right/>
      <top style="thick">
        <color theme="4" tint="0.499984740745262"/>
      </top>
      <bottom/>
      <diagonal/>
    </border>
    <border>
      <left style="thick">
        <color rgb="FFFFFFFF"/>
      </left>
      <right style="thick">
        <color rgb="FFFFFFFF"/>
      </right>
      <top/>
      <bottom style="thick">
        <color rgb="FFFFFFFF"/>
      </bottom>
      <diagonal/>
    </border>
    <border>
      <left style="thin">
        <color indexed="64"/>
      </left>
      <right style="thin">
        <color indexed="64"/>
      </right>
      <top/>
      <bottom/>
      <diagonal/>
    </border>
    <border>
      <left/>
      <right style="thick">
        <color rgb="FFFFFFFF"/>
      </right>
      <top/>
      <bottom/>
      <diagonal/>
    </border>
    <border>
      <left style="thin">
        <color indexed="64"/>
      </left>
      <right/>
      <top/>
      <bottom style="thin">
        <color indexed="64"/>
      </bottom>
      <diagonal/>
    </border>
    <border>
      <left/>
      <right/>
      <top/>
      <bottom style="thin">
        <color indexed="64"/>
      </bottom>
      <diagonal/>
    </border>
    <border>
      <left style="thick">
        <color rgb="FFFFC000"/>
      </left>
      <right style="thick">
        <color rgb="FFFFC000"/>
      </right>
      <top style="thick">
        <color rgb="FFFFC000"/>
      </top>
      <bottom style="thick">
        <color rgb="FFFFC000"/>
      </bottom>
      <diagonal/>
    </border>
    <border>
      <left/>
      <right/>
      <top style="thin">
        <color indexed="64"/>
      </top>
      <bottom/>
      <diagonal/>
    </border>
    <border>
      <left style="thick">
        <color rgb="FF00863D"/>
      </left>
      <right style="thick">
        <color rgb="FF00863D"/>
      </right>
      <top style="thick">
        <color rgb="FF00863D"/>
      </top>
      <bottom style="thick">
        <color rgb="FF00863D"/>
      </bottom>
      <diagonal/>
    </border>
    <border>
      <left style="thick">
        <color rgb="FFFFFFFF"/>
      </left>
      <right/>
      <top/>
      <bottom style="thick">
        <color rgb="FFFFFFFF"/>
      </bottom>
      <diagonal/>
    </border>
    <border>
      <left style="thick">
        <color rgb="FF00863D"/>
      </left>
      <right/>
      <top style="thick">
        <color rgb="FF00863D"/>
      </top>
      <bottom style="thick">
        <color rgb="FF00863D"/>
      </bottom>
      <diagonal/>
    </border>
    <border>
      <left style="thick">
        <color rgb="FFFF0000"/>
      </left>
      <right style="thick">
        <color rgb="FFFF0000"/>
      </right>
      <top style="thick">
        <color rgb="FFFF0000"/>
      </top>
      <bottom style="thick">
        <color rgb="FFFF0000"/>
      </bottom>
      <diagonal/>
    </border>
    <border>
      <left style="thick">
        <color rgb="FFFFC000"/>
      </left>
      <right/>
      <top style="thick">
        <color rgb="FFFFC000"/>
      </top>
      <bottom style="thick">
        <color rgb="FFFFC000"/>
      </bottom>
      <diagonal/>
    </border>
    <border>
      <left/>
      <right style="thick">
        <color rgb="FFFFC000"/>
      </right>
      <top style="thick">
        <color rgb="FFFFC000"/>
      </top>
      <bottom style="thick">
        <color rgb="FFFFC000"/>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FFFF"/>
      </left>
      <right/>
      <top/>
      <bottom/>
      <diagonal/>
    </border>
    <border>
      <left style="thick">
        <color rgb="FFFFFFFF"/>
      </left>
      <right style="thick">
        <color rgb="FF00863D"/>
      </right>
      <top style="thick">
        <color rgb="FFFFFFFF"/>
      </top>
      <bottom/>
      <diagonal/>
    </border>
    <border>
      <left style="thick">
        <color rgb="FFFFFFFF"/>
      </left>
      <right style="thick">
        <color rgb="FF00863D"/>
      </right>
      <top/>
      <bottom style="thick">
        <color rgb="FFFFFFFF"/>
      </bottom>
      <diagonal/>
    </border>
    <border>
      <left/>
      <right style="thick">
        <color rgb="FFFFFFFF"/>
      </right>
      <top style="thick">
        <color rgb="FFFFFFFF"/>
      </top>
      <bottom/>
      <diagonal/>
    </border>
    <border>
      <left style="thick">
        <color rgb="FFFFFFFF"/>
      </left>
      <right style="thick">
        <color rgb="FFFFFFFF"/>
      </right>
      <top style="thick">
        <color rgb="FFFFFFFF"/>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5">
    <xf numFmtId="0" fontId="0" fillId="0" borderId="0"/>
    <xf numFmtId="0" fontId="5" fillId="0" borderId="0"/>
    <xf numFmtId="0" fontId="22" fillId="0" borderId="7" applyNumberFormat="0" applyFill="0" applyAlignment="0" applyProtection="0"/>
    <xf numFmtId="0" fontId="24" fillId="0" borderId="0" applyNumberFormat="0" applyFill="0" applyBorder="0" applyAlignment="0" applyProtection="0">
      <alignment vertical="top"/>
      <protection locked="0"/>
    </xf>
    <xf numFmtId="9" fontId="64" fillId="0" borderId="0" applyFont="0" applyFill="0" applyBorder="0" applyAlignment="0" applyProtection="0"/>
  </cellStyleXfs>
  <cellXfs count="503">
    <xf numFmtId="0" fontId="0" fillId="0" borderId="0" xfId="0"/>
    <xf numFmtId="0" fontId="12" fillId="7" borderId="0" xfId="0" applyFont="1" applyFill="1" applyBorder="1" applyAlignment="1">
      <alignment horizontal="center" vertical="center"/>
    </xf>
    <xf numFmtId="0" fontId="15" fillId="2" borderId="0" xfId="0" applyFont="1" applyFill="1"/>
    <xf numFmtId="0" fontId="4" fillId="2" borderId="0" xfId="0" applyFont="1" applyFill="1"/>
    <xf numFmtId="0" fontId="14" fillId="2" borderId="0" xfId="0" applyFont="1" applyFill="1"/>
    <xf numFmtId="0" fontId="16" fillId="2" borderId="0" xfId="0" applyFont="1" applyFill="1"/>
    <xf numFmtId="0" fontId="14" fillId="2" borderId="0" xfId="0" applyFont="1" applyFill="1" applyBorder="1"/>
    <xf numFmtId="0" fontId="17" fillId="2" borderId="2" xfId="0" applyFont="1" applyFill="1" applyBorder="1"/>
    <xf numFmtId="10" fontId="14" fillId="2" borderId="0" xfId="0" applyNumberFormat="1" applyFont="1" applyFill="1" applyBorder="1" applyAlignment="1">
      <alignment horizontal="center" vertical="center"/>
    </xf>
    <xf numFmtId="0" fontId="18" fillId="2" borderId="0" xfId="0" applyFont="1" applyFill="1" applyBorder="1"/>
    <xf numFmtId="0" fontId="17" fillId="2" borderId="0" xfId="0" applyFont="1" applyFill="1"/>
    <xf numFmtId="0" fontId="17" fillId="2" borderId="0" xfId="0" applyFont="1" applyFill="1" applyBorder="1"/>
    <xf numFmtId="0" fontId="23" fillId="7" borderId="7" xfId="2" applyFont="1" applyFill="1" applyAlignment="1">
      <alignment horizontal="left" vertical="center" wrapText="1"/>
    </xf>
    <xf numFmtId="0" fontId="5" fillId="7" borderId="0" xfId="0" applyFont="1" applyFill="1" applyBorder="1" applyAlignment="1">
      <alignment horizontal="left" vertical="center" wrapText="1"/>
    </xf>
    <xf numFmtId="0" fontId="23" fillId="7" borderId="0" xfId="2" applyFont="1" applyFill="1" applyBorder="1" applyAlignment="1">
      <alignment horizontal="center" vertical="center" wrapText="1"/>
    </xf>
    <xf numFmtId="0" fontId="23" fillId="7" borderId="7" xfId="2" applyFont="1" applyFill="1" applyAlignment="1">
      <alignment horizontal="center" vertical="center" wrapText="1"/>
    </xf>
    <xf numFmtId="0" fontId="5" fillId="7" borderId="0" xfId="0" applyFont="1" applyFill="1" applyBorder="1" applyAlignment="1">
      <alignment horizontal="center" vertical="center" wrapText="1"/>
    </xf>
    <xf numFmtId="0" fontId="23" fillId="8" borderId="7" xfId="2" applyFont="1" applyFill="1" applyAlignment="1">
      <alignment horizontal="left" vertical="center" wrapText="1"/>
    </xf>
    <xf numFmtId="0" fontId="25" fillId="8" borderId="7" xfId="3" applyFont="1" applyFill="1" applyBorder="1" applyAlignment="1" applyProtection="1">
      <alignment horizontal="center" vertical="center" wrapText="1"/>
    </xf>
    <xf numFmtId="0" fontId="2" fillId="8" borderId="7" xfId="2" applyFont="1" applyFill="1" applyAlignment="1">
      <alignment horizontal="left" vertical="center"/>
    </xf>
    <xf numFmtId="0" fontId="26" fillId="8" borderId="7" xfId="2" applyFont="1" applyFill="1" applyAlignment="1">
      <alignment horizontal="left" vertical="center"/>
    </xf>
    <xf numFmtId="0" fontId="28" fillId="7" borderId="7" xfId="2" applyFont="1" applyFill="1" applyAlignment="1">
      <alignment horizontal="left" vertical="center"/>
    </xf>
    <xf numFmtId="0" fontId="30" fillId="2" borderId="0" xfId="3" applyFont="1" applyFill="1" applyBorder="1" applyAlignment="1" applyProtection="1">
      <alignment horizontal="center"/>
    </xf>
    <xf numFmtId="0" fontId="0" fillId="0" borderId="0" xfId="0" applyAlignment="1">
      <alignment vertical="center"/>
    </xf>
    <xf numFmtId="0" fontId="4" fillId="0" borderId="0" xfId="0" applyFont="1" applyAlignment="1">
      <alignment vertical="center"/>
    </xf>
    <xf numFmtId="0" fontId="25" fillId="8" borderId="7" xfId="3" applyFont="1" applyFill="1" applyBorder="1" applyAlignment="1" applyProtection="1">
      <alignment horizontal="left" vertical="center" wrapText="1"/>
    </xf>
    <xf numFmtId="0" fontId="2" fillId="7" borderId="7" xfId="2" applyFont="1" applyFill="1" applyAlignment="1">
      <alignment horizontal="center" vertical="center" wrapText="1"/>
    </xf>
    <xf numFmtId="0" fontId="33" fillId="10" borderId="7" xfId="3" applyFont="1" applyFill="1" applyBorder="1" applyAlignment="1" applyProtection="1">
      <alignment horizontal="center" vertical="center" wrapText="1"/>
    </xf>
    <xf numFmtId="0" fontId="2" fillId="7" borderId="0" xfId="2" applyFont="1" applyFill="1" applyBorder="1" applyAlignment="1">
      <alignment horizontal="center" vertical="center" wrapText="1"/>
    </xf>
    <xf numFmtId="0" fontId="34" fillId="7" borderId="0" xfId="0" applyFont="1" applyFill="1" applyBorder="1" applyAlignment="1">
      <alignment horizontal="center" vertical="center" wrapText="1"/>
    </xf>
    <xf numFmtId="0" fontId="0" fillId="7" borderId="0" xfId="0" applyFill="1" applyAlignment="1">
      <alignment vertical="center"/>
    </xf>
    <xf numFmtId="0" fontId="4" fillId="7" borderId="0" xfId="0" applyFont="1" applyFill="1" applyAlignment="1">
      <alignment vertical="center"/>
    </xf>
    <xf numFmtId="0" fontId="33" fillId="7" borderId="7" xfId="3" applyFont="1" applyFill="1" applyBorder="1" applyAlignment="1" applyProtection="1">
      <alignment horizontal="center" vertical="center" wrapText="1"/>
    </xf>
    <xf numFmtId="0" fontId="37" fillId="7" borderId="0" xfId="3" applyFont="1" applyFill="1" applyBorder="1" applyAlignment="1" applyProtection="1">
      <alignment horizontal="center" vertical="center"/>
    </xf>
    <xf numFmtId="0" fontId="0" fillId="7" borderId="0" xfId="0" applyFill="1" applyProtection="1"/>
    <xf numFmtId="0" fontId="0" fillId="0" borderId="0" xfId="0" applyProtection="1"/>
    <xf numFmtId="0" fontId="13" fillId="7" borderId="7" xfId="2" applyFont="1" applyFill="1" applyAlignment="1">
      <alignment horizontal="center" vertical="center" wrapText="1"/>
    </xf>
    <xf numFmtId="0" fontId="13" fillId="7" borderId="0" xfId="2" applyFont="1" applyFill="1" applyBorder="1" applyAlignment="1">
      <alignment horizontal="center" vertical="center" wrapText="1"/>
    </xf>
    <xf numFmtId="0" fontId="13" fillId="7" borderId="0" xfId="0" applyFont="1" applyFill="1" applyBorder="1" applyAlignment="1">
      <alignment horizontal="center" vertical="center" wrapText="1"/>
    </xf>
    <xf numFmtId="0" fontId="13" fillId="11" borderId="7" xfId="3" applyFont="1" applyFill="1" applyBorder="1" applyAlignment="1" applyProtection="1">
      <alignment horizontal="center" vertical="center" wrapText="1"/>
    </xf>
    <xf numFmtId="0" fontId="13" fillId="9" borderId="7" xfId="3" applyFont="1" applyFill="1" applyBorder="1" applyAlignment="1" applyProtection="1">
      <alignment horizontal="center" vertical="center" wrapText="1"/>
    </xf>
    <xf numFmtId="0" fontId="0" fillId="0" borderId="0" xfId="0" applyAlignment="1" applyProtection="1">
      <alignment wrapText="1"/>
    </xf>
    <xf numFmtId="0" fontId="0" fillId="7" borderId="0" xfId="0" applyFill="1" applyAlignment="1" applyProtection="1">
      <alignment horizontal="left" vertical="top" wrapText="1"/>
    </xf>
    <xf numFmtId="0" fontId="0" fillId="0" borderId="0" xfId="0" applyAlignment="1" applyProtection="1">
      <alignment horizontal="left" vertical="top" wrapText="1"/>
    </xf>
    <xf numFmtId="10" fontId="6" fillId="7" borderId="0" xfId="0" applyNumberFormat="1" applyFont="1" applyFill="1" applyBorder="1" applyAlignment="1">
      <alignment horizontal="center" vertical="center"/>
    </xf>
    <xf numFmtId="0" fontId="6" fillId="7" borderId="0" xfId="0" applyFont="1" applyFill="1" applyBorder="1" applyAlignment="1">
      <alignment horizontal="center" vertical="center"/>
    </xf>
    <xf numFmtId="0" fontId="2" fillId="0" borderId="2" xfId="0" applyFont="1" applyFill="1" applyBorder="1" applyAlignment="1">
      <alignment vertical="center" wrapText="1"/>
    </xf>
    <xf numFmtId="0" fontId="6" fillId="7" borderId="2" xfId="0" applyFont="1" applyFill="1" applyBorder="1" applyAlignment="1">
      <alignment vertical="center" wrapText="1"/>
    </xf>
    <xf numFmtId="0" fontId="9" fillId="7" borderId="2" xfId="0" applyFont="1" applyFill="1" applyBorder="1" applyAlignment="1">
      <alignment vertical="center" wrapText="1"/>
    </xf>
    <xf numFmtId="10" fontId="7" fillId="7" borderId="0" xfId="0" applyNumberFormat="1" applyFont="1" applyFill="1" applyBorder="1" applyAlignment="1">
      <alignment horizontal="center" vertical="center"/>
    </xf>
    <xf numFmtId="0" fontId="6" fillId="7" borderId="0" xfId="0" applyFont="1" applyFill="1" applyBorder="1" applyAlignment="1">
      <alignment vertical="center"/>
    </xf>
    <xf numFmtId="0" fontId="2" fillId="0" borderId="0" xfId="0" applyFont="1" applyFill="1" applyBorder="1" applyAlignment="1">
      <alignment vertical="center" wrapText="1"/>
    </xf>
    <xf numFmtId="10" fontId="21" fillId="0" borderId="0" xfId="0" applyNumberFormat="1" applyFont="1" applyFill="1" applyBorder="1" applyAlignment="1">
      <alignment horizontal="center" vertical="center" wrapText="1"/>
    </xf>
    <xf numFmtId="0" fontId="41" fillId="0" borderId="0" xfId="0" applyFont="1" applyAlignment="1" applyProtection="1">
      <alignment vertical="center" wrapText="1"/>
    </xf>
    <xf numFmtId="0" fontId="2" fillId="0"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14" fillId="7" borderId="0" xfId="0" applyFont="1" applyFill="1" applyAlignment="1">
      <alignment vertical="center"/>
    </xf>
    <xf numFmtId="0" fontId="7" fillId="7" borderId="0" xfId="0" applyFont="1" applyFill="1" applyAlignment="1">
      <alignment horizontal="center" vertical="center"/>
    </xf>
    <xf numFmtId="0" fontId="12" fillId="7" borderId="0" xfId="0" applyFont="1" applyFill="1" applyAlignment="1">
      <alignment vertical="center"/>
    </xf>
    <xf numFmtId="0" fontId="12" fillId="0" borderId="0" xfId="0" applyFont="1" applyFill="1" applyBorder="1" applyAlignment="1">
      <alignment vertical="center"/>
    </xf>
    <xf numFmtId="0" fontId="7" fillId="0" borderId="2" xfId="0" applyFont="1" applyFill="1" applyBorder="1" applyAlignment="1">
      <alignment vertical="center" wrapText="1"/>
    </xf>
    <xf numFmtId="0" fontId="12" fillId="7" borderId="0" xfId="0" applyFont="1" applyFill="1" applyBorder="1" applyAlignment="1">
      <alignment vertical="center"/>
    </xf>
    <xf numFmtId="0" fontId="1" fillId="0" borderId="2" xfId="0" applyFont="1" applyFill="1" applyBorder="1" applyAlignment="1">
      <alignment vertical="center" wrapText="1"/>
    </xf>
    <xf numFmtId="0" fontId="9" fillId="7" borderId="0" xfId="0" applyFont="1" applyFill="1" applyBorder="1" applyAlignment="1">
      <alignment vertical="center" wrapText="1"/>
    </xf>
    <xf numFmtId="0" fontId="20" fillId="2" borderId="0" xfId="0" applyFont="1" applyFill="1" applyBorder="1" applyAlignment="1">
      <alignment vertical="center" wrapText="1"/>
    </xf>
    <xf numFmtId="0" fontId="7" fillId="7" borderId="0" xfId="0" applyFont="1" applyFill="1" applyAlignment="1">
      <alignment vertical="center"/>
    </xf>
    <xf numFmtId="0" fontId="11" fillId="7" borderId="0" xfId="0" applyFont="1" applyFill="1" applyAlignment="1">
      <alignment vertical="center"/>
    </xf>
    <xf numFmtId="0" fontId="3" fillId="2" borderId="2" xfId="0" applyFont="1" applyFill="1" applyBorder="1" applyAlignment="1">
      <alignment vertical="center" wrapText="1"/>
    </xf>
    <xf numFmtId="0" fontId="2" fillId="13" borderId="2" xfId="0" applyFont="1" applyFill="1" applyBorder="1" applyAlignment="1">
      <alignment vertical="center" wrapText="1"/>
    </xf>
    <xf numFmtId="10" fontId="7" fillId="0" borderId="0" xfId="0" applyNumberFormat="1" applyFont="1" applyFill="1" applyBorder="1" applyAlignment="1">
      <alignment vertical="center" wrapText="1"/>
    </xf>
    <xf numFmtId="10" fontId="7" fillId="0" borderId="4" xfId="0" applyNumberFormat="1" applyFont="1" applyFill="1" applyBorder="1" applyAlignment="1">
      <alignment vertical="center" wrapText="1"/>
    </xf>
    <xf numFmtId="10" fontId="7" fillId="0" borderId="5" xfId="0" applyNumberFormat="1" applyFont="1" applyFill="1" applyBorder="1" applyAlignment="1">
      <alignment vertical="center" wrapText="1"/>
    </xf>
    <xf numFmtId="10" fontId="7" fillId="0" borderId="15" xfId="0" applyNumberFormat="1" applyFont="1" applyFill="1" applyBorder="1" applyAlignment="1">
      <alignment vertical="center" wrapText="1"/>
    </xf>
    <xf numFmtId="10" fontId="7" fillId="0" borderId="2" xfId="0" applyNumberFormat="1" applyFont="1" applyFill="1" applyBorder="1" applyAlignment="1">
      <alignment vertical="center"/>
    </xf>
    <xf numFmtId="10" fontId="7" fillId="7" borderId="0" xfId="0" applyNumberFormat="1" applyFont="1" applyFill="1" applyBorder="1" applyAlignment="1">
      <alignment vertical="center"/>
    </xf>
    <xf numFmtId="10" fontId="6" fillId="7" borderId="0" xfId="0" applyNumberFormat="1" applyFont="1" applyFill="1" applyBorder="1" applyAlignment="1">
      <alignment vertical="center"/>
    </xf>
    <xf numFmtId="10" fontId="6" fillId="7" borderId="2" xfId="0" applyNumberFormat="1" applyFont="1" applyFill="1" applyBorder="1" applyAlignment="1">
      <alignment vertical="center"/>
    </xf>
    <xf numFmtId="0" fontId="6" fillId="2" borderId="0" xfId="0" applyFont="1" applyFill="1" applyAlignment="1">
      <alignment horizontal="center" vertical="center"/>
    </xf>
    <xf numFmtId="0" fontId="2" fillId="13" borderId="2" xfId="0" applyFont="1" applyFill="1" applyBorder="1" applyAlignment="1">
      <alignment horizontal="center" vertical="center" wrapText="1"/>
    </xf>
    <xf numFmtId="0" fontId="12" fillId="7" borderId="0" xfId="0" applyFont="1" applyFill="1" applyAlignment="1">
      <alignment horizontal="center" vertical="center"/>
    </xf>
    <xf numFmtId="0" fontId="3" fillId="2" borderId="13" xfId="0" applyFont="1" applyFill="1" applyBorder="1" applyAlignment="1">
      <alignment horizontal="center" vertical="center"/>
    </xf>
    <xf numFmtId="0" fontId="6" fillId="7" borderId="0" xfId="0" applyFont="1" applyFill="1" applyAlignment="1" applyProtection="1">
      <alignment horizontal="left" vertical="top"/>
    </xf>
    <xf numFmtId="9" fontId="20" fillId="2" borderId="0" xfId="0" applyNumberFormat="1" applyFont="1" applyFill="1" applyBorder="1" applyAlignment="1">
      <alignment horizontal="center" vertical="center" wrapText="1"/>
    </xf>
    <xf numFmtId="9" fontId="11" fillId="7" borderId="0" xfId="0" applyNumberFormat="1" applyFont="1" applyFill="1" applyAlignment="1">
      <alignment horizontal="center" vertical="center"/>
    </xf>
    <xf numFmtId="9" fontId="6" fillId="2" borderId="0" xfId="0" applyNumberFormat="1" applyFont="1" applyFill="1" applyAlignment="1">
      <alignment horizontal="center" vertical="center"/>
    </xf>
    <xf numFmtId="9" fontId="2" fillId="13" borderId="2"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9" fontId="12" fillId="7" borderId="0" xfId="0" applyNumberFormat="1" applyFont="1" applyFill="1" applyAlignment="1">
      <alignment horizontal="center" vertical="center"/>
    </xf>
    <xf numFmtId="9" fontId="12" fillId="7" borderId="0" xfId="0" applyNumberFormat="1" applyFont="1" applyFill="1" applyBorder="1" applyAlignment="1">
      <alignment horizontal="center" vertical="center"/>
    </xf>
    <xf numFmtId="9" fontId="24" fillId="7" borderId="0" xfId="3" applyNumberFormat="1" applyFill="1" applyBorder="1" applyAlignment="1" applyProtection="1">
      <alignment horizontal="center" vertical="center"/>
    </xf>
    <xf numFmtId="9" fontId="7" fillId="0" borderId="0" xfId="0" applyNumberFormat="1" applyFont="1" applyFill="1" applyBorder="1" applyAlignment="1">
      <alignment horizontal="center" vertical="center" wrapText="1"/>
    </xf>
    <xf numFmtId="9" fontId="6" fillId="7" borderId="0" xfId="0" applyNumberFormat="1" applyFont="1" applyFill="1" applyBorder="1" applyAlignment="1">
      <alignment horizontal="center" vertical="center"/>
    </xf>
    <xf numFmtId="9" fontId="6" fillId="7" borderId="0" xfId="0" applyNumberFormat="1" applyFont="1" applyFill="1" applyAlignment="1">
      <alignment horizontal="center" vertical="center"/>
    </xf>
    <xf numFmtId="9" fontId="3" fillId="2" borderId="13" xfId="0" applyNumberFormat="1" applyFont="1" applyFill="1" applyBorder="1" applyAlignment="1">
      <alignment horizontal="center" vertical="center"/>
    </xf>
    <xf numFmtId="0" fontId="20" fillId="2" borderId="0" xfId="0" applyFont="1" applyFill="1" applyBorder="1" applyAlignment="1">
      <alignment horizontal="center" vertical="center" wrapText="1"/>
    </xf>
    <xf numFmtId="0" fontId="11" fillId="7" borderId="0" xfId="0" applyFont="1" applyFill="1" applyAlignment="1">
      <alignment horizontal="center" vertical="center"/>
    </xf>
    <xf numFmtId="0" fontId="6" fillId="7" borderId="0" xfId="0" applyFont="1" applyFill="1" applyAlignment="1">
      <alignment horizontal="center" vertical="center"/>
    </xf>
    <xf numFmtId="0" fontId="40" fillId="7" borderId="0" xfId="3" applyFont="1" applyFill="1" applyBorder="1" applyAlignment="1" applyProtection="1">
      <alignment horizontal="center" vertical="center"/>
    </xf>
    <xf numFmtId="9" fontId="15" fillId="2" borderId="0" xfId="0" applyNumberFormat="1" applyFont="1" applyFill="1"/>
    <xf numFmtId="9" fontId="4" fillId="2" borderId="0" xfId="0" applyNumberFormat="1" applyFont="1" applyFill="1"/>
    <xf numFmtId="9" fontId="14" fillId="2" borderId="0" xfId="0" applyNumberFormat="1" applyFont="1" applyFill="1"/>
    <xf numFmtId="9" fontId="17" fillId="2" borderId="2" xfId="0" applyNumberFormat="1" applyFont="1" applyFill="1" applyBorder="1" applyAlignment="1">
      <alignment horizontal="center"/>
    </xf>
    <xf numFmtId="9" fontId="17" fillId="2" borderId="0" xfId="0" applyNumberFormat="1" applyFont="1" applyFill="1" applyBorder="1" applyAlignment="1">
      <alignment horizontal="center"/>
    </xf>
    <xf numFmtId="9" fontId="14" fillId="2" borderId="0" xfId="0" applyNumberFormat="1" applyFont="1" applyFill="1" applyBorder="1" applyAlignment="1">
      <alignment horizontal="center" vertical="center"/>
    </xf>
    <xf numFmtId="9" fontId="14" fillId="2" borderId="0" xfId="0" applyNumberFormat="1" applyFont="1" applyFill="1" applyBorder="1"/>
    <xf numFmtId="9" fontId="17" fillId="2" borderId="0" xfId="0" applyNumberFormat="1" applyFont="1" applyFill="1"/>
    <xf numFmtId="0" fontId="44" fillId="7" borderId="0" xfId="0" applyFont="1" applyFill="1" applyAlignment="1">
      <alignment vertical="center"/>
    </xf>
    <xf numFmtId="0" fontId="44" fillId="0" borderId="0" xfId="0" applyFont="1" applyAlignment="1">
      <alignment vertical="center"/>
    </xf>
    <xf numFmtId="0" fontId="43" fillId="2" borderId="0" xfId="0" applyFont="1" applyFill="1" applyBorder="1" applyAlignment="1">
      <alignment vertical="center" wrapText="1"/>
    </xf>
    <xf numFmtId="0" fontId="20" fillId="2" borderId="27" xfId="0" applyFont="1" applyFill="1" applyBorder="1" applyAlignment="1">
      <alignment vertical="center" wrapText="1"/>
    </xf>
    <xf numFmtId="0" fontId="20" fillId="2" borderId="11" xfId="0" applyFont="1" applyFill="1" applyBorder="1" applyAlignment="1">
      <alignment vertical="center" wrapText="1"/>
    </xf>
    <xf numFmtId="9" fontId="0" fillId="7" borderId="0" xfId="0" applyNumberFormat="1" applyFill="1" applyAlignment="1">
      <alignment vertical="center"/>
    </xf>
    <xf numFmtId="9" fontId="20" fillId="2" borderId="0" xfId="0" applyNumberFormat="1" applyFont="1" applyFill="1" applyBorder="1" applyAlignment="1">
      <alignment vertical="center" wrapText="1"/>
    </xf>
    <xf numFmtId="9" fontId="43" fillId="7" borderId="16" xfId="0" applyNumberFormat="1" applyFont="1" applyFill="1" applyBorder="1" applyAlignment="1">
      <alignment horizontal="center" vertical="center" wrapText="1"/>
    </xf>
    <xf numFmtId="9" fontId="0" fillId="0" borderId="0" xfId="0" applyNumberFormat="1" applyAlignment="1">
      <alignment vertical="center"/>
    </xf>
    <xf numFmtId="0" fontId="13" fillId="7" borderId="17" xfId="0" applyFont="1" applyFill="1" applyBorder="1" applyAlignment="1">
      <alignment horizontal="right" vertical="center" wrapText="1"/>
    </xf>
    <xf numFmtId="0" fontId="13" fillId="7" borderId="9" xfId="0" applyFont="1" applyFill="1" applyBorder="1" applyAlignment="1">
      <alignment horizontal="right" vertical="center" wrapText="1"/>
    </xf>
    <xf numFmtId="0" fontId="20" fillId="2" borderId="27" xfId="0" applyFont="1" applyFill="1" applyBorder="1" applyAlignment="1">
      <alignment horizontal="left" vertical="center" wrapText="1"/>
    </xf>
    <xf numFmtId="10" fontId="7" fillId="0" borderId="2" xfId="0" applyNumberFormat="1" applyFont="1" applyFill="1" applyBorder="1" applyAlignment="1">
      <alignment vertical="center" wrapText="1"/>
    </xf>
    <xf numFmtId="0" fontId="43" fillId="7" borderId="16" xfId="0" applyFont="1" applyFill="1" applyBorder="1" applyAlignment="1">
      <alignment horizontal="center" vertical="center" wrapText="1"/>
    </xf>
    <xf numFmtId="0" fontId="43" fillId="7" borderId="21" xfId="0" applyFont="1" applyFill="1" applyBorder="1" applyAlignment="1">
      <alignment horizontal="center" vertical="center" wrapText="1"/>
    </xf>
    <xf numFmtId="10" fontId="43" fillId="7" borderId="20" xfId="0" applyNumberFormat="1" applyFont="1" applyFill="1" applyBorder="1" applyAlignment="1">
      <alignment horizontal="center" vertical="center" wrapText="1"/>
    </xf>
    <xf numFmtId="0" fontId="43" fillId="7" borderId="19" xfId="0" applyFont="1" applyFill="1" applyBorder="1" applyAlignment="1">
      <alignment horizontal="center" vertical="center" wrapText="1"/>
    </xf>
    <xf numFmtId="10" fontId="43" fillId="7" borderId="19" xfId="0" applyNumberFormat="1" applyFont="1" applyFill="1" applyBorder="1" applyAlignment="1">
      <alignment horizontal="center" vertical="center" wrapText="1"/>
    </xf>
    <xf numFmtId="0" fontId="46" fillId="7" borderId="16" xfId="0" applyFont="1" applyFill="1" applyBorder="1" applyAlignment="1">
      <alignment horizontal="center" vertical="center" wrapText="1"/>
    </xf>
    <xf numFmtId="0" fontId="46" fillId="7" borderId="21" xfId="0" applyFont="1" applyFill="1" applyBorder="1" applyAlignment="1">
      <alignment horizontal="center" vertical="center" wrapText="1"/>
    </xf>
    <xf numFmtId="0" fontId="46" fillId="7" borderId="19" xfId="0" applyFont="1" applyFill="1" applyBorder="1" applyAlignment="1">
      <alignment horizontal="center" vertical="center" wrapText="1"/>
    </xf>
    <xf numFmtId="1" fontId="46" fillId="7" borderId="14" xfId="0" applyNumberFormat="1" applyFont="1" applyFill="1" applyBorder="1" applyAlignment="1">
      <alignment horizontal="center" vertical="center" wrapText="1"/>
    </xf>
    <xf numFmtId="0" fontId="46" fillId="7" borderId="14" xfId="0" applyFont="1" applyFill="1" applyBorder="1" applyAlignment="1">
      <alignment horizontal="center" vertical="center" wrapText="1"/>
    </xf>
    <xf numFmtId="0" fontId="41" fillId="0" borderId="0" xfId="0" applyFont="1" applyAlignment="1" applyProtection="1">
      <alignment horizontal="left" vertical="top" wrapText="1"/>
    </xf>
    <xf numFmtId="0" fontId="0" fillId="0" borderId="0" xfId="0" applyAlignment="1" applyProtection="1">
      <alignment horizontal="left" vertical="center" wrapText="1"/>
    </xf>
    <xf numFmtId="0" fontId="0" fillId="0" borderId="0" xfId="0" applyAlignment="1" applyProtection="1">
      <alignment horizontal="center" vertical="center" wrapText="1"/>
    </xf>
    <xf numFmtId="0" fontId="1" fillId="7" borderId="2" xfId="0" applyFont="1" applyFill="1" applyBorder="1" applyAlignment="1" applyProtection="1">
      <alignment horizontal="center" vertical="center" wrapText="1"/>
    </xf>
    <xf numFmtId="0" fontId="1" fillId="12" borderId="2" xfId="0" applyFont="1" applyFill="1" applyBorder="1" applyAlignment="1" applyProtection="1">
      <alignment horizontal="center" vertical="center" wrapText="1"/>
    </xf>
    <xf numFmtId="164" fontId="1" fillId="7" borderId="2" xfId="0" applyNumberFormat="1" applyFont="1" applyFill="1" applyBorder="1" applyAlignment="1" applyProtection="1">
      <alignment horizontal="center" vertical="center" wrapText="1"/>
    </xf>
    <xf numFmtId="0" fontId="19" fillId="4" borderId="2" xfId="0" applyFont="1" applyFill="1" applyBorder="1" applyAlignment="1" applyProtection="1">
      <alignment horizontal="center" vertical="center" wrapText="1"/>
    </xf>
    <xf numFmtId="1" fontId="0" fillId="0" borderId="0" xfId="0" applyNumberFormat="1" applyAlignment="1" applyProtection="1">
      <alignment horizontal="center" vertical="center" wrapText="1"/>
    </xf>
    <xf numFmtId="10" fontId="7" fillId="0" borderId="2" xfId="0" applyNumberFormat="1" applyFont="1" applyFill="1" applyBorder="1" applyAlignment="1">
      <alignment vertical="center" wrapText="1"/>
    </xf>
    <xf numFmtId="0" fontId="3" fillId="2" borderId="12" xfId="0" applyFont="1" applyFill="1" applyBorder="1" applyAlignment="1">
      <alignment vertical="center"/>
    </xf>
    <xf numFmtId="164" fontId="3" fillId="7" borderId="0" xfId="0" applyNumberFormat="1" applyFont="1" applyFill="1" applyBorder="1" applyAlignment="1" applyProtection="1">
      <alignment horizontal="center" vertical="center" wrapText="1"/>
    </xf>
    <xf numFmtId="1" fontId="3" fillId="7" borderId="0" xfId="0" applyNumberFormat="1" applyFont="1" applyFill="1" applyBorder="1" applyAlignment="1" applyProtection="1">
      <alignment horizontal="left" vertical="center" wrapText="1"/>
    </xf>
    <xf numFmtId="0" fontId="6" fillId="7" borderId="0" xfId="0" applyFont="1" applyFill="1" applyBorder="1" applyAlignment="1" applyProtection="1">
      <alignment horizontal="center" vertical="center" wrapText="1"/>
    </xf>
    <xf numFmtId="0" fontId="41" fillId="7" borderId="0" xfId="0" applyFont="1" applyFill="1" applyBorder="1" applyAlignment="1" applyProtection="1">
      <alignment vertical="center" wrapText="1"/>
    </xf>
    <xf numFmtId="0" fontId="41" fillId="7" borderId="0" xfId="0" applyFont="1" applyFill="1" applyAlignment="1" applyProtection="1">
      <alignment vertical="center" wrapText="1"/>
    </xf>
    <xf numFmtId="164" fontId="3" fillId="17" borderId="0" xfId="0" applyNumberFormat="1" applyFont="1" applyFill="1" applyBorder="1" applyAlignment="1" applyProtection="1">
      <alignment horizontal="center" vertical="center" wrapText="1"/>
    </xf>
    <xf numFmtId="0" fontId="0" fillId="7" borderId="0" xfId="0" applyFill="1" applyBorder="1" applyAlignment="1" applyProtection="1">
      <alignment horizontal="center" vertical="center" wrapText="1"/>
    </xf>
    <xf numFmtId="0" fontId="0" fillId="0" borderId="0" xfId="0" applyBorder="1" applyAlignment="1" applyProtection="1">
      <alignment wrapText="1"/>
    </xf>
    <xf numFmtId="0" fontId="10" fillId="7" borderId="0" xfId="0" applyFont="1" applyFill="1" applyBorder="1" applyAlignment="1" applyProtection="1">
      <alignment horizontal="left" vertical="top"/>
    </xf>
    <xf numFmtId="0" fontId="10" fillId="7" borderId="0" xfId="0" applyFont="1" applyFill="1" applyBorder="1" applyAlignment="1" applyProtection="1">
      <alignment horizontal="left" vertical="center"/>
    </xf>
    <xf numFmtId="0" fontId="10" fillId="7" borderId="0" xfId="0" applyFont="1" applyFill="1" applyBorder="1" applyAlignment="1" applyProtection="1">
      <alignment horizontal="left" vertical="center"/>
      <protection locked="0"/>
    </xf>
    <xf numFmtId="0" fontId="10" fillId="7" borderId="0" xfId="0" applyFont="1" applyFill="1" applyBorder="1" applyAlignment="1" applyProtection="1">
      <alignment horizontal="left" vertical="top"/>
      <protection locked="0"/>
    </xf>
    <xf numFmtId="0" fontId="10" fillId="7" borderId="0" xfId="0" applyFont="1" applyFill="1" applyBorder="1" applyAlignment="1" applyProtection="1">
      <alignment horizontal="center" vertical="center"/>
    </xf>
    <xf numFmtId="0" fontId="0" fillId="7" borderId="0" xfId="0" applyFill="1" applyBorder="1" applyAlignment="1" applyProtection="1">
      <alignment wrapText="1"/>
    </xf>
    <xf numFmtId="0" fontId="3" fillId="7" borderId="0" xfId="0" applyFont="1" applyFill="1" applyBorder="1" applyAlignment="1" applyProtection="1">
      <alignment horizontal="left" vertical="top" wrapText="1"/>
    </xf>
    <xf numFmtId="0" fontId="3" fillId="7" borderId="0" xfId="0" applyFont="1" applyFill="1" applyBorder="1" applyAlignment="1" applyProtection="1">
      <alignment horizontal="center" vertical="center" wrapText="1"/>
    </xf>
    <xf numFmtId="0" fontId="3" fillId="7" borderId="0" xfId="0" applyFont="1" applyFill="1" applyBorder="1" applyAlignment="1" applyProtection="1">
      <alignment horizontal="left" vertical="center" wrapText="1"/>
    </xf>
    <xf numFmtId="0" fontId="3" fillId="7" borderId="0" xfId="0" applyFont="1" applyFill="1" applyBorder="1" applyAlignment="1" applyProtection="1">
      <alignment horizontal="left" vertical="center" wrapText="1"/>
      <protection locked="0"/>
    </xf>
    <xf numFmtId="0" fontId="3" fillId="7" borderId="0" xfId="0" applyFont="1" applyFill="1" applyBorder="1" applyAlignment="1" applyProtection="1">
      <alignment horizontal="left" vertical="top" wrapText="1"/>
      <protection locked="0"/>
    </xf>
    <xf numFmtId="0" fontId="48" fillId="7" borderId="0" xfId="0" applyFont="1" applyFill="1" applyBorder="1" applyAlignment="1" applyProtection="1">
      <alignment horizontal="center" vertical="center" wrapText="1"/>
    </xf>
    <xf numFmtId="164" fontId="3" fillId="17" borderId="6" xfId="0" applyNumberFormat="1" applyFont="1" applyFill="1" applyBorder="1" applyAlignment="1" applyProtection="1">
      <alignment horizontal="center" vertical="center" wrapText="1"/>
    </xf>
    <xf numFmtId="0" fontId="3" fillId="2" borderId="12" xfId="0" applyFont="1" applyFill="1" applyBorder="1" applyAlignment="1">
      <alignment vertical="center"/>
    </xf>
    <xf numFmtId="0" fontId="1" fillId="19" borderId="2" xfId="0" applyFont="1" applyFill="1" applyBorder="1" applyAlignment="1" applyProtection="1">
      <alignment horizontal="center" vertical="center" wrapText="1"/>
    </xf>
    <xf numFmtId="0" fontId="7" fillId="16" borderId="2" xfId="0" applyFont="1" applyFill="1" applyBorder="1" applyAlignment="1" applyProtection="1">
      <alignment horizontal="left" vertical="center" wrapText="1"/>
    </xf>
    <xf numFmtId="0" fontId="1" fillId="16" borderId="2" xfId="0" applyFont="1" applyFill="1" applyBorder="1" applyAlignment="1" applyProtection="1">
      <alignment vertical="center" wrapText="1"/>
    </xf>
    <xf numFmtId="10" fontId="43" fillId="7" borderId="16" xfId="0" applyNumberFormat="1" applyFont="1" applyFill="1" applyBorder="1" applyAlignment="1">
      <alignment horizontal="center" vertical="center" wrapText="1"/>
    </xf>
    <xf numFmtId="10" fontId="43" fillId="2" borderId="0" xfId="0" applyNumberFormat="1" applyFont="1" applyFill="1" applyBorder="1" applyAlignment="1">
      <alignment vertical="center" wrapText="1"/>
    </xf>
    <xf numFmtId="10" fontId="43" fillId="2" borderId="11" xfId="0" applyNumberFormat="1" applyFont="1" applyFill="1" applyBorder="1" applyAlignment="1">
      <alignment vertical="center" wrapText="1"/>
    </xf>
    <xf numFmtId="0" fontId="2" fillId="7" borderId="0" xfId="0" applyFont="1" applyFill="1" applyBorder="1" applyAlignment="1">
      <alignment vertical="center" wrapText="1"/>
    </xf>
    <xf numFmtId="10" fontId="7" fillId="7" borderId="0" xfId="0" applyNumberFormat="1" applyFont="1" applyFill="1" applyBorder="1" applyAlignment="1">
      <alignment vertical="center" wrapText="1"/>
    </xf>
    <xf numFmtId="10" fontId="21" fillId="7" borderId="0" xfId="0" applyNumberFormat="1" applyFont="1" applyFill="1" applyBorder="1" applyAlignment="1">
      <alignment horizontal="center" vertical="center" wrapText="1"/>
    </xf>
    <xf numFmtId="0" fontId="7" fillId="7" borderId="0" xfId="0" applyFont="1" applyFill="1" applyBorder="1" applyAlignment="1" applyProtection="1">
      <alignment vertical="center"/>
    </xf>
    <xf numFmtId="0" fontId="6" fillId="7" borderId="0" xfId="0" applyFont="1" applyFill="1" applyBorder="1" applyAlignment="1" applyProtection="1">
      <alignment vertical="center"/>
    </xf>
    <xf numFmtId="9" fontId="7" fillId="7" borderId="0" xfId="0" applyNumberFormat="1" applyFont="1" applyFill="1" applyBorder="1" applyAlignment="1">
      <alignment horizontal="center" vertical="center" wrapText="1"/>
    </xf>
    <xf numFmtId="10" fontId="7" fillId="7" borderId="5" xfId="0" applyNumberFormat="1" applyFont="1" applyFill="1" applyBorder="1" applyAlignment="1">
      <alignment vertical="center" wrapText="1"/>
    </xf>
    <xf numFmtId="10" fontId="7" fillId="7" borderId="15" xfId="0" applyNumberFormat="1" applyFont="1" applyFill="1" applyBorder="1" applyAlignment="1">
      <alignment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2" fillId="7" borderId="0" xfId="0" applyFont="1" applyFill="1" applyBorder="1" applyAlignment="1">
      <alignment horizontal="center" vertical="center" wrapText="1"/>
    </xf>
    <xf numFmtId="9" fontId="2" fillId="7" borderId="0" xfId="0" applyNumberFormat="1" applyFont="1" applyFill="1" applyBorder="1" applyAlignment="1">
      <alignment horizontal="center" vertical="center" wrapText="1"/>
    </xf>
    <xf numFmtId="10" fontId="14" fillId="2" borderId="2" xfId="0" applyNumberFormat="1" applyFont="1" applyFill="1" applyBorder="1" applyAlignment="1">
      <alignment horizontal="center" vertical="center"/>
    </xf>
    <xf numFmtId="0" fontId="3" fillId="2" borderId="4" xfId="0" applyFont="1" applyFill="1" applyBorder="1" applyAlignment="1">
      <alignment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1" fillId="21" borderId="2" xfId="0" applyFont="1" applyFill="1" applyBorder="1" applyAlignment="1" applyProtection="1">
      <alignment vertical="center" wrapText="1"/>
    </xf>
    <xf numFmtId="1" fontId="3" fillId="15" borderId="2" xfId="0" applyNumberFormat="1" applyFont="1" applyFill="1" applyBorder="1" applyAlignment="1" applyProtection="1">
      <alignment horizontal="center" vertical="center" wrapText="1"/>
    </xf>
    <xf numFmtId="1" fontId="3" fillId="15" borderId="3" xfId="0" applyNumberFormat="1" applyFont="1" applyFill="1" applyBorder="1" applyAlignment="1" applyProtection="1">
      <alignment horizontal="center" vertical="center" wrapText="1"/>
    </xf>
    <xf numFmtId="0" fontId="1" fillId="16" borderId="3" xfId="0" applyFont="1" applyFill="1" applyBorder="1" applyAlignment="1" applyProtection="1">
      <alignment horizontal="left" vertical="center" wrapText="1"/>
    </xf>
    <xf numFmtId="0" fontId="19" fillId="4" borderId="3" xfId="0" applyFont="1" applyFill="1" applyBorder="1" applyAlignment="1" applyProtection="1">
      <alignment horizontal="center" vertical="center" wrapText="1"/>
    </xf>
    <xf numFmtId="1" fontId="10" fillId="17" borderId="4" xfId="0" applyNumberFormat="1" applyFont="1" applyFill="1" applyBorder="1" applyAlignment="1" applyProtection="1">
      <alignment horizontal="left" vertical="center"/>
    </xf>
    <xf numFmtId="164" fontId="3" fillId="17" borderId="5" xfId="0" applyNumberFormat="1" applyFont="1" applyFill="1" applyBorder="1" applyAlignment="1" applyProtection="1">
      <alignment horizontal="center" vertical="center" wrapText="1"/>
    </xf>
    <xf numFmtId="164" fontId="3" fillId="17" borderId="5" xfId="0" applyNumberFormat="1" applyFont="1" applyFill="1" applyBorder="1" applyAlignment="1" applyProtection="1">
      <alignment horizontal="left" vertical="center" wrapText="1"/>
    </xf>
    <xf numFmtId="0" fontId="19" fillId="4" borderId="1" xfId="0" applyFont="1" applyFill="1" applyBorder="1" applyAlignment="1" applyProtection="1">
      <alignment horizontal="center" vertical="center" wrapText="1"/>
    </xf>
    <xf numFmtId="10" fontId="7" fillId="0" borderId="0" xfId="0" applyNumberFormat="1" applyFont="1" applyFill="1" applyBorder="1" applyAlignment="1">
      <alignment horizontal="center" vertical="center" wrapText="1"/>
    </xf>
    <xf numFmtId="0" fontId="51" fillId="7" borderId="0" xfId="0" applyFont="1" applyFill="1" applyProtection="1"/>
    <xf numFmtId="0" fontId="51" fillId="0" borderId="0" xfId="0" applyFont="1" applyProtection="1"/>
    <xf numFmtId="0" fontId="50" fillId="2" borderId="30" xfId="0" applyFont="1" applyFill="1" applyBorder="1" applyAlignment="1" applyProtection="1">
      <alignment horizontal="center" vertical="center" wrapText="1"/>
    </xf>
    <xf numFmtId="49" fontId="20" fillId="2" borderId="1" xfId="1" applyNumberFormat="1" applyFont="1" applyFill="1" applyBorder="1" applyAlignment="1" applyProtection="1">
      <alignment horizontal="center" vertical="center" wrapText="1"/>
    </xf>
    <xf numFmtId="0" fontId="52" fillId="7" borderId="0" xfId="0" applyFont="1" applyFill="1" applyProtection="1"/>
    <xf numFmtId="0" fontId="53" fillId="7" borderId="0" xfId="0" applyFont="1" applyFill="1" applyAlignment="1" applyProtection="1">
      <alignment horizontal="center" vertical="center"/>
    </xf>
    <xf numFmtId="0" fontId="54" fillId="7" borderId="2" xfId="0" applyFont="1" applyFill="1" applyBorder="1" applyAlignment="1" applyProtection="1">
      <alignment horizontal="center" vertical="center"/>
    </xf>
    <xf numFmtId="0" fontId="50" fillId="2" borderId="31" xfId="0" applyFont="1" applyFill="1" applyBorder="1" applyAlignment="1" applyProtection="1">
      <alignment horizontal="center" vertical="center" wrapText="1"/>
    </xf>
    <xf numFmtId="164" fontId="3" fillId="17" borderId="4" xfId="0" applyNumberFormat="1" applyFont="1" applyFill="1" applyBorder="1" applyAlignment="1" applyProtection="1">
      <alignment horizontal="center" vertical="center" wrapText="1"/>
    </xf>
    <xf numFmtId="0" fontId="20" fillId="17" borderId="0" xfId="0" applyFont="1" applyFill="1" applyBorder="1" applyAlignment="1">
      <alignment vertical="center" wrapText="1"/>
    </xf>
    <xf numFmtId="0" fontId="20" fillId="17" borderId="0" xfId="0" applyFont="1" applyFill="1" applyBorder="1" applyAlignment="1">
      <alignment vertical="center"/>
    </xf>
    <xf numFmtId="0" fontId="3" fillId="17" borderId="0" xfId="0" applyFont="1" applyFill="1" applyBorder="1" applyAlignment="1">
      <alignment vertical="center" wrapText="1"/>
    </xf>
    <xf numFmtId="0" fontId="3" fillId="17" borderId="0" xfId="0" applyFont="1" applyFill="1" applyBorder="1" applyAlignment="1">
      <alignment horizontal="center" vertical="center" wrapText="1"/>
    </xf>
    <xf numFmtId="0" fontId="20" fillId="17" borderId="0" xfId="0" applyFont="1" applyFill="1" applyBorder="1" applyAlignment="1">
      <alignment horizontal="center" vertical="center" wrapText="1"/>
    </xf>
    <xf numFmtId="9" fontId="20" fillId="17" borderId="0" xfId="0" applyNumberFormat="1" applyFont="1" applyFill="1" applyBorder="1" applyAlignment="1">
      <alignment horizontal="center" vertical="center" wrapText="1"/>
    </xf>
    <xf numFmtId="0" fontId="15" fillId="17" borderId="0" xfId="0" applyFont="1" applyFill="1"/>
    <xf numFmtId="0" fontId="4" fillId="17" borderId="0" xfId="0" applyFont="1" applyFill="1"/>
    <xf numFmtId="0" fontId="14" fillId="17" borderId="0" xfId="0" applyFont="1" applyFill="1"/>
    <xf numFmtId="0" fontId="30" fillId="17" borderId="0" xfId="3" applyFont="1" applyFill="1" applyBorder="1" applyAlignment="1" applyProtection="1">
      <alignment horizontal="center"/>
    </xf>
    <xf numFmtId="0" fontId="16" fillId="17" borderId="0" xfId="0" applyFont="1" applyFill="1"/>
    <xf numFmtId="0" fontId="14" fillId="17" borderId="0" xfId="0" applyFont="1" applyFill="1" applyBorder="1"/>
    <xf numFmtId="0" fontId="17" fillId="17" borderId="2" xfId="0" applyFont="1" applyFill="1" applyBorder="1" applyAlignment="1">
      <alignment horizontal="center"/>
    </xf>
    <xf numFmtId="0" fontId="17" fillId="17" borderId="2" xfId="0" applyFont="1" applyFill="1" applyBorder="1"/>
    <xf numFmtId="10" fontId="14" fillId="17" borderId="2" xfId="0" applyNumberFormat="1" applyFont="1" applyFill="1" applyBorder="1" applyAlignment="1">
      <alignment horizontal="center" vertical="center"/>
    </xf>
    <xf numFmtId="10" fontId="14" fillId="17" borderId="0" xfId="0" applyNumberFormat="1" applyFont="1" applyFill="1" applyBorder="1" applyAlignment="1">
      <alignment horizontal="center" vertical="center"/>
    </xf>
    <xf numFmtId="0" fontId="17" fillId="17" borderId="0" xfId="0" applyFont="1" applyFill="1" applyBorder="1" applyAlignment="1">
      <alignment horizontal="center"/>
    </xf>
    <xf numFmtId="0" fontId="18" fillId="17" borderId="0" xfId="0" applyFont="1" applyFill="1" applyBorder="1"/>
    <xf numFmtId="0" fontId="17" fillId="17" borderId="0" xfId="0" applyFont="1" applyFill="1"/>
    <xf numFmtId="0" fontId="17" fillId="17" borderId="0" xfId="0" applyFont="1" applyFill="1" applyBorder="1"/>
    <xf numFmtId="0" fontId="55" fillId="0" borderId="0" xfId="3" applyFont="1" applyFill="1" applyBorder="1" applyAlignment="1" applyProtection="1">
      <alignment horizontal="left"/>
    </xf>
    <xf numFmtId="0" fontId="56" fillId="7" borderId="0" xfId="0" applyFont="1" applyFill="1" applyProtection="1"/>
    <xf numFmtId="0" fontId="56" fillId="7" borderId="0" xfId="0" applyFont="1" applyFill="1" applyAlignment="1" applyProtection="1">
      <alignment horizontal="left" vertical="top" wrapText="1"/>
    </xf>
    <xf numFmtId="0" fontId="0" fillId="0" borderId="0" xfId="0" pivotButton="1"/>
    <xf numFmtId="0" fontId="0" fillId="0" borderId="0" xfId="0" applyNumberFormat="1"/>
    <xf numFmtId="0" fontId="0" fillId="0" borderId="0" xfId="0" applyAlignment="1">
      <alignment horizontal="left"/>
    </xf>
    <xf numFmtId="10" fontId="20" fillId="2" borderId="0" xfId="0" applyNumberFormat="1" applyFont="1" applyFill="1" applyBorder="1" applyAlignment="1">
      <alignment horizontal="center" vertical="center" wrapText="1"/>
    </xf>
    <xf numFmtId="10" fontId="11" fillId="7" borderId="0" xfId="0" applyNumberFormat="1" applyFont="1" applyFill="1" applyAlignment="1">
      <alignment horizontal="center" vertical="center"/>
    </xf>
    <xf numFmtId="10" fontId="6" fillId="2" borderId="0" xfId="0" applyNumberFormat="1" applyFont="1" applyFill="1" applyAlignment="1">
      <alignment horizontal="center" vertical="center"/>
    </xf>
    <xf numFmtId="10" fontId="2" fillId="13" borderId="2" xfId="0" applyNumberFormat="1" applyFont="1" applyFill="1" applyBorder="1" applyAlignment="1">
      <alignment horizontal="center" vertical="center" wrapText="1"/>
    </xf>
    <xf numFmtId="10" fontId="2" fillId="7" borderId="0" xfId="0" applyNumberFormat="1" applyFont="1" applyFill="1" applyBorder="1" applyAlignment="1">
      <alignment horizontal="center" vertical="center" wrapText="1"/>
    </xf>
    <xf numFmtId="10" fontId="8" fillId="7" borderId="0" xfId="0" applyNumberFormat="1" applyFont="1" applyFill="1" applyBorder="1" applyAlignment="1">
      <alignment horizontal="center" vertical="center" wrapText="1"/>
    </xf>
    <xf numFmtId="10" fontId="12" fillId="7" borderId="0" xfId="0" applyNumberFormat="1" applyFont="1" applyFill="1" applyAlignment="1">
      <alignment horizontal="center" vertical="center"/>
    </xf>
    <xf numFmtId="10" fontId="12" fillId="7" borderId="0" xfId="0" applyNumberFormat="1" applyFont="1" applyFill="1" applyBorder="1" applyAlignment="1">
      <alignment horizontal="center" vertical="center"/>
    </xf>
    <xf numFmtId="10" fontId="24" fillId="7" borderId="0" xfId="3" applyNumberFormat="1" applyFill="1" applyBorder="1" applyAlignment="1" applyProtection="1">
      <alignment horizontal="center" vertical="center"/>
    </xf>
    <xf numFmtId="10" fontId="2" fillId="0" borderId="0" xfId="0" applyNumberFormat="1"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6" fillId="7" borderId="0" xfId="0" applyFont="1" applyFill="1" applyAlignment="1" applyProtection="1">
      <alignment vertical="center"/>
    </xf>
    <xf numFmtId="0" fontId="6" fillId="0" borderId="0" xfId="0" applyFont="1" applyAlignment="1" applyProtection="1">
      <alignment horizontal="left" vertical="center" wrapText="1"/>
    </xf>
    <xf numFmtId="10" fontId="20" fillId="17" borderId="0" xfId="0" applyNumberFormat="1" applyFont="1" applyFill="1" applyBorder="1" applyAlignment="1">
      <alignment horizontal="center" vertical="center" wrapText="1"/>
    </xf>
    <xf numFmtId="0" fontId="12" fillId="0" borderId="0" xfId="0" applyFont="1" applyAlignment="1" applyProtection="1">
      <alignment wrapText="1"/>
    </xf>
    <xf numFmtId="0" fontId="12" fillId="7" borderId="2" xfId="0" applyFont="1" applyFill="1" applyBorder="1" applyAlignment="1" applyProtection="1">
      <alignment horizontal="center" vertical="center" wrapText="1"/>
    </xf>
    <xf numFmtId="0" fontId="51" fillId="0" borderId="0" xfId="0" applyFont="1" applyBorder="1" applyAlignment="1" applyProtection="1">
      <alignment wrapText="1"/>
    </xf>
    <xf numFmtId="0" fontId="1" fillId="16" borderId="10" xfId="0" applyFont="1" applyFill="1" applyBorder="1" applyAlignment="1" applyProtection="1">
      <alignment horizontal="left" vertical="center" wrapText="1"/>
    </xf>
    <xf numFmtId="0" fontId="19" fillId="4" borderId="10" xfId="0" applyFont="1" applyFill="1" applyBorder="1" applyAlignment="1" applyProtection="1">
      <alignment horizontal="center" vertical="center" wrapText="1"/>
    </xf>
    <xf numFmtId="0" fontId="2" fillId="5" borderId="2" xfId="0" applyFont="1" applyFill="1" applyBorder="1" applyAlignment="1">
      <alignment vertical="center" wrapText="1"/>
    </xf>
    <xf numFmtId="0" fontId="2" fillId="3" borderId="2" xfId="0" applyFont="1" applyFill="1" applyBorder="1" applyAlignment="1">
      <alignment vertical="center" wrapText="1"/>
    </xf>
    <xf numFmtId="0" fontId="2" fillId="6" borderId="2" xfId="0" applyFont="1" applyFill="1" applyBorder="1" applyAlignment="1">
      <alignment vertical="center" wrapText="1"/>
    </xf>
    <xf numFmtId="0" fontId="2" fillId="0" borderId="13" xfId="0" applyFont="1" applyFill="1" applyBorder="1" applyAlignment="1">
      <alignment vertical="center" wrapText="1"/>
    </xf>
    <xf numFmtId="10" fontId="7" fillId="7" borderId="0" xfId="0" applyNumberFormat="1" applyFont="1" applyFill="1" applyBorder="1" applyAlignment="1">
      <alignment horizontal="center" vertical="center" wrapText="1"/>
    </xf>
    <xf numFmtId="10" fontId="7" fillId="0" borderId="2" xfId="0" applyNumberFormat="1" applyFont="1" applyFill="1" applyBorder="1" applyAlignment="1">
      <alignment horizontal="center" vertical="center"/>
    </xf>
    <xf numFmtId="10" fontId="6" fillId="7" borderId="2" xfId="0" applyNumberFormat="1" applyFont="1" applyFill="1" applyBorder="1" applyAlignment="1">
      <alignment horizontal="center" vertical="center"/>
    </xf>
    <xf numFmtId="0" fontId="20" fillId="2" borderId="0" xfId="0" applyFont="1" applyFill="1" applyBorder="1" applyAlignment="1">
      <alignment horizontal="center" vertical="center"/>
    </xf>
    <xf numFmtId="0" fontId="14" fillId="7" borderId="0" xfId="0" applyFont="1" applyFill="1" applyAlignment="1">
      <alignment horizontal="center" vertical="center"/>
    </xf>
    <xf numFmtId="0" fontId="42" fillId="2" borderId="0" xfId="0" applyFont="1" applyFill="1" applyAlignment="1">
      <alignment horizontal="center" vertical="center"/>
    </xf>
    <xf numFmtId="0" fontId="7" fillId="0" borderId="6" xfId="0" applyFont="1" applyFill="1" applyBorder="1" applyAlignment="1">
      <alignment horizontal="center" vertical="center" wrapText="1"/>
    </xf>
    <xf numFmtId="10" fontId="7" fillId="0" borderId="2"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7" fillId="0" borderId="0" xfId="0" applyFont="1" applyFill="1" applyBorder="1" applyAlignment="1" applyProtection="1">
      <alignment horizontal="center" vertical="center"/>
    </xf>
    <xf numFmtId="10" fontId="7" fillId="0" borderId="4"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7" fillId="7" borderId="0" xfId="0" applyFont="1" applyFill="1" applyBorder="1" applyAlignment="1">
      <alignment horizontal="center" vertical="center" wrapText="1"/>
    </xf>
    <xf numFmtId="0" fontId="2" fillId="7" borderId="5" xfId="0" applyFont="1" applyFill="1" applyBorder="1" applyAlignment="1">
      <alignment horizontal="center" vertical="center" wrapText="1"/>
    </xf>
    <xf numFmtId="10" fontId="7" fillId="7" borderId="5" xfId="0" applyNumberFormat="1" applyFont="1" applyFill="1" applyBorder="1" applyAlignment="1">
      <alignment horizontal="center" vertical="center" wrapText="1"/>
    </xf>
    <xf numFmtId="10" fontId="7" fillId="7" borderId="15"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10" fontId="6" fillId="7" borderId="6" xfId="0" applyNumberFormat="1" applyFont="1" applyFill="1" applyBorder="1" applyAlignment="1">
      <alignment horizontal="center" vertical="center"/>
    </xf>
    <xf numFmtId="0" fontId="7" fillId="7" borderId="2" xfId="0" applyFont="1" applyFill="1" applyBorder="1" applyAlignment="1">
      <alignment horizontal="center" vertical="center"/>
    </xf>
    <xf numFmtId="0" fontId="2" fillId="7" borderId="2" xfId="0" applyFont="1" applyFill="1" applyBorder="1" applyAlignment="1">
      <alignment horizontal="center" vertical="center"/>
    </xf>
    <xf numFmtId="0" fontId="3" fillId="2" borderId="12" xfId="0" applyFont="1" applyFill="1" applyBorder="1" applyAlignment="1">
      <alignment horizontal="center" vertical="center"/>
    </xf>
    <xf numFmtId="0" fontId="9" fillId="7" borderId="0" xfId="0" applyFont="1" applyFill="1" applyBorder="1" applyAlignment="1">
      <alignment horizontal="center" vertical="center" wrapText="1"/>
    </xf>
    <xf numFmtId="0" fontId="2" fillId="0" borderId="5" xfId="0" applyFont="1" applyFill="1" applyBorder="1" applyAlignment="1">
      <alignment horizontal="center" vertical="center" wrapText="1"/>
    </xf>
    <xf numFmtId="10" fontId="7" fillId="0" borderId="5" xfId="0" applyNumberFormat="1" applyFont="1" applyFill="1" applyBorder="1" applyAlignment="1">
      <alignment horizontal="center" vertical="center" wrapText="1"/>
    </xf>
    <xf numFmtId="10" fontId="7" fillId="0" borderId="15" xfId="0" applyNumberFormat="1" applyFont="1" applyFill="1" applyBorder="1" applyAlignment="1">
      <alignment horizontal="center" vertical="center" wrapText="1"/>
    </xf>
    <xf numFmtId="0" fontId="42" fillId="7" borderId="0" xfId="0" applyFont="1" applyFill="1" applyAlignment="1">
      <alignment horizontal="center" vertical="center"/>
    </xf>
    <xf numFmtId="0" fontId="34" fillId="2" borderId="0" xfId="0" applyFont="1" applyFill="1" applyAlignment="1">
      <alignment horizontal="center" vertical="center"/>
    </xf>
    <xf numFmtId="0" fontId="2" fillId="0" borderId="1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6" fillId="7" borderId="0" xfId="0" applyFont="1" applyFill="1" applyAlignment="1" applyProtection="1">
      <alignment horizontal="center" vertical="center"/>
    </xf>
    <xf numFmtId="10" fontId="6" fillId="7" borderId="0" xfId="0" applyNumberFormat="1" applyFont="1" applyFill="1" applyAlignment="1" applyProtection="1">
      <alignment horizontal="center" vertical="center"/>
    </xf>
    <xf numFmtId="0" fontId="2" fillId="0" borderId="2" xfId="0" applyFont="1" applyFill="1" applyBorder="1" applyAlignment="1">
      <alignment horizontal="left" vertical="center" wrapText="1"/>
    </xf>
    <xf numFmtId="0" fontId="6" fillId="7" borderId="2" xfId="0" applyFont="1" applyFill="1" applyBorder="1" applyAlignment="1">
      <alignment horizontal="left" vertical="center" wrapText="1"/>
    </xf>
    <xf numFmtId="0" fontId="9" fillId="7" borderId="2" xfId="0" applyFont="1" applyFill="1" applyBorder="1" applyAlignment="1">
      <alignment horizontal="left" vertical="center" wrapText="1"/>
    </xf>
    <xf numFmtId="0" fontId="12" fillId="7" borderId="0" xfId="0" applyFont="1" applyFill="1" applyAlignment="1">
      <alignment horizontal="left" vertical="center" wrapText="1"/>
    </xf>
    <xf numFmtId="0" fontId="7" fillId="0" borderId="2" xfId="0" applyFont="1" applyFill="1" applyBorder="1" applyAlignment="1">
      <alignment horizontal="left" vertical="center" wrapText="1"/>
    </xf>
    <xf numFmtId="0" fontId="1" fillId="0" borderId="2" xfId="0" applyFont="1" applyFill="1" applyBorder="1" applyAlignment="1">
      <alignment horizontal="left" vertical="center" wrapText="1"/>
    </xf>
    <xf numFmtId="0" fontId="9" fillId="7" borderId="0" xfId="0" applyFont="1" applyFill="1" applyBorder="1" applyAlignment="1">
      <alignment horizontal="left" vertical="center" wrapText="1"/>
    </xf>
    <xf numFmtId="0" fontId="2" fillId="5" borderId="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6" borderId="2" xfId="0" applyFont="1" applyFill="1" applyBorder="1" applyAlignment="1">
      <alignment horizontal="left" vertical="center" wrapText="1"/>
    </xf>
    <xf numFmtId="0" fontId="2" fillId="7" borderId="0" xfId="0" applyFont="1" applyFill="1" applyBorder="1" applyAlignment="1">
      <alignment horizontal="left" vertical="center" wrapText="1"/>
    </xf>
    <xf numFmtId="0" fontId="3" fillId="2" borderId="4" xfId="0" applyFont="1" applyFill="1" applyBorder="1" applyAlignment="1">
      <alignment horizontal="left" vertical="center"/>
    </xf>
    <xf numFmtId="0" fontId="2" fillId="5" borderId="2" xfId="0" applyFont="1" applyFill="1" applyBorder="1" applyAlignment="1">
      <alignment horizontal="left" vertical="center"/>
    </xf>
    <xf numFmtId="0" fontId="2" fillId="0" borderId="0" xfId="0" applyFont="1" applyFill="1" applyBorder="1" applyAlignment="1">
      <alignment horizontal="left" vertical="center"/>
    </xf>
    <xf numFmtId="0" fontId="2" fillId="6" borderId="2" xfId="0" applyFont="1" applyFill="1" applyBorder="1" applyAlignment="1">
      <alignment horizontal="left" vertical="center"/>
    </xf>
    <xf numFmtId="0" fontId="2" fillId="7" borderId="0" xfId="0" applyFont="1" applyFill="1" applyBorder="1" applyAlignment="1">
      <alignment horizontal="left" vertical="center"/>
    </xf>
    <xf numFmtId="0" fontId="3" fillId="2" borderId="12" xfId="0" applyFont="1" applyFill="1" applyBorder="1" applyAlignment="1">
      <alignment horizontal="left" vertical="center"/>
    </xf>
    <xf numFmtId="0" fontId="3" fillId="2" borderId="13" xfId="0" applyFont="1" applyFill="1" applyBorder="1" applyAlignment="1">
      <alignment horizontal="left" vertical="center"/>
    </xf>
    <xf numFmtId="0" fontId="3" fillId="2" borderId="5" xfId="0" applyFont="1" applyFill="1" applyBorder="1" applyAlignment="1">
      <alignment horizontal="left" vertical="center"/>
    </xf>
    <xf numFmtId="0" fontId="3" fillId="2" borderId="2" xfId="0" applyFont="1" applyFill="1" applyBorder="1" applyAlignment="1">
      <alignment horizontal="left" vertical="center"/>
    </xf>
    <xf numFmtId="0" fontId="7" fillId="0" borderId="0" xfId="0" applyFont="1" applyFill="1" applyBorder="1" applyAlignment="1" applyProtection="1">
      <alignment horizontal="left" vertical="center"/>
    </xf>
    <xf numFmtId="0" fontId="7" fillId="0" borderId="2" xfId="0" applyFont="1" applyFill="1" applyBorder="1" applyAlignment="1">
      <alignment horizontal="left" vertical="center"/>
    </xf>
    <xf numFmtId="0" fontId="1" fillId="0" borderId="2" xfId="0" applyFont="1" applyFill="1" applyBorder="1" applyAlignment="1">
      <alignment horizontal="left" vertical="center"/>
    </xf>
    <xf numFmtId="0" fontId="6" fillId="7" borderId="2" xfId="0" applyFont="1" applyFill="1" applyBorder="1" applyAlignment="1">
      <alignment horizontal="left" vertical="center"/>
    </xf>
    <xf numFmtId="0" fontId="9" fillId="7" borderId="2" xfId="0" applyFont="1" applyFill="1" applyBorder="1" applyAlignment="1">
      <alignment horizontal="left" vertical="center"/>
    </xf>
    <xf numFmtId="0" fontId="6" fillId="14" borderId="5" xfId="0" applyFont="1" applyFill="1" applyBorder="1" applyAlignment="1">
      <alignment vertical="center"/>
    </xf>
    <xf numFmtId="0" fontId="6" fillId="14" borderId="6" xfId="0" applyFont="1" applyFill="1" applyBorder="1" applyAlignment="1">
      <alignment horizontal="center" vertical="center"/>
    </xf>
    <xf numFmtId="0" fontId="2" fillId="13" borderId="3" xfId="0" applyFont="1" applyFill="1" applyBorder="1" applyAlignment="1">
      <alignment vertical="center" wrapText="1"/>
    </xf>
    <xf numFmtId="0" fontId="2" fillId="13" borderId="3" xfId="0" applyFont="1" applyFill="1" applyBorder="1" applyAlignment="1">
      <alignment horizontal="center" vertical="center" wrapText="1"/>
    </xf>
    <xf numFmtId="9" fontId="2" fillId="13" borderId="3" xfId="0" applyNumberFormat="1" applyFont="1" applyFill="1" applyBorder="1" applyAlignment="1">
      <alignment horizontal="center" vertical="center" wrapText="1"/>
    </xf>
    <xf numFmtId="10" fontId="2" fillId="13" borderId="3" xfId="0" applyNumberFormat="1" applyFont="1" applyFill="1" applyBorder="1" applyAlignment="1">
      <alignment horizontal="center" vertical="center" wrapText="1"/>
    </xf>
    <xf numFmtId="0" fontId="3" fillId="14" borderId="4" xfId="0" applyFont="1" applyFill="1" applyBorder="1" applyAlignment="1">
      <alignment vertical="center" wrapText="1"/>
    </xf>
    <xf numFmtId="10" fontId="7" fillId="7" borderId="2" xfId="0" applyNumberFormat="1" applyFont="1" applyFill="1" applyBorder="1" applyAlignment="1">
      <alignment vertical="center" wrapText="1"/>
    </xf>
    <xf numFmtId="0" fontId="3" fillId="14" borderId="4" xfId="0" applyFont="1" applyFill="1" applyBorder="1" applyAlignment="1">
      <alignment vertical="center"/>
    </xf>
    <xf numFmtId="0" fontId="2" fillId="7" borderId="13" xfId="0" applyFont="1" applyFill="1" applyBorder="1" applyAlignment="1">
      <alignment vertical="center" wrapText="1"/>
    </xf>
    <xf numFmtId="0" fontId="0" fillId="7" borderId="0" xfId="0" applyFill="1" applyAlignment="1" applyProtection="1">
      <alignment wrapText="1"/>
    </xf>
    <xf numFmtId="0" fontId="0" fillId="7" borderId="0" xfId="0" applyFill="1" applyAlignment="1" applyProtection="1">
      <alignment horizontal="left" vertical="center" wrapText="1"/>
    </xf>
    <xf numFmtId="0" fontId="0" fillId="7" borderId="0" xfId="0" applyFill="1" applyAlignment="1" applyProtection="1">
      <alignment horizontal="center" vertical="center" wrapText="1"/>
    </xf>
    <xf numFmtId="0" fontId="41" fillId="7" borderId="0" xfId="0" applyFont="1" applyFill="1" applyAlignment="1" applyProtection="1">
      <alignment horizontal="left" vertical="top" wrapText="1"/>
    </xf>
    <xf numFmtId="0" fontId="6" fillId="7" borderId="0" xfId="0" applyFont="1" applyFill="1" applyAlignment="1" applyProtection="1">
      <alignment horizontal="left" vertical="center" wrapText="1"/>
    </xf>
    <xf numFmtId="0" fontId="12" fillId="7" borderId="0" xfId="0" applyFont="1" applyFill="1" applyAlignment="1" applyProtection="1">
      <alignment wrapText="1"/>
    </xf>
    <xf numFmtId="0" fontId="62" fillId="0" borderId="0" xfId="3" applyFont="1" applyFill="1" applyBorder="1" applyAlignment="1" applyProtection="1">
      <alignment horizontal="left" vertical="center"/>
    </xf>
    <xf numFmtId="1" fontId="3" fillId="2" borderId="2" xfId="0" applyNumberFormat="1" applyFont="1" applyFill="1" applyBorder="1" applyAlignment="1" applyProtection="1">
      <alignment horizontal="center" vertical="center" wrapText="1"/>
    </xf>
    <xf numFmtId="164" fontId="3" fillId="2" borderId="2" xfId="0" applyNumberFormat="1" applyFont="1" applyFill="1" applyBorder="1" applyAlignment="1" applyProtection="1">
      <alignment horizontal="center" vertical="center" wrapText="1"/>
    </xf>
    <xf numFmtId="164" fontId="3" fillId="2" borderId="2" xfId="0" applyNumberFormat="1" applyFont="1" applyFill="1" applyBorder="1" applyAlignment="1" applyProtection="1">
      <alignment horizontal="left" vertical="center" wrapText="1"/>
    </xf>
    <xf numFmtId="1" fontId="20" fillId="17" borderId="2" xfId="0" applyNumberFormat="1" applyFont="1" applyFill="1" applyBorder="1" applyAlignment="1" applyProtection="1">
      <alignment horizontal="left" vertical="center"/>
    </xf>
    <xf numFmtId="0" fontId="20" fillId="18" borderId="2" xfId="0" applyFont="1" applyFill="1" applyBorder="1" applyAlignment="1" applyProtection="1">
      <alignment vertical="center" wrapText="1"/>
    </xf>
    <xf numFmtId="0" fontId="20" fillId="17" borderId="2" xfId="0" applyFont="1" applyFill="1" applyBorder="1" applyAlignment="1" applyProtection="1">
      <alignment horizontal="center" vertical="center" wrapText="1"/>
    </xf>
    <xf numFmtId="0" fontId="20" fillId="17" borderId="2" xfId="0" applyFont="1" applyFill="1" applyBorder="1" applyAlignment="1" applyProtection="1">
      <alignment vertical="top" wrapText="1"/>
    </xf>
    <xf numFmtId="0" fontId="20" fillId="17" borderId="2" xfId="0" applyFont="1" applyFill="1" applyBorder="1" applyAlignment="1" applyProtection="1">
      <alignment horizontal="center" wrapText="1"/>
    </xf>
    <xf numFmtId="0" fontId="7" fillId="20" borderId="2" xfId="0" applyFont="1" applyFill="1" applyBorder="1" applyAlignment="1" applyProtection="1">
      <alignment horizontal="left" vertical="center" wrapText="1"/>
    </xf>
    <xf numFmtId="0" fontId="3" fillId="3" borderId="2" xfId="0" applyFont="1" applyFill="1" applyBorder="1" applyAlignment="1">
      <alignment vertical="center" wrapText="1"/>
    </xf>
    <xf numFmtId="0" fontId="3" fillId="3" borderId="2" xfId="0" applyFont="1" applyFill="1" applyBorder="1" applyAlignment="1">
      <alignment horizontal="left" vertical="center" wrapText="1"/>
    </xf>
    <xf numFmtId="0" fontId="3" fillId="3" borderId="2" xfId="0" applyFont="1" applyFill="1" applyBorder="1" applyAlignment="1">
      <alignment horizontal="left" vertical="center"/>
    </xf>
    <xf numFmtId="0" fontId="41" fillId="7" borderId="0" xfId="0" applyFont="1" applyFill="1" applyAlignment="1" applyProtection="1">
      <alignment horizontal="center" vertical="center" wrapText="1"/>
    </xf>
    <xf numFmtId="0" fontId="41" fillId="0" borderId="0" xfId="0" applyFont="1" applyAlignment="1" applyProtection="1">
      <alignment horizontal="center" vertical="center" wrapText="1"/>
    </xf>
    <xf numFmtId="0" fontId="54" fillId="0" borderId="2" xfId="0" applyFont="1" applyFill="1" applyBorder="1" applyAlignment="1" applyProtection="1">
      <alignment horizontal="center" vertical="center"/>
    </xf>
    <xf numFmtId="0" fontId="63" fillId="7" borderId="3" xfId="0" applyFont="1" applyFill="1" applyBorder="1" applyAlignment="1" applyProtection="1">
      <alignment horizontal="center" vertical="center"/>
    </xf>
    <xf numFmtId="10" fontId="7" fillId="0" borderId="2" xfId="0" applyNumberFormat="1" applyFont="1" applyFill="1" applyBorder="1" applyAlignment="1">
      <alignment horizontal="center" vertical="center" wrapText="1"/>
    </xf>
    <xf numFmtId="0" fontId="2" fillId="6" borderId="2" xfId="0" applyFont="1" applyFill="1" applyBorder="1" applyAlignment="1">
      <alignment vertical="center" wrapText="1"/>
    </xf>
    <xf numFmtId="10" fontId="7" fillId="0" borderId="2" xfId="0" applyNumberFormat="1" applyFont="1" applyFill="1" applyBorder="1" applyAlignment="1">
      <alignment vertical="center" wrapText="1"/>
    </xf>
    <xf numFmtId="0" fontId="2" fillId="0" borderId="2" xfId="0" applyFont="1" applyFill="1" applyBorder="1" applyAlignment="1">
      <alignment vertical="center" wrapText="1"/>
    </xf>
    <xf numFmtId="9" fontId="7" fillId="20" borderId="2" xfId="4" applyFont="1" applyFill="1" applyBorder="1" applyAlignment="1" applyProtection="1">
      <alignment horizontal="left" vertical="center" wrapText="1"/>
    </xf>
    <xf numFmtId="0" fontId="2" fillId="20" borderId="2" xfId="0" applyFont="1" applyFill="1" applyBorder="1" applyAlignment="1" applyProtection="1">
      <alignment horizontal="left" vertical="center" wrapText="1"/>
    </xf>
    <xf numFmtId="0" fontId="66" fillId="7" borderId="0" xfId="0" applyFont="1" applyFill="1" applyProtection="1"/>
    <xf numFmtId="0" fontId="66" fillId="0" borderId="0" xfId="0" applyFont="1" applyProtection="1"/>
    <xf numFmtId="0" fontId="1" fillId="7" borderId="2" xfId="0" applyFont="1" applyFill="1" applyBorder="1" applyAlignment="1" applyProtection="1">
      <alignment horizontal="center" vertical="center" wrapText="1"/>
      <protection locked="0"/>
    </xf>
    <xf numFmtId="0" fontId="0" fillId="7" borderId="0" xfId="0" applyFont="1" applyFill="1" applyAlignment="1" applyProtection="1">
      <alignment horizontal="left" vertical="top" wrapText="1"/>
    </xf>
    <xf numFmtId="0" fontId="0" fillId="0" borderId="0" xfId="0" applyFont="1" applyAlignment="1" applyProtection="1">
      <alignment horizontal="left" vertical="top" wrapText="1"/>
    </xf>
    <xf numFmtId="0" fontId="49" fillId="0" borderId="2" xfId="0" applyFont="1" applyFill="1" applyBorder="1" applyAlignment="1" applyProtection="1">
      <alignment horizontal="left" vertical="center" wrapText="1"/>
    </xf>
    <xf numFmtId="0" fontId="34" fillId="0" borderId="2" xfId="0" applyFont="1" applyFill="1" applyBorder="1" applyAlignment="1" applyProtection="1">
      <alignment horizontal="left" vertical="center" wrapText="1"/>
    </xf>
    <xf numFmtId="0" fontId="7" fillId="20" borderId="3" xfId="0" applyFont="1" applyFill="1" applyBorder="1" applyAlignment="1" applyProtection="1">
      <alignment horizontal="left" vertical="center" wrapText="1"/>
    </xf>
    <xf numFmtId="0" fontId="7" fillId="7" borderId="2" xfId="0" applyFont="1" applyFill="1" applyBorder="1" applyAlignment="1" applyProtection="1">
      <alignment horizontal="center" vertical="center" wrapText="1"/>
    </xf>
    <xf numFmtId="1" fontId="3" fillId="15" borderId="1" xfId="0" applyNumberFormat="1" applyFont="1" applyFill="1" applyBorder="1" applyAlignment="1" applyProtection="1">
      <alignment horizontal="center" vertical="center" wrapText="1"/>
    </xf>
    <xf numFmtId="0" fontId="7" fillId="20" borderId="1" xfId="0" applyFont="1" applyFill="1" applyBorder="1" applyAlignment="1" applyProtection="1">
      <alignment horizontal="left" vertical="center" wrapText="1"/>
    </xf>
    <xf numFmtId="9" fontId="7" fillId="20" borderId="2" xfId="0" applyNumberFormat="1" applyFont="1" applyFill="1" applyBorder="1" applyAlignment="1" applyProtection="1">
      <alignment horizontal="left" vertical="center" wrapText="1"/>
    </xf>
    <xf numFmtId="9" fontId="7" fillId="20" borderId="2" xfId="0" applyNumberFormat="1" applyFont="1" applyFill="1" applyBorder="1" applyAlignment="1" applyProtection="1">
      <alignment horizontal="center" vertical="center" wrapText="1"/>
    </xf>
    <xf numFmtId="0" fontId="0" fillId="7" borderId="2" xfId="0" applyFill="1" applyBorder="1" applyProtection="1"/>
    <xf numFmtId="0" fontId="54" fillId="7" borderId="1" xfId="0" applyFont="1" applyFill="1" applyBorder="1" applyAlignment="1" applyProtection="1">
      <alignment horizontal="center" vertical="center"/>
    </xf>
    <xf numFmtId="0" fontId="65" fillId="0" borderId="13" xfId="0" applyFont="1" applyFill="1" applyBorder="1" applyAlignment="1" applyProtection="1">
      <alignment horizontal="center" vertical="center"/>
    </xf>
    <xf numFmtId="1" fontId="10" fillId="17" borderId="5" xfId="0" applyNumberFormat="1" applyFont="1" applyFill="1" applyBorder="1" applyAlignment="1" applyProtection="1">
      <alignment horizontal="left" vertical="center"/>
    </xf>
    <xf numFmtId="1" fontId="10" fillId="17" borderId="6" xfId="0" applyNumberFormat="1" applyFont="1" applyFill="1" applyBorder="1" applyAlignment="1" applyProtection="1">
      <alignment horizontal="left" vertical="center"/>
    </xf>
    <xf numFmtId="0" fontId="65" fillId="0" borderId="5" xfId="0" applyFont="1" applyFill="1" applyBorder="1" applyAlignment="1" applyProtection="1">
      <alignment horizontal="center" vertical="center"/>
    </xf>
    <xf numFmtId="10" fontId="7" fillId="0" borderId="2"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0" fillId="17" borderId="0" xfId="0" applyFont="1" applyFill="1" applyBorder="1" applyAlignment="1">
      <alignment horizontal="center" vertical="center"/>
    </xf>
    <xf numFmtId="0" fontId="6" fillId="14" borderId="5" xfId="0" applyFont="1" applyFill="1" applyBorder="1" applyAlignment="1">
      <alignment horizontal="center" vertical="center"/>
    </xf>
    <xf numFmtId="0" fontId="2" fillId="0" borderId="2" xfId="0" applyFont="1" applyFill="1" applyBorder="1" applyAlignment="1">
      <alignment horizontal="center" vertical="center" wrapText="1"/>
    </xf>
    <xf numFmtId="0" fontId="7" fillId="7" borderId="0" xfId="0" applyFont="1" applyFill="1" applyBorder="1" applyAlignment="1">
      <alignment horizontal="center" vertical="center"/>
    </xf>
    <xf numFmtId="0" fontId="0" fillId="0" borderId="0" xfId="0" applyAlignment="1">
      <alignment horizontal="left" indent="1"/>
    </xf>
    <xf numFmtId="164" fontId="20" fillId="17" borderId="2" xfId="0" applyNumberFormat="1" applyFont="1" applyFill="1" applyBorder="1" applyAlignment="1" applyProtection="1">
      <alignment horizontal="center" vertical="center" wrapText="1"/>
    </xf>
    <xf numFmtId="0" fontId="20" fillId="17" borderId="2" xfId="0" applyFont="1" applyFill="1" applyBorder="1" applyAlignment="1" applyProtection="1">
      <alignment horizontal="left" vertical="center" wrapText="1"/>
    </xf>
    <xf numFmtId="164" fontId="20" fillId="17" borderId="2" xfId="0" applyNumberFormat="1" applyFont="1" applyFill="1" applyBorder="1" applyAlignment="1" applyProtection="1">
      <alignment horizontal="left" vertical="center" wrapText="1"/>
    </xf>
    <xf numFmtId="164" fontId="60" fillId="17" borderId="2" xfId="0" applyNumberFormat="1" applyFont="1" applyFill="1" applyBorder="1" applyAlignment="1" applyProtection="1">
      <alignment horizontal="center" vertical="center" wrapText="1"/>
    </xf>
    <xf numFmtId="1" fontId="20" fillId="17" borderId="2" xfId="0" applyNumberFormat="1" applyFont="1" applyFill="1" applyBorder="1" applyAlignment="1" applyProtection="1">
      <alignment horizontal="center" vertical="center" wrapText="1"/>
    </xf>
    <xf numFmtId="0" fontId="51" fillId="7" borderId="0" xfId="0" applyFont="1" applyFill="1" applyBorder="1" applyAlignment="1" applyProtection="1">
      <alignment wrapText="1"/>
    </xf>
    <xf numFmtId="0" fontId="4" fillId="7" borderId="0" xfId="0" applyFont="1" applyFill="1" applyAlignment="1" applyProtection="1">
      <alignment wrapText="1"/>
    </xf>
    <xf numFmtId="0" fontId="44" fillId="7" borderId="0" xfId="0" applyFont="1" applyFill="1" applyAlignment="1" applyProtection="1">
      <alignment wrapText="1"/>
    </xf>
    <xf numFmtId="0" fontId="0" fillId="7" borderId="0" xfId="0" applyFill="1" applyAlignment="1" applyProtection="1">
      <alignment horizontal="center" wrapText="1"/>
    </xf>
    <xf numFmtId="0" fontId="4" fillId="7" borderId="0" xfId="0" applyFont="1" applyFill="1" applyAlignment="1" applyProtection="1">
      <alignment horizontal="center" wrapText="1"/>
    </xf>
    <xf numFmtId="0" fontId="4" fillId="7" borderId="0" xfId="0" applyFont="1" applyFill="1" applyAlignment="1" applyProtection="1">
      <alignment horizontal="left" vertical="center" wrapText="1"/>
    </xf>
    <xf numFmtId="0" fontId="4" fillId="7" borderId="0" xfId="0" applyFont="1" applyFill="1" applyAlignment="1" applyProtection="1">
      <alignment horizontal="center" vertical="center" wrapText="1"/>
    </xf>
    <xf numFmtId="0" fontId="59" fillId="7" borderId="0" xfId="0" applyFont="1" applyFill="1" applyAlignment="1" applyProtection="1">
      <alignment horizontal="center" vertical="center" wrapText="1"/>
    </xf>
    <xf numFmtId="0" fontId="4" fillId="7" borderId="0" xfId="0" applyFont="1" applyFill="1" applyAlignment="1" applyProtection="1">
      <alignment horizontal="left" vertical="top" wrapText="1"/>
    </xf>
    <xf numFmtId="0" fontId="59" fillId="7" borderId="0" xfId="0" applyFont="1" applyFill="1" applyAlignment="1" applyProtection="1">
      <alignment horizontal="left" vertical="top" wrapText="1"/>
    </xf>
    <xf numFmtId="0" fontId="47" fillId="7" borderId="0" xfId="0" applyFont="1" applyFill="1" applyAlignment="1" applyProtection="1">
      <alignment horizontal="left" vertical="center" wrapText="1"/>
    </xf>
    <xf numFmtId="0" fontId="14" fillId="7" borderId="0" xfId="0" applyFont="1" applyFill="1" applyAlignment="1" applyProtection="1">
      <alignment wrapText="1"/>
    </xf>
    <xf numFmtId="0" fontId="34" fillId="7" borderId="0" xfId="0" applyFont="1" applyFill="1" applyAlignment="1" applyProtection="1">
      <alignment horizontal="left" vertical="top"/>
    </xf>
    <xf numFmtId="0" fontId="44" fillId="7" borderId="0" xfId="0" applyFont="1" applyFill="1" applyAlignment="1" applyProtection="1">
      <alignment horizontal="left" vertical="center" wrapText="1"/>
    </xf>
    <xf numFmtId="0" fontId="44" fillId="7" borderId="0" xfId="0" applyFont="1" applyFill="1" applyAlignment="1" applyProtection="1">
      <alignment horizontal="center" vertical="center" wrapText="1"/>
    </xf>
    <xf numFmtId="0" fontId="61" fillId="7" borderId="0" xfId="0" applyFont="1" applyFill="1" applyAlignment="1" applyProtection="1">
      <alignment horizontal="center" vertical="center" wrapText="1"/>
    </xf>
    <xf numFmtId="0" fontId="44" fillId="7" borderId="0" xfId="0" applyFont="1" applyFill="1" applyAlignment="1" applyProtection="1">
      <alignment horizontal="left" vertical="top" wrapText="1"/>
    </xf>
    <xf numFmtId="0" fontId="61" fillId="7" borderId="0" xfId="0" applyFont="1" applyFill="1" applyAlignment="1" applyProtection="1">
      <alignment horizontal="left" vertical="top" wrapText="1"/>
    </xf>
    <xf numFmtId="0" fontId="34" fillId="7" borderId="0" xfId="0" applyFont="1" applyFill="1" applyAlignment="1" applyProtection="1">
      <alignment horizontal="left" vertical="center" wrapText="1"/>
    </xf>
    <xf numFmtId="0" fontId="42" fillId="7" borderId="0" xfId="0" applyFont="1" applyFill="1" applyAlignment="1" applyProtection="1">
      <alignment wrapText="1"/>
    </xf>
    <xf numFmtId="0" fontId="44" fillId="7" borderId="0" xfId="0" applyFont="1" applyFill="1" applyAlignment="1" applyProtection="1">
      <alignment horizontal="left" wrapText="1"/>
    </xf>
    <xf numFmtId="0" fontId="4" fillId="7" borderId="0" xfId="0" applyFont="1" applyFill="1" applyAlignment="1" applyProtection="1">
      <alignment horizontal="left" wrapText="1"/>
    </xf>
    <xf numFmtId="0" fontId="44" fillId="7" borderId="0" xfId="0" applyFont="1" applyFill="1" applyAlignment="1" applyProtection="1">
      <alignment horizontal="center" wrapText="1"/>
    </xf>
    <xf numFmtId="1" fontId="44" fillId="7" borderId="0" xfId="0" applyNumberFormat="1" applyFont="1" applyFill="1" applyAlignment="1" applyProtection="1">
      <alignment horizontal="center" vertical="center" wrapText="1"/>
    </xf>
    <xf numFmtId="1" fontId="4" fillId="7" borderId="0" xfId="0" applyNumberFormat="1" applyFont="1" applyFill="1" applyAlignment="1" applyProtection="1">
      <alignment horizontal="center" vertical="center" wrapText="1"/>
    </xf>
    <xf numFmtId="0" fontId="7" fillId="7" borderId="0" xfId="0" applyFont="1" applyFill="1" applyAlignment="1" applyProtection="1">
      <alignment horizontal="left" vertical="center" wrapText="1"/>
    </xf>
    <xf numFmtId="0" fontId="34" fillId="7" borderId="2" xfId="0" applyFont="1" applyFill="1" applyBorder="1" applyAlignment="1" applyProtection="1">
      <alignment horizontal="left" vertical="center" wrapText="1"/>
    </xf>
    <xf numFmtId="0" fontId="2" fillId="7" borderId="2"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9" fontId="34" fillId="7" borderId="2" xfId="0" applyNumberFormat="1" applyFont="1" applyFill="1" applyBorder="1" applyAlignment="1" applyProtection="1">
      <alignment horizontal="left" vertical="center" wrapText="1"/>
    </xf>
    <xf numFmtId="0" fontId="49" fillId="7" borderId="2" xfId="0" applyFont="1" applyFill="1" applyBorder="1" applyAlignment="1" applyProtection="1">
      <alignment horizontal="left" vertical="top" wrapText="1"/>
    </xf>
    <xf numFmtId="0" fontId="1" fillId="0" borderId="2" xfId="0" applyFont="1" applyFill="1" applyBorder="1" applyAlignment="1" applyProtection="1">
      <alignment horizontal="center" vertical="center" wrapText="1"/>
    </xf>
    <xf numFmtId="0" fontId="68" fillId="0" borderId="2" xfId="0" applyFont="1" applyFill="1" applyBorder="1" applyAlignment="1" applyProtection="1">
      <alignment horizontal="left" vertical="center" wrapText="1"/>
    </xf>
    <xf numFmtId="0" fontId="34" fillId="7" borderId="2" xfId="0" applyFont="1" applyFill="1" applyBorder="1" applyAlignment="1" applyProtection="1">
      <alignment horizontal="left" vertical="top" wrapText="1"/>
    </xf>
    <xf numFmtId="0" fontId="67" fillId="0" borderId="2" xfId="0" applyFont="1" applyFill="1" applyBorder="1" applyAlignment="1" applyProtection="1">
      <alignment horizontal="left" vertical="top" wrapText="1"/>
    </xf>
    <xf numFmtId="0" fontId="68" fillId="7" borderId="2" xfId="0" applyFont="1" applyFill="1" applyBorder="1" applyAlignment="1" applyProtection="1">
      <alignment horizontal="left" vertical="center" wrapText="1"/>
    </xf>
    <xf numFmtId="164" fontId="60" fillId="17" borderId="2" xfId="0" applyNumberFormat="1" applyFont="1" applyFill="1" applyBorder="1" applyAlignment="1" applyProtection="1">
      <alignment horizontal="left" vertical="center" wrapText="1"/>
    </xf>
    <xf numFmtId="0" fontId="3" fillId="7" borderId="0" xfId="0" applyFont="1" applyFill="1" applyAlignment="1" applyProtection="1">
      <alignment horizontal="left" vertical="center" wrapText="1"/>
    </xf>
    <xf numFmtId="0" fontId="2" fillId="7" borderId="0" xfId="0" applyFont="1" applyFill="1" applyAlignment="1" applyProtection="1">
      <alignment horizontal="left" vertical="center" wrapText="1"/>
    </xf>
    <xf numFmtId="0" fontId="7" fillId="0" borderId="0" xfId="0" applyFont="1" applyAlignment="1" applyProtection="1">
      <alignment horizontal="left" vertical="center" wrapText="1"/>
    </xf>
    <xf numFmtId="0" fontId="7" fillId="20" borderId="2" xfId="0" applyFont="1" applyFill="1" applyBorder="1" applyAlignment="1" applyProtection="1">
      <alignment horizontal="left" vertical="top" wrapText="1"/>
    </xf>
    <xf numFmtId="0" fontId="0" fillId="4" borderId="2" xfId="0" applyFill="1" applyBorder="1" applyAlignment="1" applyProtection="1">
      <alignment horizontal="left" vertical="center" wrapText="1"/>
    </xf>
    <xf numFmtId="0" fontId="6" fillId="4" borderId="2" xfId="0" applyFont="1" applyFill="1" applyBorder="1" applyAlignment="1" applyProtection="1">
      <alignment horizontal="left" vertical="center" wrapText="1"/>
    </xf>
    <xf numFmtId="0" fontId="34" fillId="4" borderId="2" xfId="0" applyFont="1" applyFill="1" applyBorder="1" applyAlignment="1" applyProtection="1">
      <alignment horizontal="left" vertical="center" wrapText="1"/>
    </xf>
    <xf numFmtId="9" fontId="34" fillId="4" borderId="2" xfId="0" applyNumberFormat="1" applyFont="1" applyFill="1" applyBorder="1" applyAlignment="1" applyProtection="1">
      <alignment horizontal="left" vertical="center" wrapText="1"/>
    </xf>
    <xf numFmtId="9" fontId="34" fillId="4" borderId="2" xfId="0" applyNumberFormat="1" applyFont="1" applyFill="1" applyBorder="1" applyAlignment="1" applyProtection="1">
      <alignment horizontal="left" vertical="top" wrapText="1"/>
    </xf>
    <xf numFmtId="0" fontId="34" fillId="4" borderId="2" xfId="0" applyFont="1" applyFill="1" applyBorder="1" applyAlignment="1" applyProtection="1">
      <alignment horizontal="left" vertical="top" wrapText="1"/>
    </xf>
    <xf numFmtId="0" fontId="34" fillId="0" borderId="2" xfId="0" applyFont="1" applyFill="1" applyBorder="1" applyAlignment="1" applyProtection="1">
      <alignment horizontal="left" vertical="center" wrapText="1"/>
      <protection locked="0"/>
    </xf>
    <xf numFmtId="0" fontId="20" fillId="17" borderId="2" xfId="0" applyFont="1" applyFill="1" applyBorder="1" applyAlignment="1" applyProtection="1">
      <alignment horizontal="center" vertical="center" wrapText="1"/>
      <protection locked="0"/>
    </xf>
    <xf numFmtId="0" fontId="20" fillId="17" borderId="2" xfId="0" applyFont="1" applyFill="1" applyBorder="1" applyAlignment="1" applyProtection="1">
      <alignment horizontal="center" wrapText="1"/>
      <protection locked="0"/>
    </xf>
    <xf numFmtId="0" fontId="1" fillId="7" borderId="3" xfId="0" applyFont="1" applyFill="1" applyBorder="1" applyAlignment="1" applyProtection="1">
      <alignment horizontal="center" vertical="center" wrapText="1"/>
    </xf>
    <xf numFmtId="0" fontId="1" fillId="7" borderId="3" xfId="0" applyFont="1" applyFill="1" applyBorder="1" applyAlignment="1" applyProtection="1">
      <alignment horizontal="center" vertical="center" wrapText="1"/>
      <protection locked="0"/>
    </xf>
    <xf numFmtId="0" fontId="19" fillId="4" borderId="51" xfId="0" applyFont="1" applyFill="1" applyBorder="1" applyAlignment="1" applyProtection="1">
      <alignment horizontal="center" vertical="center" wrapText="1"/>
    </xf>
    <xf numFmtId="0" fontId="39" fillId="7" borderId="2" xfId="0" applyFont="1" applyFill="1" applyBorder="1" applyAlignment="1" applyProtection="1">
      <alignment horizontal="center" vertical="center" wrapText="1"/>
    </xf>
    <xf numFmtId="0" fontId="0" fillId="0" borderId="2" xfId="0" applyFill="1" applyBorder="1" applyAlignment="1" applyProtection="1">
      <alignment horizontal="left" vertical="top" wrapText="1"/>
    </xf>
    <xf numFmtId="9" fontId="34" fillId="0" borderId="2" xfId="0" applyNumberFormat="1" applyFont="1" applyFill="1" applyBorder="1" applyAlignment="1" applyProtection="1">
      <alignment horizontal="left" vertical="center" wrapText="1"/>
    </xf>
    <xf numFmtId="49" fontId="34" fillId="0" borderId="2" xfId="4" applyNumberFormat="1" applyFont="1" applyFill="1" applyBorder="1" applyAlignment="1" applyProtection="1">
      <alignment horizontal="left" vertical="center" wrapText="1"/>
    </xf>
    <xf numFmtId="0" fontId="49" fillId="0" borderId="2" xfId="0" applyFont="1" applyFill="1" applyBorder="1" applyAlignment="1" applyProtection="1">
      <alignment horizontal="left" vertical="center" wrapText="1"/>
      <protection locked="0"/>
    </xf>
    <xf numFmtId="0" fontId="49" fillId="0" borderId="2" xfId="0" applyFont="1" applyFill="1" applyBorder="1" applyAlignment="1" applyProtection="1">
      <alignment horizontal="left" vertical="top" wrapText="1"/>
      <protection locked="0"/>
    </xf>
    <xf numFmtId="9" fontId="49" fillId="0" borderId="2" xfId="0" applyNumberFormat="1" applyFont="1" applyFill="1" applyBorder="1" applyAlignment="1" applyProtection="1">
      <alignment horizontal="left" vertical="center" wrapText="1"/>
      <protection locked="0"/>
    </xf>
    <xf numFmtId="0" fontId="0" fillId="0" borderId="0" xfId="0" applyFont="1" applyAlignment="1" applyProtection="1">
      <alignment horizontal="left" vertical="top" wrapText="1"/>
      <protection locked="0"/>
    </xf>
    <xf numFmtId="9" fontId="34" fillId="0" borderId="2" xfId="0" applyNumberFormat="1" applyFont="1" applyFill="1" applyBorder="1" applyAlignment="1" applyProtection="1">
      <alignment horizontal="left" vertical="center" wrapText="1"/>
      <protection locked="0"/>
    </xf>
    <xf numFmtId="0" fontId="49" fillId="0" borderId="2" xfId="0" applyFont="1" applyFill="1" applyBorder="1" applyAlignment="1" applyProtection="1">
      <alignment vertical="center" wrapText="1"/>
      <protection locked="0"/>
    </xf>
    <xf numFmtId="0" fontId="19" fillId="4" borderId="6" xfId="0" applyFont="1" applyFill="1" applyBorder="1" applyAlignment="1" applyProtection="1">
      <alignment horizontal="center" vertical="center" wrapText="1"/>
    </xf>
    <xf numFmtId="0" fontId="54" fillId="7" borderId="3" xfId="0" applyFont="1" applyFill="1" applyBorder="1" applyAlignment="1" applyProtection="1">
      <alignment horizontal="center" vertical="center"/>
    </xf>
    <xf numFmtId="0" fontId="53" fillId="7" borderId="2" xfId="0" applyFont="1" applyFill="1" applyBorder="1" applyAlignment="1" applyProtection="1">
      <alignment horizontal="center" vertical="center"/>
    </xf>
    <xf numFmtId="0" fontId="0" fillId="0" borderId="2" xfId="0" applyFont="1" applyBorder="1" applyAlignment="1" applyProtection="1">
      <alignment horizontal="left" vertical="top" wrapText="1"/>
    </xf>
    <xf numFmtId="17" fontId="34" fillId="7" borderId="2" xfId="0" applyNumberFormat="1" applyFont="1" applyFill="1" applyBorder="1" applyAlignment="1" applyProtection="1">
      <alignment horizontal="left" vertical="center" wrapText="1"/>
    </xf>
    <xf numFmtId="10" fontId="34" fillId="7" borderId="2" xfId="0" applyNumberFormat="1" applyFont="1" applyFill="1" applyBorder="1" applyAlignment="1" applyProtection="1">
      <alignment horizontal="left" vertical="center" wrapText="1"/>
    </xf>
    <xf numFmtId="0" fontId="2" fillId="9" borderId="7" xfId="2" applyFont="1" applyFill="1" applyAlignment="1">
      <alignment horizontal="center" vertical="center" wrapText="1"/>
    </xf>
    <xf numFmtId="0" fontId="57" fillId="8" borderId="48" xfId="3" applyFont="1" applyFill="1" applyBorder="1" applyAlignment="1" applyProtection="1">
      <alignment horizontal="center" vertical="center" wrapText="1"/>
    </xf>
    <xf numFmtId="0" fontId="57" fillId="8" borderId="49" xfId="3" applyFont="1" applyFill="1" applyBorder="1" applyAlignment="1" applyProtection="1">
      <alignment horizontal="center" vertical="center" wrapText="1"/>
    </xf>
    <xf numFmtId="0" fontId="57" fillId="8" borderId="50" xfId="3" applyFont="1" applyFill="1" applyBorder="1" applyAlignment="1" applyProtection="1">
      <alignment horizontal="center" vertical="center" wrapText="1"/>
    </xf>
    <xf numFmtId="0" fontId="2" fillId="9" borderId="8" xfId="2" applyFont="1" applyFill="1" applyBorder="1" applyAlignment="1">
      <alignment horizontal="center" vertical="center" wrapText="1"/>
    </xf>
    <xf numFmtId="0" fontId="2" fillId="9" borderId="0" xfId="2" applyFont="1" applyFill="1" applyBorder="1" applyAlignment="1">
      <alignment horizontal="center" vertical="center" wrapText="1"/>
    </xf>
    <xf numFmtId="0" fontId="2" fillId="9" borderId="7" xfId="2" applyFont="1" applyFill="1" applyBorder="1" applyAlignment="1">
      <alignment horizontal="center" vertical="center" wrapText="1"/>
    </xf>
    <xf numFmtId="0" fontId="2" fillId="8" borderId="8" xfId="2" applyFont="1" applyFill="1" applyBorder="1" applyAlignment="1">
      <alignment horizontal="center" vertical="center" wrapText="1"/>
    </xf>
    <xf numFmtId="0" fontId="2" fillId="8" borderId="0" xfId="2" applyFont="1" applyFill="1" applyBorder="1" applyAlignment="1">
      <alignment horizontal="center" vertical="center" wrapText="1"/>
    </xf>
    <xf numFmtId="0" fontId="2" fillId="8" borderId="7" xfId="2" applyFont="1" applyFill="1" applyBorder="1" applyAlignment="1">
      <alignment horizontal="center" vertical="center" wrapText="1"/>
    </xf>
    <xf numFmtId="0" fontId="2" fillId="11" borderId="7" xfId="2" applyFont="1" applyFill="1" applyAlignment="1">
      <alignment horizontal="center" vertical="center" wrapText="1"/>
    </xf>
    <xf numFmtId="1" fontId="58" fillId="8" borderId="32" xfId="0" applyNumberFormat="1" applyFont="1" applyFill="1" applyBorder="1" applyAlignment="1" applyProtection="1">
      <alignment horizontal="left" vertical="center" wrapText="1"/>
    </xf>
    <xf numFmtId="1" fontId="58" fillId="8" borderId="33" xfId="0" applyNumberFormat="1" applyFont="1" applyFill="1" applyBorder="1" applyAlignment="1" applyProtection="1">
      <alignment horizontal="left" vertical="center" wrapText="1"/>
    </xf>
    <xf numFmtId="1" fontId="58" fillId="8" borderId="34" xfId="0" applyNumberFormat="1" applyFont="1" applyFill="1" applyBorder="1" applyAlignment="1" applyProtection="1">
      <alignment horizontal="left" vertical="center" wrapText="1"/>
    </xf>
    <xf numFmtId="0" fontId="2" fillId="6" borderId="2" xfId="0" applyFont="1" applyFill="1" applyBorder="1" applyAlignment="1">
      <alignment vertical="center" wrapText="1"/>
    </xf>
    <xf numFmtId="0" fontId="2" fillId="0" borderId="6" xfId="0" applyFont="1" applyFill="1" applyBorder="1" applyAlignment="1">
      <alignment horizontal="center" vertical="center" wrapText="1"/>
    </xf>
    <xf numFmtId="10" fontId="7" fillId="0" borderId="2" xfId="0" applyNumberFormat="1" applyFont="1" applyFill="1" applyBorder="1" applyAlignment="1">
      <alignment horizontal="center" vertical="center" wrapText="1"/>
    </xf>
    <xf numFmtId="10" fontId="21" fillId="6" borderId="2" xfId="0" applyNumberFormat="1" applyFont="1" applyFill="1" applyBorder="1" applyAlignment="1">
      <alignment horizontal="center" vertical="center" wrapText="1"/>
    </xf>
    <xf numFmtId="10" fontId="10" fillId="3" borderId="2" xfId="0" applyNumberFormat="1" applyFont="1" applyFill="1" applyBorder="1" applyAlignment="1">
      <alignment horizontal="center" vertical="center" wrapText="1"/>
    </xf>
    <xf numFmtId="10" fontId="21" fillId="5" borderId="2" xfId="0" applyNumberFormat="1" applyFont="1" applyFill="1" applyBorder="1" applyAlignment="1">
      <alignment horizontal="center" vertical="center" wrapText="1"/>
    </xf>
    <xf numFmtId="10" fontId="7" fillId="0" borderId="1" xfId="0" applyNumberFormat="1" applyFont="1" applyFill="1" applyBorder="1" applyAlignment="1">
      <alignment horizontal="center" vertical="center" wrapText="1"/>
    </xf>
    <xf numFmtId="10" fontId="7" fillId="0" borderId="10" xfId="0" applyNumberFormat="1" applyFont="1" applyFill="1" applyBorder="1" applyAlignment="1">
      <alignment horizontal="center" vertical="center" wrapText="1"/>
    </xf>
    <xf numFmtId="10" fontId="7" fillId="0" borderId="3" xfId="0" applyNumberFormat="1" applyFont="1" applyFill="1" applyBorder="1" applyAlignment="1">
      <alignment horizontal="center" vertical="center" wrapText="1"/>
    </xf>
    <xf numFmtId="0" fontId="45" fillId="8" borderId="32" xfId="0" applyFont="1" applyFill="1" applyBorder="1" applyAlignment="1">
      <alignment horizontal="left" vertical="center" wrapText="1"/>
    </xf>
    <xf numFmtId="0" fontId="45" fillId="8" borderId="33" xfId="0" applyFont="1" applyFill="1" applyBorder="1" applyAlignment="1">
      <alignment horizontal="left" vertical="center" wrapText="1"/>
    </xf>
    <xf numFmtId="0" fontId="45" fillId="8" borderId="34" xfId="0" applyFont="1" applyFill="1" applyBorder="1" applyAlignment="1">
      <alignment horizontal="left" vertical="center" wrapText="1"/>
    </xf>
    <xf numFmtId="0" fontId="45" fillId="8" borderId="35" xfId="0" applyFont="1" applyFill="1" applyBorder="1" applyAlignment="1">
      <alignment horizontal="left" vertical="center" wrapText="1"/>
    </xf>
    <xf numFmtId="0" fontId="45" fillId="8" borderId="0" xfId="0" applyFont="1" applyFill="1" applyBorder="1" applyAlignment="1">
      <alignment horizontal="left" vertical="center" wrapText="1"/>
    </xf>
    <xf numFmtId="0" fontId="45" fillId="8" borderId="36" xfId="0" applyFont="1" applyFill="1" applyBorder="1" applyAlignment="1">
      <alignment horizontal="left" vertical="center" wrapText="1"/>
    </xf>
    <xf numFmtId="0" fontId="45" fillId="8" borderId="37" xfId="0" applyFont="1" applyFill="1" applyBorder="1" applyAlignment="1">
      <alignment horizontal="left" vertical="center" wrapText="1"/>
    </xf>
    <xf numFmtId="0" fontId="45" fillId="8" borderId="38" xfId="0" applyFont="1" applyFill="1" applyBorder="1" applyAlignment="1">
      <alignment horizontal="left" vertical="center" wrapText="1"/>
    </xf>
    <xf numFmtId="0" fontId="45" fillId="8" borderId="39" xfId="0" applyFont="1" applyFill="1" applyBorder="1" applyAlignment="1">
      <alignment horizontal="left" vertical="center" wrapText="1"/>
    </xf>
    <xf numFmtId="10" fontId="21" fillId="3" borderId="2" xfId="0" applyNumberFormat="1" applyFont="1" applyFill="1" applyBorder="1" applyAlignment="1">
      <alignment horizontal="center" vertical="center" wrapText="1"/>
    </xf>
    <xf numFmtId="10" fontId="7" fillId="0" borderId="2" xfId="0" applyNumberFormat="1" applyFont="1" applyFill="1" applyBorder="1" applyAlignment="1">
      <alignment vertical="center" wrapText="1"/>
    </xf>
    <xf numFmtId="10" fontId="7" fillId="0" borderId="1" xfId="0" applyNumberFormat="1" applyFont="1" applyFill="1" applyBorder="1" applyAlignment="1">
      <alignment vertical="center" wrapText="1"/>
    </xf>
    <xf numFmtId="10" fontId="7" fillId="0" borderId="10" xfId="0" applyNumberFormat="1" applyFont="1" applyFill="1" applyBorder="1" applyAlignment="1">
      <alignment vertical="center" wrapText="1"/>
    </xf>
    <xf numFmtId="10" fontId="7" fillId="0" borderId="3" xfId="0" applyNumberFormat="1" applyFont="1" applyFill="1" applyBorder="1" applyAlignment="1">
      <alignment vertical="center" wrapText="1"/>
    </xf>
    <xf numFmtId="0" fontId="2" fillId="0" borderId="2" xfId="0" applyFont="1" applyFill="1" applyBorder="1" applyAlignment="1">
      <alignment horizontal="center" vertical="center" wrapText="1"/>
    </xf>
    <xf numFmtId="0" fontId="45" fillId="7" borderId="28" xfId="0" applyFont="1" applyFill="1" applyBorder="1" applyAlignment="1">
      <alignment horizontal="center" vertical="center" wrapText="1"/>
    </xf>
    <xf numFmtId="0" fontId="45" fillId="7" borderId="29" xfId="0" applyFont="1" applyFill="1" applyBorder="1" applyAlignment="1">
      <alignment horizontal="center" vertical="center" wrapText="1"/>
    </xf>
    <xf numFmtId="0" fontId="31" fillId="15" borderId="18" xfId="0" applyFont="1" applyFill="1" applyBorder="1" applyAlignment="1">
      <alignment horizontal="center" vertical="center" wrapText="1"/>
    </xf>
    <xf numFmtId="0" fontId="31" fillId="15" borderId="22" xfId="0" applyFont="1" applyFill="1" applyBorder="1" applyAlignment="1">
      <alignment horizontal="center" vertical="center" wrapText="1"/>
    </xf>
    <xf numFmtId="0" fontId="32" fillId="6" borderId="23" xfId="0" applyFont="1" applyFill="1" applyBorder="1" applyAlignment="1">
      <alignment horizontal="center" vertical="center" wrapText="1"/>
    </xf>
    <xf numFmtId="0" fontId="32" fillId="6" borderId="24" xfId="0" applyFont="1" applyFill="1" applyBorder="1" applyAlignment="1">
      <alignment horizontal="center" vertical="center" wrapText="1"/>
    </xf>
    <xf numFmtId="0" fontId="31" fillId="3" borderId="25" xfId="0" applyFont="1" applyFill="1" applyBorder="1" applyAlignment="1">
      <alignment horizontal="center" vertical="center" wrapText="1"/>
    </xf>
    <xf numFmtId="0" fontId="31" fillId="3" borderId="26" xfId="0" applyFont="1" applyFill="1" applyBorder="1" applyAlignment="1">
      <alignment horizontal="center" vertical="center" wrapText="1"/>
    </xf>
    <xf numFmtId="1" fontId="11" fillId="8" borderId="40" xfId="0" applyNumberFormat="1" applyFont="1" applyFill="1" applyBorder="1" applyAlignment="1" applyProtection="1">
      <alignment horizontal="left" vertical="center" wrapText="1"/>
    </xf>
    <xf numFmtId="1" fontId="11" fillId="8" borderId="41" xfId="0" applyNumberFormat="1" applyFont="1" applyFill="1" applyBorder="1" applyAlignment="1" applyProtection="1">
      <alignment horizontal="left" vertical="center" wrapText="1"/>
    </xf>
    <xf numFmtId="1" fontId="11" fillId="8" borderId="42" xfId="0" applyNumberFormat="1" applyFont="1" applyFill="1" applyBorder="1" applyAlignment="1" applyProtection="1">
      <alignment horizontal="left" vertical="center" wrapText="1"/>
    </xf>
    <xf numFmtId="1" fontId="11" fillId="8" borderId="43" xfId="0" applyNumberFormat="1" applyFont="1" applyFill="1" applyBorder="1" applyAlignment="1" applyProtection="1">
      <alignment horizontal="left" vertical="center" wrapText="1"/>
    </xf>
    <xf numFmtId="1" fontId="11" fillId="8" borderId="0" xfId="0" applyNumberFormat="1" applyFont="1" applyFill="1" applyBorder="1" applyAlignment="1" applyProtection="1">
      <alignment horizontal="left" vertical="center" wrapText="1"/>
    </xf>
    <xf numFmtId="1" fontId="11" fillId="8" borderId="44" xfId="0" applyNumberFormat="1" applyFont="1" applyFill="1" applyBorder="1" applyAlignment="1" applyProtection="1">
      <alignment horizontal="left" vertical="center" wrapText="1"/>
    </xf>
    <xf numFmtId="1" fontId="11" fillId="8" borderId="45" xfId="0" applyNumberFormat="1" applyFont="1" applyFill="1" applyBorder="1" applyAlignment="1" applyProtection="1">
      <alignment horizontal="left" vertical="center" wrapText="1"/>
    </xf>
    <xf numFmtId="1" fontId="11" fillId="8" borderId="46" xfId="0" applyNumberFormat="1" applyFont="1" applyFill="1" applyBorder="1" applyAlignment="1" applyProtection="1">
      <alignment horizontal="left" vertical="center" wrapText="1"/>
    </xf>
    <xf numFmtId="1" fontId="11" fillId="8" borderId="47" xfId="0" applyNumberFormat="1" applyFont="1" applyFill="1" applyBorder="1" applyAlignment="1" applyProtection="1">
      <alignment horizontal="left" vertical="center" wrapText="1"/>
    </xf>
  </cellXfs>
  <cellStyles count="5">
    <cellStyle name="Heading 2" xfId="2" builtinId="17"/>
    <cellStyle name="Hyperlink" xfId="3" builtinId="8"/>
    <cellStyle name="Normal" xfId="0" builtinId="0"/>
    <cellStyle name="Normal 2 2" xfId="1"/>
    <cellStyle name="Percent" xfId="4" builtinId="5"/>
  </cellStyles>
  <dxfs count="3713">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FF000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font>
      <fill>
        <patternFill>
          <bgColor rgb="FFFF0000"/>
        </patternFill>
      </fill>
    </dxf>
    <dxf>
      <fill>
        <patternFill>
          <bgColor rgb="FFFFC000"/>
        </patternFill>
      </fill>
    </dxf>
    <dxf>
      <fill>
        <patternFill>
          <bgColor rgb="FF00B0F0"/>
        </patternFill>
      </fill>
    </dxf>
    <dxf>
      <fill>
        <patternFill>
          <bgColor rgb="FFFF00FF"/>
        </patternFill>
      </fill>
    </dxf>
    <dxf>
      <fill>
        <patternFill>
          <bgColor rgb="FFFFC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s>
  <tableStyles count="0" defaultTableStyle="TableStyleMedium9" defaultPivotStyle="PivotStyleLight16"/>
  <colors>
    <mruColors>
      <color rgb="FFCAE8AA"/>
      <color rgb="FFFFFFFF"/>
      <color rgb="FF00863D"/>
      <color rgb="FFFF00FF"/>
      <color rgb="FFEFEFFF"/>
      <color rgb="FFFFFF99"/>
      <color rgb="FFFFFFCC"/>
      <color rgb="FF0066FF"/>
      <color rgb="FFDBE5F1"/>
      <color rgb="FFD9F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overlay val="0"/>
    </c:title>
    <c:autoTitleDeleted val="0"/>
    <c:plotArea>
      <c:layout/>
      <c:lineChart>
        <c:grouping val="standard"/>
        <c:varyColors val="0"/>
        <c:ser>
          <c:idx val="0"/>
          <c:order val="0"/>
          <c:tx>
            <c:strRef>
              <c:f>'4.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PRIORITY'!$AZ$6:$BC$6</c:f>
              <c:strCache>
                <c:ptCount val="4"/>
                <c:pt idx="0">
                  <c:v>Q1</c:v>
                </c:pt>
                <c:pt idx="1">
                  <c:v>Q2</c:v>
                </c:pt>
                <c:pt idx="2">
                  <c:v>Q3</c:v>
                </c:pt>
                <c:pt idx="3">
                  <c:v>Q4</c:v>
                </c:pt>
              </c:strCache>
            </c:strRef>
          </c:cat>
          <c:val>
            <c:numRef>
              <c:f>'4. CHARTS BY PRIORITY'!$AZ$7:$BC$7</c:f>
              <c:numCache>
                <c:formatCode>0.00%</c:formatCode>
                <c:ptCount val="4"/>
                <c:pt idx="0">
                  <c:v>0.96153846153846156</c:v>
                </c:pt>
                <c:pt idx="1">
                  <c:v>0.96261682242990654</c:v>
                </c:pt>
                <c:pt idx="2">
                  <c:v>0.95575221238938046</c:v>
                </c:pt>
                <c:pt idx="3">
                  <c:v>0.95041322314049581</c:v>
                </c:pt>
              </c:numCache>
            </c:numRef>
          </c:val>
          <c:smooth val="0"/>
          <c:extLst xmlns:c16r2="http://schemas.microsoft.com/office/drawing/2015/06/chart">
            <c:ext xmlns:c16="http://schemas.microsoft.com/office/drawing/2014/chart" uri="{C3380CC4-5D6E-409C-BE32-E72D297353CC}">
              <c16:uniqueId val="{00000000-50E2-458F-8C24-A0159BB694B2}"/>
            </c:ext>
          </c:extLst>
        </c:ser>
        <c:ser>
          <c:idx val="1"/>
          <c:order val="1"/>
          <c:tx>
            <c:strRef>
              <c:f>'4.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0E2-458F-8C24-A0159BB694B2}"/>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PRIORITY'!$AZ$6:$BC$6</c:f>
              <c:strCache>
                <c:ptCount val="4"/>
                <c:pt idx="0">
                  <c:v>Q1</c:v>
                </c:pt>
                <c:pt idx="1">
                  <c:v>Q2</c:v>
                </c:pt>
                <c:pt idx="2">
                  <c:v>Q3</c:v>
                </c:pt>
                <c:pt idx="3">
                  <c:v>Q4</c:v>
                </c:pt>
              </c:strCache>
            </c:strRef>
          </c:cat>
          <c:val>
            <c:numRef>
              <c:f>'4. CHARTS BY PRIORITY'!$AZ$8:$BC$8</c:f>
              <c:numCache>
                <c:formatCode>0.00%</c:formatCode>
                <c:ptCount val="4"/>
                <c:pt idx="0">
                  <c:v>0</c:v>
                </c:pt>
                <c:pt idx="1">
                  <c:v>0</c:v>
                </c:pt>
                <c:pt idx="2">
                  <c:v>8.8495575221238937E-3</c:v>
                </c:pt>
                <c:pt idx="3">
                  <c:v>1.6528925619834711E-2</c:v>
                </c:pt>
              </c:numCache>
            </c:numRef>
          </c:val>
          <c:smooth val="0"/>
          <c:extLst xmlns:c16r2="http://schemas.microsoft.com/office/drawing/2015/06/chart">
            <c:ext xmlns:c16="http://schemas.microsoft.com/office/drawing/2014/chart" uri="{C3380CC4-5D6E-409C-BE32-E72D297353CC}">
              <c16:uniqueId val="{00000002-50E2-458F-8C24-A0159BB694B2}"/>
            </c:ext>
          </c:extLst>
        </c:ser>
        <c:ser>
          <c:idx val="2"/>
          <c:order val="2"/>
          <c:tx>
            <c:strRef>
              <c:f>'4.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0E2-458F-8C24-A0159BB694B2}"/>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PRIORITY'!$AZ$6:$BC$6</c:f>
              <c:strCache>
                <c:ptCount val="4"/>
                <c:pt idx="0">
                  <c:v>Q1</c:v>
                </c:pt>
                <c:pt idx="1">
                  <c:v>Q2</c:v>
                </c:pt>
                <c:pt idx="2">
                  <c:v>Q3</c:v>
                </c:pt>
                <c:pt idx="3">
                  <c:v>Q4</c:v>
                </c:pt>
              </c:strCache>
            </c:strRef>
          </c:cat>
          <c:val>
            <c:numRef>
              <c:f>'4. CHARTS BY PRIORITY'!$AZ$9:$BC$9</c:f>
              <c:numCache>
                <c:formatCode>0.00%</c:formatCode>
                <c:ptCount val="4"/>
                <c:pt idx="0">
                  <c:v>3.8461538461538464E-2</c:v>
                </c:pt>
                <c:pt idx="1">
                  <c:v>3.7383177570093455E-2</c:v>
                </c:pt>
                <c:pt idx="2">
                  <c:v>3.5398230088495575E-2</c:v>
                </c:pt>
                <c:pt idx="3">
                  <c:v>3.3057851239669422E-2</c:v>
                </c:pt>
              </c:numCache>
            </c:numRef>
          </c:val>
          <c:smooth val="0"/>
          <c:extLst xmlns:c16r2="http://schemas.microsoft.com/office/drawing/2015/06/char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447453464"/>
        <c:axId val="447453856"/>
      </c:lineChart>
      <c:catAx>
        <c:axId val="447453464"/>
        <c:scaling>
          <c:orientation val="minMax"/>
        </c:scaling>
        <c:delete val="0"/>
        <c:axPos val="b"/>
        <c:numFmt formatCode="General" sourceLinked="0"/>
        <c:majorTickMark val="out"/>
        <c:minorTickMark val="none"/>
        <c:tickLblPos val="nextTo"/>
        <c:txPr>
          <a:bodyPr/>
          <a:lstStyle/>
          <a:p>
            <a:pPr>
              <a:defRPr lang="en-US"/>
            </a:pPr>
            <a:endParaRPr lang="en-US"/>
          </a:p>
        </c:txPr>
        <c:crossAx val="447453856"/>
        <c:crosses val="autoZero"/>
        <c:auto val="1"/>
        <c:lblAlgn val="ctr"/>
        <c:lblOffset val="100"/>
        <c:noMultiLvlLbl val="0"/>
      </c:catAx>
      <c:valAx>
        <c:axId val="44745385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4745346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SERVICES -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991-448C-94F6-A903985AC43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991-448C-94F6-A903985AC43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991-448C-94F6-A903985AC430}"/>
              </c:ext>
            </c:extLst>
          </c:dPt>
          <c:cat>
            <c:strRef>
              <c:f>'4. CHARTS BY PRIORITY'!$AY$23:$AY$25</c:f>
              <c:strCache>
                <c:ptCount val="3"/>
                <c:pt idx="0">
                  <c:v>Green</c:v>
                </c:pt>
                <c:pt idx="1">
                  <c:v>Amber</c:v>
                </c:pt>
                <c:pt idx="2">
                  <c:v>Red</c:v>
                </c:pt>
              </c:strCache>
            </c:strRef>
          </c:cat>
          <c:val>
            <c:numRef>
              <c:f>'4. CHARTS BY PRIORITY'!$BA$23:$BA$25</c:f>
              <c:numCache>
                <c:formatCode>0.00%</c:formatCode>
                <c:ptCount val="3"/>
                <c:pt idx="0">
                  <c:v>0.94000000000000006</c:v>
                </c:pt>
                <c:pt idx="1">
                  <c:v>0</c:v>
                </c:pt>
                <c:pt idx="2">
                  <c:v>0.06</c:v>
                </c:pt>
              </c:numCache>
            </c:numRef>
          </c:val>
          <c:extLst xmlns:c16r2="http://schemas.microsoft.com/office/drawing/2015/06/char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PROMOTING LOCAL ECONOMIC GROWTH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26-4C92-9DA5-F959AE20197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26-4C92-9DA5-F959AE20197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26-4C92-9DA5-F959AE20197F}"/>
              </c:ext>
            </c:extLst>
          </c:dPt>
          <c:cat>
            <c:strRef>
              <c:f>'4. CHARTS BY PRIORITY'!$AY$39:$AY$41</c:f>
              <c:strCache>
                <c:ptCount val="3"/>
                <c:pt idx="0">
                  <c:v>Green</c:v>
                </c:pt>
                <c:pt idx="1">
                  <c:v>Amber</c:v>
                </c:pt>
                <c:pt idx="2">
                  <c:v>Red</c:v>
                </c:pt>
              </c:strCache>
            </c:strRef>
          </c:cat>
          <c:val>
            <c:numRef>
              <c:f>'4. CHARTS BY PRIORITY'!$BA$39:$BA$41</c:f>
              <c:numCache>
                <c:formatCode>0.00%</c:formatCode>
                <c:ptCount val="3"/>
                <c:pt idx="0">
                  <c:v>0.91666666666666663</c:v>
                </c:pt>
                <c:pt idx="1">
                  <c:v>0</c:v>
                </c:pt>
                <c:pt idx="2">
                  <c:v>8.3333333333333329E-2</c:v>
                </c:pt>
              </c:numCache>
            </c:numRef>
          </c:val>
          <c:extLst xmlns:c16r2="http://schemas.microsoft.com/office/drawing/2015/06/char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PROTECTING AND STRENGTHENING COMMUNITIES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8C3-4D15-B08D-6B38A26E9AA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8C3-4D15-B08D-6B38A26E9AA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8C3-4D15-B08D-6B38A26E9AA9}"/>
              </c:ext>
            </c:extLst>
          </c:dPt>
          <c:cat>
            <c:strRef>
              <c:f>'4. CHARTS BY PRIORITY'!$AY$55:$AY$57</c:f>
              <c:strCache>
                <c:ptCount val="3"/>
                <c:pt idx="0">
                  <c:v>Green</c:v>
                </c:pt>
                <c:pt idx="1">
                  <c:v>Amber</c:v>
                </c:pt>
                <c:pt idx="2">
                  <c:v>Red</c:v>
                </c:pt>
              </c:strCache>
            </c:strRef>
          </c:cat>
          <c:val>
            <c:numRef>
              <c:f>'4. CHARTS BY PRIORITY'!$BA$55:$BA$57</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A76D-4A4D-AF29-27A678BFA3C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76D-4A4D-AF29-27A678BFA3C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76D-4A4D-AF29-27A678BFA3C0}"/>
              </c:ext>
            </c:extLst>
          </c:dPt>
          <c:cat>
            <c:strRef>
              <c:f>'4. CHARTS BY PRIORITY'!$AY$7:$AY$9</c:f>
              <c:strCache>
                <c:ptCount val="3"/>
                <c:pt idx="0">
                  <c:v>Green</c:v>
                </c:pt>
                <c:pt idx="1">
                  <c:v>Amber</c:v>
                </c:pt>
                <c:pt idx="2">
                  <c:v>Red</c:v>
                </c:pt>
              </c:strCache>
            </c:strRef>
          </c:cat>
          <c:val>
            <c:numRef>
              <c:f>'4. CHARTS BY PRIORITY'!$BB$7:$BB$9</c:f>
              <c:numCache>
                <c:formatCode>0.00%</c:formatCode>
                <c:ptCount val="3"/>
                <c:pt idx="0">
                  <c:v>0.95575221238938046</c:v>
                </c:pt>
                <c:pt idx="1">
                  <c:v>8.8495575221238937E-3</c:v>
                </c:pt>
                <c:pt idx="2">
                  <c:v>3.5398230088495575E-2</c:v>
                </c:pt>
              </c:numCache>
            </c:numRef>
          </c:val>
          <c:extLst xmlns:c16r2="http://schemas.microsoft.com/office/drawing/2015/06/chart">
            <c:ext xmlns:c16="http://schemas.microsoft.com/office/drawing/2014/chart" uri="{C3380CC4-5D6E-409C-BE32-E72D297353CC}">
              <c16:uniqueId val="{00000003-A76D-4A4D-AF29-27A678BFA3C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51C-4A11-9328-12E5957BA4B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51C-4A11-9328-12E5957BA4B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51C-4A11-9328-12E5957BA4BE}"/>
              </c:ext>
            </c:extLst>
          </c:dPt>
          <c:cat>
            <c:strRef>
              <c:f>'4. CHARTS BY PRIORITY'!$AY$7:$AY$9</c:f>
              <c:strCache>
                <c:ptCount val="3"/>
                <c:pt idx="0">
                  <c:v>Green</c:v>
                </c:pt>
                <c:pt idx="1">
                  <c:v>Amber</c:v>
                </c:pt>
                <c:pt idx="2">
                  <c:v>Red</c:v>
                </c:pt>
              </c:strCache>
            </c:strRef>
          </c:cat>
          <c:val>
            <c:numRef>
              <c:f>'4. CHARTS BY PRIORITY'!$BC$7:$BC$9</c:f>
              <c:numCache>
                <c:formatCode>0.00%</c:formatCode>
                <c:ptCount val="3"/>
                <c:pt idx="0">
                  <c:v>0.95041322314049581</c:v>
                </c:pt>
                <c:pt idx="1">
                  <c:v>1.6528925619834711E-2</c:v>
                </c:pt>
                <c:pt idx="2">
                  <c:v>3.3057851239669422E-2</c:v>
                </c:pt>
              </c:numCache>
            </c:numRef>
          </c:val>
          <c:extLst xmlns:c16r2="http://schemas.microsoft.com/office/drawing/2015/06/char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SERVICES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41-4598-B934-C23B09C1EA2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41-4598-B934-C23B09C1EA2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41-4598-B934-C23B09C1EA21}"/>
              </c:ext>
            </c:extLst>
          </c:dPt>
          <c:cat>
            <c:strRef>
              <c:f>'4. CHARTS BY PRIORITY'!$AY$23:$AY$25</c:f>
              <c:strCache>
                <c:ptCount val="3"/>
                <c:pt idx="0">
                  <c:v>Green</c:v>
                </c:pt>
                <c:pt idx="1">
                  <c:v>Amber</c:v>
                </c:pt>
                <c:pt idx="2">
                  <c:v>Red</c:v>
                </c:pt>
              </c:strCache>
            </c:strRef>
          </c:cat>
          <c:val>
            <c:numRef>
              <c:f>'4. CHARTS BY PRIORITY'!$BB$23:$BB$25</c:f>
              <c:numCache>
                <c:formatCode>0.00%</c:formatCode>
                <c:ptCount val="3"/>
                <c:pt idx="0">
                  <c:v>0.94230769230769229</c:v>
                </c:pt>
                <c:pt idx="1">
                  <c:v>0</c:v>
                </c:pt>
                <c:pt idx="2">
                  <c:v>5.7692307692307696E-2</c:v>
                </c:pt>
              </c:numCache>
            </c:numRef>
          </c:val>
          <c:extLst xmlns:c16r2="http://schemas.microsoft.com/office/drawing/2015/06/char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SERVICES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0A41-4000-A8E2-478BCE1665A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0A41-4000-A8E2-478BCE1665A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0A41-4000-A8E2-478BCE1665AD}"/>
              </c:ext>
            </c:extLst>
          </c:dPt>
          <c:cat>
            <c:strRef>
              <c:f>'4. CHARTS BY PRIORITY'!$AY$23:$AY$25</c:f>
              <c:strCache>
                <c:ptCount val="3"/>
                <c:pt idx="0">
                  <c:v>Green</c:v>
                </c:pt>
                <c:pt idx="1">
                  <c:v>Amber</c:v>
                </c:pt>
                <c:pt idx="2">
                  <c:v>Red</c:v>
                </c:pt>
              </c:strCache>
            </c:strRef>
          </c:cat>
          <c:val>
            <c:numRef>
              <c:f>'4. CHARTS BY PRIORITY'!$BC$23:$BC$25</c:f>
              <c:numCache>
                <c:formatCode>0.00%</c:formatCode>
                <c:ptCount val="3"/>
                <c:pt idx="0">
                  <c:v>0.93103448275862077</c:v>
                </c:pt>
                <c:pt idx="1">
                  <c:v>1.7241379310344827E-2</c:v>
                </c:pt>
                <c:pt idx="2">
                  <c:v>5.1724137931034482E-2</c:v>
                </c:pt>
              </c:numCache>
            </c:numRef>
          </c:val>
          <c:extLst xmlns:c16r2="http://schemas.microsoft.com/office/drawing/2015/06/char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PROMOTING LOCAL ECONOMIC GROWTH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A9B-478A-B2A9-1B9D10175A4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A9B-478A-B2A9-1B9D10175A4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A9B-478A-B2A9-1B9D10175A4B}"/>
              </c:ext>
            </c:extLst>
          </c:dPt>
          <c:cat>
            <c:strRef>
              <c:f>'4. CHARTS BY PRIORITY'!$AY$39:$AY$41</c:f>
              <c:strCache>
                <c:ptCount val="3"/>
                <c:pt idx="0">
                  <c:v>Green</c:v>
                </c:pt>
                <c:pt idx="1">
                  <c:v>Amber</c:v>
                </c:pt>
                <c:pt idx="2">
                  <c:v>Red</c:v>
                </c:pt>
              </c:strCache>
            </c:strRef>
          </c:cat>
          <c:val>
            <c:numRef>
              <c:f>'4. CHARTS BY PRIORITY'!$BB$39:$BB$41</c:f>
              <c:numCache>
                <c:formatCode>0.00%</c:formatCode>
                <c:ptCount val="3"/>
                <c:pt idx="0">
                  <c:v>0.91666666666666674</c:v>
                </c:pt>
                <c:pt idx="1">
                  <c:v>0</c:v>
                </c:pt>
                <c:pt idx="2">
                  <c:v>8.3333333333333329E-2</c:v>
                </c:pt>
              </c:numCache>
            </c:numRef>
          </c:val>
          <c:extLst xmlns:c16r2="http://schemas.microsoft.com/office/drawing/2015/06/char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PROMOTING LOCAL ECONOMIC GROWTH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504-44CE-97B2-C7B1FE600C2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504-44CE-97B2-C7B1FE600C2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504-44CE-97B2-C7B1FE600C20}"/>
              </c:ext>
            </c:extLst>
          </c:dPt>
          <c:cat>
            <c:strRef>
              <c:f>'4. CHARTS BY PRIORITY'!$AY$39:$AY$41</c:f>
              <c:strCache>
                <c:ptCount val="3"/>
                <c:pt idx="0">
                  <c:v>Green</c:v>
                </c:pt>
                <c:pt idx="1">
                  <c:v>Amber</c:v>
                </c:pt>
                <c:pt idx="2">
                  <c:v>Red</c:v>
                </c:pt>
              </c:strCache>
            </c:strRef>
          </c:cat>
          <c:val>
            <c:numRef>
              <c:f>'4. CHARTS BY PRIORITY'!$BC$39:$BC$41</c:f>
              <c:numCache>
                <c:formatCode>0.00%</c:formatCode>
                <c:ptCount val="3"/>
                <c:pt idx="0">
                  <c:v>0.92307692307692313</c:v>
                </c:pt>
                <c:pt idx="1">
                  <c:v>0</c:v>
                </c:pt>
                <c:pt idx="2">
                  <c:v>7.6923076923076927E-2</c:v>
                </c:pt>
              </c:numCache>
            </c:numRef>
          </c:val>
          <c:extLst xmlns:c16r2="http://schemas.microsoft.com/office/drawing/2015/06/char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PROTECTING AND STRENGTHENING COMMUNITIES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67C-498C-8367-702B3FC4C53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67C-498C-8367-702B3FC4C53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67C-498C-8367-702B3FC4C53B}"/>
              </c:ext>
            </c:extLst>
          </c:dPt>
          <c:cat>
            <c:strRef>
              <c:f>'4. CHARTS BY PRIORITY'!$AY$55:$AY$57</c:f>
              <c:strCache>
                <c:ptCount val="3"/>
                <c:pt idx="0">
                  <c:v>Green</c:v>
                </c:pt>
                <c:pt idx="1">
                  <c:v>Amber</c:v>
                </c:pt>
                <c:pt idx="2">
                  <c:v>Red</c:v>
                </c:pt>
              </c:strCache>
            </c:strRef>
          </c:cat>
          <c:val>
            <c:numRef>
              <c:f>'4. CHARTS BY PRIORITY'!$BB$55:$BB$57</c:f>
              <c:numCache>
                <c:formatCode>0.00%</c:formatCode>
                <c:ptCount val="3"/>
                <c:pt idx="0">
                  <c:v>0.97959183673469385</c:v>
                </c:pt>
                <c:pt idx="1">
                  <c:v>2.0408163265306121E-2</c:v>
                </c:pt>
                <c:pt idx="2">
                  <c:v>0</c:v>
                </c:pt>
              </c:numCache>
            </c:numRef>
          </c:val>
          <c:extLst xmlns:c16r2="http://schemas.microsoft.com/office/drawing/2015/06/char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 SERVICES</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'4. CHARTS BY PRIORITY'!$AY$23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PRIORITY'!$AZ$22:$BC$22</c:f>
              <c:strCache>
                <c:ptCount val="4"/>
                <c:pt idx="0">
                  <c:v>Q1</c:v>
                </c:pt>
                <c:pt idx="1">
                  <c:v>Q2</c:v>
                </c:pt>
                <c:pt idx="2">
                  <c:v>Q3</c:v>
                </c:pt>
                <c:pt idx="3">
                  <c:v>Q4</c:v>
                </c:pt>
              </c:strCache>
            </c:strRef>
          </c:cat>
          <c:val>
            <c:numRef>
              <c:f>'4. CHARTS BY PRIORITY'!$AZ$23:$BC$23</c:f>
              <c:numCache>
                <c:formatCode>0.00%</c:formatCode>
                <c:ptCount val="4"/>
                <c:pt idx="0">
                  <c:v>0.94871794871794879</c:v>
                </c:pt>
                <c:pt idx="1">
                  <c:v>0.94000000000000006</c:v>
                </c:pt>
                <c:pt idx="2">
                  <c:v>0.94230769230769229</c:v>
                </c:pt>
                <c:pt idx="3">
                  <c:v>0.93103448275862077</c:v>
                </c:pt>
              </c:numCache>
            </c:numRef>
          </c:val>
          <c:smooth val="0"/>
          <c:extLst xmlns:c16r2="http://schemas.microsoft.com/office/drawing/2015/06/chart">
            <c:ext xmlns:c16="http://schemas.microsoft.com/office/drawing/2014/chart" uri="{C3380CC4-5D6E-409C-BE32-E72D297353CC}">
              <c16:uniqueId val="{00000002-AC7C-4B39-A234-8A7576CDE4FF}"/>
            </c:ext>
          </c:extLst>
        </c:ser>
        <c:ser>
          <c:idx val="1"/>
          <c:order val="1"/>
          <c:tx>
            <c:strRef>
              <c:f>'4. CHARTS BY PRIORITY'!$AY$24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PRIORITY'!$AZ$22:$BC$22</c:f>
              <c:strCache>
                <c:ptCount val="4"/>
                <c:pt idx="0">
                  <c:v>Q1</c:v>
                </c:pt>
                <c:pt idx="1">
                  <c:v>Q2</c:v>
                </c:pt>
                <c:pt idx="2">
                  <c:v>Q3</c:v>
                </c:pt>
                <c:pt idx="3">
                  <c:v>Q4</c:v>
                </c:pt>
              </c:strCache>
            </c:strRef>
          </c:cat>
          <c:val>
            <c:numRef>
              <c:f>'4. CHARTS BY PRIORITY'!$AZ$24:$BC$24</c:f>
              <c:numCache>
                <c:formatCode>0.00%</c:formatCode>
                <c:ptCount val="4"/>
                <c:pt idx="0">
                  <c:v>0</c:v>
                </c:pt>
                <c:pt idx="1">
                  <c:v>0</c:v>
                </c:pt>
                <c:pt idx="2">
                  <c:v>0</c:v>
                </c:pt>
                <c:pt idx="3">
                  <c:v>1.7241379310344827E-2</c:v>
                </c:pt>
              </c:numCache>
            </c:numRef>
          </c:val>
          <c:smooth val="0"/>
          <c:extLst xmlns:c16r2="http://schemas.microsoft.com/office/drawing/2015/06/chart">
            <c:ext xmlns:c16="http://schemas.microsoft.com/office/drawing/2014/chart" uri="{C3380CC4-5D6E-409C-BE32-E72D297353CC}">
              <c16:uniqueId val="{00000005-AC7C-4B39-A234-8A7576CDE4FF}"/>
            </c:ext>
          </c:extLst>
        </c:ser>
        <c:ser>
          <c:idx val="2"/>
          <c:order val="2"/>
          <c:tx>
            <c:strRef>
              <c:f>'4. CHARTS BY PRIORITY'!$AY$25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PRIORITY'!$AZ$22:$BC$22</c:f>
              <c:strCache>
                <c:ptCount val="4"/>
                <c:pt idx="0">
                  <c:v>Q1</c:v>
                </c:pt>
                <c:pt idx="1">
                  <c:v>Q2</c:v>
                </c:pt>
                <c:pt idx="2">
                  <c:v>Q3</c:v>
                </c:pt>
                <c:pt idx="3">
                  <c:v>Q4</c:v>
                </c:pt>
              </c:strCache>
            </c:strRef>
          </c:cat>
          <c:val>
            <c:numRef>
              <c:f>'4. CHARTS BY PRIORITY'!$AZ$25:$BC$25</c:f>
              <c:numCache>
                <c:formatCode>0.00%</c:formatCode>
                <c:ptCount val="4"/>
                <c:pt idx="0">
                  <c:v>5.128205128205128E-2</c:v>
                </c:pt>
                <c:pt idx="1">
                  <c:v>0.06</c:v>
                </c:pt>
                <c:pt idx="2">
                  <c:v>5.7692307692307696E-2</c:v>
                </c:pt>
                <c:pt idx="3">
                  <c:v>5.1724137931034482E-2</c:v>
                </c:pt>
              </c:numCache>
            </c:numRef>
          </c:val>
          <c:smooth val="0"/>
          <c:extLst xmlns:c16r2="http://schemas.microsoft.com/office/drawing/2015/06/chart">
            <c:ext xmlns:c16="http://schemas.microsoft.com/office/drawing/2014/chart" uri="{C3380CC4-5D6E-409C-BE32-E72D297353CC}">
              <c16:uniqueId val="{00000008-AC7C-4B39-A234-8A7576CDE4FF}"/>
            </c:ext>
          </c:extLst>
        </c:ser>
        <c:dLbls>
          <c:showLegendKey val="0"/>
          <c:showVal val="1"/>
          <c:showCatName val="0"/>
          <c:showSerName val="0"/>
          <c:showPercent val="0"/>
          <c:showBubbleSize val="0"/>
        </c:dLbls>
        <c:smooth val="0"/>
        <c:axId val="447452288"/>
        <c:axId val="447454640"/>
      </c:lineChart>
      <c:catAx>
        <c:axId val="447452288"/>
        <c:scaling>
          <c:orientation val="minMax"/>
        </c:scaling>
        <c:delete val="0"/>
        <c:axPos val="b"/>
        <c:numFmt formatCode="General" sourceLinked="0"/>
        <c:majorTickMark val="out"/>
        <c:minorTickMark val="none"/>
        <c:tickLblPos val="nextTo"/>
        <c:txPr>
          <a:bodyPr/>
          <a:lstStyle/>
          <a:p>
            <a:pPr>
              <a:defRPr lang="en-US"/>
            </a:pPr>
            <a:endParaRPr lang="en-US"/>
          </a:p>
        </c:txPr>
        <c:crossAx val="447454640"/>
        <c:crosses val="autoZero"/>
        <c:auto val="1"/>
        <c:lblAlgn val="ctr"/>
        <c:lblOffset val="100"/>
        <c:noMultiLvlLbl val="0"/>
      </c:catAx>
      <c:valAx>
        <c:axId val="44745464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4745228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PROTECTING AND STRENGTHENING COMMUNITIES - 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63A-496E-9601-7BADD816C91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63A-496E-9601-7BADD816C91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63A-496E-9601-7BADD816C91D}"/>
              </c:ext>
            </c:extLst>
          </c:dPt>
          <c:cat>
            <c:strRef>
              <c:f>'4. CHARTS BY PRIORITY'!$AY$55:$AY$57</c:f>
              <c:strCache>
                <c:ptCount val="3"/>
                <c:pt idx="0">
                  <c:v>Green</c:v>
                </c:pt>
                <c:pt idx="1">
                  <c:v>Amber</c:v>
                </c:pt>
                <c:pt idx="2">
                  <c:v>Red</c:v>
                </c:pt>
              </c:strCache>
            </c:strRef>
          </c:cat>
          <c:val>
            <c:numRef>
              <c:f>'4. CHARTS BY PRIORITY'!$BC$55:$BC$57</c:f>
              <c:numCache>
                <c:formatCode>0.00%</c:formatCode>
                <c:ptCount val="3"/>
                <c:pt idx="0">
                  <c:v>0.98</c:v>
                </c:pt>
                <c:pt idx="1">
                  <c:v>0.02</c:v>
                </c:pt>
                <c:pt idx="2">
                  <c:v>0</c:v>
                </c:pt>
              </c:numCache>
            </c:numRef>
          </c:val>
          <c:extLst xmlns:c16r2="http://schemas.microsoft.com/office/drawing/2015/06/char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LEADER OF THE COUNCIL</a:t>
            </a: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overlay val="0"/>
    </c:title>
    <c:autoTitleDeleted val="0"/>
    <c:plotArea>
      <c:layout/>
      <c:lineChart>
        <c:grouping val="standard"/>
        <c:varyColors val="0"/>
        <c:ser>
          <c:idx val="0"/>
          <c:order val="0"/>
          <c:tx>
            <c:strRef>
              <c:f>'6.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'6. CHARTS BY PORTFOLIO'!$AZ$7:$BC$7</c:f>
              <c:numCache>
                <c:formatCode>0.00%</c:formatCode>
                <c:ptCount val="4"/>
                <c:pt idx="0">
                  <c:v>1</c:v>
                </c:pt>
                <c:pt idx="1">
                  <c:v>1</c:v>
                </c:pt>
                <c:pt idx="2">
                  <c:v>1</c:v>
                </c:pt>
                <c:pt idx="3">
                  <c:v>1</c:v>
                </c:pt>
              </c:numCache>
            </c:numRef>
          </c:val>
          <c:smooth val="0"/>
          <c:extLst xmlns:c16r2="http://schemas.microsoft.com/office/drawing/2015/06/chart">
            <c:ext xmlns:c16="http://schemas.microsoft.com/office/drawing/2014/chart" uri="{C3380CC4-5D6E-409C-BE32-E72D297353CC}">
              <c16:uniqueId val="{00000000-A7AA-4C01-967B-CC6BF4FF1F5B}"/>
            </c:ext>
          </c:extLst>
        </c:ser>
        <c:ser>
          <c:idx val="1"/>
          <c:order val="1"/>
          <c:tx>
            <c:strRef>
              <c:f>'6.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BB1-4423-AA2D-71C03F81381C}"/>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'6. CHARTS BY PORTFOLIO'!$AZ$8:$BC$8</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A7AA-4C01-967B-CC6BF4FF1F5B}"/>
            </c:ext>
          </c:extLst>
        </c:ser>
        <c:ser>
          <c:idx val="2"/>
          <c:order val="2"/>
          <c:tx>
            <c:strRef>
              <c:f>'6.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BB1-4423-AA2D-71C03F81381C}"/>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'6. CHARTS BY PORTFOLIO'!$AZ$9:$BC$9</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4-A7AA-4C01-967B-CC6BF4FF1F5B}"/>
            </c:ext>
          </c:extLst>
        </c:ser>
        <c:dLbls>
          <c:showLegendKey val="0"/>
          <c:showVal val="1"/>
          <c:showCatName val="0"/>
          <c:showSerName val="0"/>
          <c:showPercent val="0"/>
          <c:showBubbleSize val="0"/>
        </c:dLbls>
        <c:smooth val="0"/>
        <c:axId val="459984464"/>
        <c:axId val="459983288"/>
      </c:lineChart>
      <c:catAx>
        <c:axId val="459984464"/>
        <c:scaling>
          <c:orientation val="minMax"/>
        </c:scaling>
        <c:delete val="0"/>
        <c:axPos val="b"/>
        <c:majorTickMark val="out"/>
        <c:minorTickMark val="none"/>
        <c:tickLblPos val="nextTo"/>
        <c:txPr>
          <a:bodyPr/>
          <a:lstStyle/>
          <a:p>
            <a:pPr>
              <a:defRPr lang="en-US"/>
            </a:pPr>
            <a:endParaRPr lang="en-US"/>
          </a:p>
        </c:txPr>
        <c:crossAx val="459983288"/>
        <c:crosses val="autoZero"/>
        <c:auto val="1"/>
        <c:lblAlgn val="ctr"/>
        <c:lblOffset val="100"/>
        <c:noMultiLvlLbl val="0"/>
      </c:catAx>
      <c:valAx>
        <c:axId val="45998328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5998446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CULTURAL</a:t>
            </a:r>
            <a:r>
              <a:rPr lang="en-GB" sz="1200" u="sng" baseline="0">
                <a:latin typeface="Arial" pitchFamily="34" charset="0"/>
                <a:cs typeface="Arial" pitchFamily="34" charset="0"/>
              </a:rPr>
              <a:t> SERVICES</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PORTFOLIO'!$AZ$22:$BC$22</c:f>
              <c:strCache>
                <c:ptCount val="4"/>
                <c:pt idx="0">
                  <c:v>Q1</c:v>
                </c:pt>
                <c:pt idx="1">
                  <c:v>Q2</c:v>
                </c:pt>
                <c:pt idx="2">
                  <c:v>Q3</c:v>
                </c:pt>
                <c:pt idx="3">
                  <c:v>Q4</c:v>
                </c:pt>
              </c:strCache>
            </c:strRef>
          </c:cat>
          <c:val>
            <c:numRef>
              <c:f>'6. CHARTS BY PORTFOLIO'!$AZ$23:$BC$23</c:f>
              <c:numCache>
                <c:formatCode>0.00%</c:formatCode>
                <c:ptCount val="4"/>
                <c:pt idx="0">
                  <c:v>1</c:v>
                </c:pt>
                <c:pt idx="1">
                  <c:v>0.94444444444444442</c:v>
                </c:pt>
                <c:pt idx="2">
                  <c:v>0.94736842105263164</c:v>
                </c:pt>
                <c:pt idx="3">
                  <c:v>0.94736842105263153</c:v>
                </c:pt>
              </c:numCache>
            </c:numRef>
          </c:val>
          <c:smooth val="0"/>
          <c:extLst xmlns:c16r2="http://schemas.microsoft.com/office/drawing/2015/06/chart">
            <c:ext xmlns:c16="http://schemas.microsoft.com/office/drawing/2014/chart" uri="{C3380CC4-5D6E-409C-BE32-E72D297353CC}">
              <c16:uniqueId val="{00000002-4EC1-42D6-A9C5-700482F9C12B}"/>
            </c:ext>
          </c:extLst>
        </c:ser>
        <c:ser>
          <c:idx val="1"/>
          <c:order val="1"/>
          <c:tx>
            <c:strRef>
              <c:f>'6. CHARTS BY PORTFOLIO'!$AY$24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PORTFOLIO'!$AZ$22:$BC$22</c:f>
              <c:strCache>
                <c:ptCount val="4"/>
                <c:pt idx="0">
                  <c:v>Q1</c:v>
                </c:pt>
                <c:pt idx="1">
                  <c:v>Q2</c:v>
                </c:pt>
                <c:pt idx="2">
                  <c:v>Q3</c:v>
                </c:pt>
                <c:pt idx="3">
                  <c:v>Q4</c:v>
                </c:pt>
              </c:strCache>
            </c:strRef>
          </c:cat>
          <c:val>
            <c:numRef>
              <c:f>'6. CHARTS BY PORTFOLIO'!$AZ$24:$BC$24</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4EC1-42D6-A9C5-700482F9C12B}"/>
            </c:ext>
          </c:extLst>
        </c:ser>
        <c:ser>
          <c:idx val="2"/>
          <c:order val="2"/>
          <c:tx>
            <c:strRef>
              <c:f>'6. CHARTS BY PORTFOLIO'!$AY$25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PORTFOLIO'!$AZ$22:$BC$22</c:f>
              <c:strCache>
                <c:ptCount val="4"/>
                <c:pt idx="0">
                  <c:v>Q1</c:v>
                </c:pt>
                <c:pt idx="1">
                  <c:v>Q2</c:v>
                </c:pt>
                <c:pt idx="2">
                  <c:v>Q3</c:v>
                </c:pt>
                <c:pt idx="3">
                  <c:v>Q4</c:v>
                </c:pt>
              </c:strCache>
            </c:strRef>
          </c:cat>
          <c:val>
            <c:numRef>
              <c:f>'6. CHARTS BY PORTFOLIO'!$AZ$25:$BC$25</c:f>
              <c:numCache>
                <c:formatCode>0.00%</c:formatCode>
                <c:ptCount val="4"/>
                <c:pt idx="0">
                  <c:v>0</c:v>
                </c:pt>
                <c:pt idx="1">
                  <c:v>5.5555555555555552E-2</c:v>
                </c:pt>
                <c:pt idx="2">
                  <c:v>5.2631578947368418E-2</c:v>
                </c:pt>
                <c:pt idx="3">
                  <c:v>5.2631578947368418E-2</c:v>
                </c:pt>
              </c:numCache>
            </c:numRef>
          </c:val>
          <c:smooth val="0"/>
          <c:extLst xmlns:c16r2="http://schemas.microsoft.com/office/drawing/2015/06/chart">
            <c:ext xmlns:c16="http://schemas.microsoft.com/office/drawing/2014/chart" uri="{C3380CC4-5D6E-409C-BE32-E72D297353CC}">
              <c16:uniqueId val="{00000008-4EC1-42D6-A9C5-700482F9C12B}"/>
            </c:ext>
          </c:extLst>
        </c:ser>
        <c:dLbls>
          <c:showLegendKey val="0"/>
          <c:showVal val="1"/>
          <c:showCatName val="0"/>
          <c:showSerName val="0"/>
          <c:showPercent val="0"/>
          <c:showBubbleSize val="0"/>
        </c:dLbls>
        <c:smooth val="0"/>
        <c:axId val="459984072"/>
        <c:axId val="459988776"/>
      </c:lineChart>
      <c:catAx>
        <c:axId val="459984072"/>
        <c:scaling>
          <c:orientation val="minMax"/>
        </c:scaling>
        <c:delete val="0"/>
        <c:axPos val="b"/>
        <c:numFmt formatCode="General" sourceLinked="0"/>
        <c:majorTickMark val="out"/>
        <c:minorTickMark val="none"/>
        <c:tickLblPos val="nextTo"/>
        <c:txPr>
          <a:bodyPr/>
          <a:lstStyle/>
          <a:p>
            <a:pPr>
              <a:defRPr lang="en-US"/>
            </a:pPr>
            <a:endParaRPr lang="en-US"/>
          </a:p>
        </c:txPr>
        <c:crossAx val="459988776"/>
        <c:crosses val="autoZero"/>
        <c:auto val="1"/>
        <c:lblAlgn val="ctr"/>
        <c:lblOffset val="100"/>
        <c:noMultiLvlLbl val="0"/>
      </c:catAx>
      <c:valAx>
        <c:axId val="45998877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5998407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b="1" i="0" u="sng" baseline="0">
                <a:effectLst/>
                <a:latin typeface="Arial" panose="020B0604020202020204" pitchFamily="34" charset="0"/>
                <a:cs typeface="Arial" panose="020B0604020202020204" pitchFamily="34" charset="0"/>
              </a:rPr>
              <a:t>HOUSING AND HOMELESSNESS </a:t>
            </a:r>
            <a:endParaRPr lang="en-GB" sz="1200" u="sng">
              <a:effectLst/>
              <a:latin typeface="Arial" panose="020B0604020202020204" pitchFamily="34" charset="0"/>
              <a:cs typeface="Arial" panose="020B0604020202020204"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PORTFOLIO'!$AZ$38:$BC$38</c:f>
              <c:strCache>
                <c:ptCount val="4"/>
                <c:pt idx="0">
                  <c:v>Q1</c:v>
                </c:pt>
                <c:pt idx="1">
                  <c:v>Q2</c:v>
                </c:pt>
                <c:pt idx="2">
                  <c:v>Q3</c:v>
                </c:pt>
                <c:pt idx="3">
                  <c:v>Q4</c:v>
                </c:pt>
              </c:strCache>
            </c:strRef>
          </c:cat>
          <c:val>
            <c:numRef>
              <c:f>'6. CHARTS BY PORTFOLIO'!$AZ$39:$BC$39</c:f>
              <c:numCache>
                <c:formatCode>0.00%</c:formatCode>
                <c:ptCount val="4"/>
                <c:pt idx="0">
                  <c:v>0.91666666666666674</c:v>
                </c:pt>
                <c:pt idx="1">
                  <c:v>0.9375</c:v>
                </c:pt>
                <c:pt idx="2">
                  <c:v>0.9375</c:v>
                </c:pt>
                <c:pt idx="3">
                  <c:v>0.88235294117647056</c:v>
                </c:pt>
              </c:numCache>
            </c:numRef>
          </c:val>
          <c:smooth val="0"/>
          <c:extLst xmlns:c16r2="http://schemas.microsoft.com/office/drawing/2015/06/chart">
            <c:ext xmlns:c16="http://schemas.microsoft.com/office/drawing/2014/chart" uri="{C3380CC4-5D6E-409C-BE32-E72D297353CC}">
              <c16:uniqueId val="{00000002-E215-4B0B-B47F-FB16DB6996D9}"/>
            </c:ext>
          </c:extLst>
        </c:ser>
        <c:ser>
          <c:idx val="1"/>
          <c:order val="1"/>
          <c:tx>
            <c:strRef>
              <c:f>'6. CHARTS BY PORTFOLIO'!$AY$40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PORTFOLIO'!$AZ$38:$BC$38</c:f>
              <c:strCache>
                <c:ptCount val="4"/>
                <c:pt idx="0">
                  <c:v>Q1</c:v>
                </c:pt>
                <c:pt idx="1">
                  <c:v>Q2</c:v>
                </c:pt>
                <c:pt idx="2">
                  <c:v>Q3</c:v>
                </c:pt>
                <c:pt idx="3">
                  <c:v>Q4</c:v>
                </c:pt>
              </c:strCache>
            </c:strRef>
          </c:cat>
          <c:val>
            <c:numRef>
              <c:f>'6. CHARTS BY PORTFOLIO'!$AZ$40:$BC$40</c:f>
              <c:numCache>
                <c:formatCode>0.00%</c:formatCode>
                <c:ptCount val="4"/>
                <c:pt idx="0">
                  <c:v>0</c:v>
                </c:pt>
                <c:pt idx="1">
                  <c:v>0</c:v>
                </c:pt>
                <c:pt idx="2">
                  <c:v>0</c:v>
                </c:pt>
                <c:pt idx="3">
                  <c:v>5.8823529411764705E-2</c:v>
                </c:pt>
              </c:numCache>
            </c:numRef>
          </c:val>
          <c:smooth val="0"/>
          <c:extLst xmlns:c16r2="http://schemas.microsoft.com/office/drawing/2015/06/chart">
            <c:ext xmlns:c16="http://schemas.microsoft.com/office/drawing/2014/chart" uri="{C3380CC4-5D6E-409C-BE32-E72D297353CC}">
              <c16:uniqueId val="{00000005-E215-4B0B-B47F-FB16DB6996D9}"/>
            </c:ext>
          </c:extLst>
        </c:ser>
        <c:ser>
          <c:idx val="2"/>
          <c:order val="2"/>
          <c:tx>
            <c:strRef>
              <c:f>'6.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215-4B0B-B47F-FB16DB6996D9}"/>
                </c:ext>
                <c:ext xmlns:c15="http://schemas.microsoft.com/office/drawing/2012/chart" uri="{CE6537A1-D6FC-4f65-9D91-7224C49458BB}"/>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215-4B0B-B47F-FB16DB6996D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PORTFOLIO'!$AZ$38:$BC$38</c:f>
              <c:strCache>
                <c:ptCount val="4"/>
                <c:pt idx="0">
                  <c:v>Q1</c:v>
                </c:pt>
                <c:pt idx="1">
                  <c:v>Q2</c:v>
                </c:pt>
                <c:pt idx="2">
                  <c:v>Q3</c:v>
                </c:pt>
                <c:pt idx="3">
                  <c:v>Q4</c:v>
                </c:pt>
              </c:strCache>
            </c:strRef>
          </c:cat>
          <c:val>
            <c:numRef>
              <c:f>'6. CHARTS BY PORTFOLIO'!$AZ$41:$BC$41</c:f>
              <c:numCache>
                <c:formatCode>0.00%</c:formatCode>
                <c:ptCount val="4"/>
                <c:pt idx="0">
                  <c:v>8.3333333333333329E-2</c:v>
                </c:pt>
                <c:pt idx="1">
                  <c:v>6.25E-2</c:v>
                </c:pt>
                <c:pt idx="2">
                  <c:v>6.25E-2</c:v>
                </c:pt>
                <c:pt idx="3">
                  <c:v>5.8823529411764705E-2</c:v>
                </c:pt>
              </c:numCache>
            </c:numRef>
          </c:val>
          <c:smooth val="0"/>
          <c:extLst xmlns:c16r2="http://schemas.microsoft.com/office/drawing/2015/06/chart">
            <c:ext xmlns:c16="http://schemas.microsoft.com/office/drawing/2014/chart" uri="{C3380CC4-5D6E-409C-BE32-E72D297353CC}">
              <c16:uniqueId val="{0000000A-E215-4B0B-B47F-FB16DB6996D9}"/>
            </c:ext>
          </c:extLst>
        </c:ser>
        <c:dLbls>
          <c:showLegendKey val="0"/>
          <c:showVal val="1"/>
          <c:showCatName val="0"/>
          <c:showSerName val="0"/>
          <c:showPercent val="0"/>
          <c:showBubbleSize val="0"/>
        </c:dLbls>
        <c:smooth val="0"/>
        <c:axId val="459986816"/>
        <c:axId val="459984856"/>
      </c:lineChart>
      <c:catAx>
        <c:axId val="459986816"/>
        <c:scaling>
          <c:orientation val="minMax"/>
        </c:scaling>
        <c:delete val="0"/>
        <c:axPos val="b"/>
        <c:numFmt formatCode="General" sourceLinked="0"/>
        <c:majorTickMark val="out"/>
        <c:minorTickMark val="none"/>
        <c:tickLblPos val="nextTo"/>
        <c:txPr>
          <a:bodyPr/>
          <a:lstStyle/>
          <a:p>
            <a:pPr>
              <a:defRPr lang="en-US"/>
            </a:pPr>
            <a:endParaRPr lang="en-US"/>
          </a:p>
        </c:txPr>
        <c:crossAx val="459984856"/>
        <c:crosses val="autoZero"/>
        <c:auto val="1"/>
        <c:lblAlgn val="ctr"/>
        <c:lblOffset val="100"/>
        <c:noMultiLvlLbl val="0"/>
      </c:catAx>
      <c:valAx>
        <c:axId val="45998485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5998681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ENVIRONMENT</a:t>
            </a: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PORTFOLIO'!$AZ$54:$BC$54</c:f>
              <c:strCache>
                <c:ptCount val="4"/>
                <c:pt idx="0">
                  <c:v>Q1</c:v>
                </c:pt>
                <c:pt idx="1">
                  <c:v>Q2</c:v>
                </c:pt>
                <c:pt idx="2">
                  <c:v>Q3</c:v>
                </c:pt>
                <c:pt idx="3">
                  <c:v>Q4</c:v>
                </c:pt>
              </c:strCache>
            </c:strRef>
          </c:cat>
          <c:val>
            <c:numRef>
              <c:f>'6. CHARTS BY PORTFOLIO'!$AZ$55:$BC$55</c:f>
              <c:numCache>
                <c:formatCode>0.00%</c:formatCode>
                <c:ptCount val="4"/>
                <c:pt idx="0">
                  <c:v>0.875</c:v>
                </c:pt>
                <c:pt idx="1">
                  <c:v>0.91666666666666674</c:v>
                </c:pt>
                <c:pt idx="2">
                  <c:v>0.8666666666666667</c:v>
                </c:pt>
                <c:pt idx="3">
                  <c:v>0.8666666666666667</c:v>
                </c:pt>
              </c:numCache>
            </c:numRef>
          </c:val>
          <c:smooth val="0"/>
          <c:extLst xmlns:c16r2="http://schemas.microsoft.com/office/drawing/2015/06/chart">
            <c:ext xmlns:c16="http://schemas.microsoft.com/office/drawing/2014/chart" uri="{C3380CC4-5D6E-409C-BE32-E72D297353CC}">
              <c16:uniqueId val="{00000002-422E-4855-963A-4506A3413D88}"/>
            </c:ext>
          </c:extLst>
        </c:ser>
        <c:ser>
          <c:idx val="1"/>
          <c:order val="1"/>
          <c:tx>
            <c:strRef>
              <c:f>'6.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22E-4855-963A-4506A3413D88}"/>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22E-4855-963A-4506A3413D88}"/>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PORTFOLIO'!$AZ$54:$BC$54</c:f>
              <c:strCache>
                <c:ptCount val="4"/>
                <c:pt idx="0">
                  <c:v>Q1</c:v>
                </c:pt>
                <c:pt idx="1">
                  <c:v>Q2</c:v>
                </c:pt>
                <c:pt idx="2">
                  <c:v>Q3</c:v>
                </c:pt>
                <c:pt idx="3">
                  <c:v>Q4</c:v>
                </c:pt>
              </c:strCache>
            </c:strRef>
          </c:cat>
          <c:val>
            <c:numRef>
              <c:f>'6. CHARTS BY PORTFOLIO'!$AZ$56:$BC$56</c:f>
              <c:numCache>
                <c:formatCode>0.00%</c:formatCode>
                <c:ptCount val="4"/>
                <c:pt idx="0">
                  <c:v>0</c:v>
                </c:pt>
                <c:pt idx="1">
                  <c:v>0</c:v>
                </c:pt>
                <c:pt idx="2">
                  <c:v>6.6666666666666666E-2</c:v>
                </c:pt>
                <c:pt idx="3">
                  <c:v>6.6666666666666666E-2</c:v>
                </c:pt>
              </c:numCache>
            </c:numRef>
          </c:val>
          <c:smooth val="0"/>
          <c:extLst xmlns:c16r2="http://schemas.microsoft.com/office/drawing/2015/06/chart">
            <c:ext xmlns:c16="http://schemas.microsoft.com/office/drawing/2014/chart" uri="{C3380CC4-5D6E-409C-BE32-E72D297353CC}">
              <c16:uniqueId val="{00000007-422E-4855-963A-4506A3413D88}"/>
            </c:ext>
          </c:extLst>
        </c:ser>
        <c:ser>
          <c:idx val="2"/>
          <c:order val="2"/>
          <c:tx>
            <c:strRef>
              <c:f>'6.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22E-4855-963A-4506A3413D88}"/>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PORTFOLIO'!$AZ$54:$BC$54</c:f>
              <c:strCache>
                <c:ptCount val="4"/>
                <c:pt idx="0">
                  <c:v>Q1</c:v>
                </c:pt>
                <c:pt idx="1">
                  <c:v>Q2</c:v>
                </c:pt>
                <c:pt idx="2">
                  <c:v>Q3</c:v>
                </c:pt>
                <c:pt idx="3">
                  <c:v>Q4</c:v>
                </c:pt>
              </c:strCache>
            </c:strRef>
          </c:cat>
          <c:val>
            <c:numRef>
              <c:f>'6. CHARTS BY PORTFOLIO'!$AZ$57:$BC$57</c:f>
              <c:numCache>
                <c:formatCode>0.00%</c:formatCode>
                <c:ptCount val="4"/>
                <c:pt idx="0">
                  <c:v>0.125</c:v>
                </c:pt>
                <c:pt idx="1">
                  <c:v>8.3333333333333329E-2</c:v>
                </c:pt>
                <c:pt idx="2">
                  <c:v>6.6666666666666666E-2</c:v>
                </c:pt>
                <c:pt idx="3">
                  <c:v>6.6666666666666666E-2</c:v>
                </c:pt>
              </c:numCache>
            </c:numRef>
          </c:val>
          <c:smooth val="0"/>
          <c:extLst xmlns:c16r2="http://schemas.microsoft.com/office/drawing/2015/06/chart">
            <c:ext xmlns:c16="http://schemas.microsoft.com/office/drawing/2014/chart" uri="{C3380CC4-5D6E-409C-BE32-E72D297353CC}">
              <c16:uniqueId val="{0000000B-422E-4855-963A-4506A3413D88}"/>
            </c:ext>
          </c:extLst>
        </c:ser>
        <c:dLbls>
          <c:showLegendKey val="0"/>
          <c:showVal val="1"/>
          <c:showCatName val="0"/>
          <c:showSerName val="0"/>
          <c:showPercent val="0"/>
          <c:showBubbleSize val="0"/>
        </c:dLbls>
        <c:smooth val="0"/>
        <c:axId val="459982896"/>
        <c:axId val="459985248"/>
      </c:lineChart>
      <c:catAx>
        <c:axId val="459982896"/>
        <c:scaling>
          <c:orientation val="minMax"/>
        </c:scaling>
        <c:delete val="0"/>
        <c:axPos val="b"/>
        <c:numFmt formatCode="General" sourceLinked="0"/>
        <c:majorTickMark val="out"/>
        <c:minorTickMark val="none"/>
        <c:tickLblPos val="nextTo"/>
        <c:txPr>
          <a:bodyPr/>
          <a:lstStyle/>
          <a:p>
            <a:pPr>
              <a:defRPr lang="en-US"/>
            </a:pPr>
            <a:endParaRPr lang="en-US"/>
          </a:p>
        </c:txPr>
        <c:crossAx val="459985248"/>
        <c:crosses val="autoZero"/>
        <c:auto val="1"/>
        <c:lblAlgn val="ctr"/>
        <c:lblOffset val="100"/>
        <c:noMultiLvlLbl val="0"/>
      </c:catAx>
      <c:valAx>
        <c:axId val="459985248"/>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5998289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endParaRPr lang="en-GB" u="none"/>
          </a:p>
          <a:p>
            <a:pPr>
              <a:defRPr lang="en-US" u="none"/>
            </a:pPr>
            <a:r>
              <a:rPr lang="en-US" u="none"/>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5F9-476C-B40B-AE40098D7A18}"/>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5F9-476C-B40B-AE40098D7A18}"/>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5F9-476C-B40B-AE40098D7A18}"/>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PORTFOLIO'!$AZ$7:$AZ$9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55F9-476C-B40B-AE40098D7A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a:t>CULTURAL SERVICES</a:t>
            </a:r>
          </a:p>
          <a:p>
            <a:pPr algn="ctr">
              <a:defRPr lang="en-US"/>
            </a:pPr>
            <a:r>
              <a:rPr lang="en-US"/>
              <a:t>- Quarter 1</a:t>
            </a:r>
          </a:p>
        </c:rich>
      </c:tx>
      <c:layout>
        <c:manualLayout>
          <c:xMode val="edge"/>
          <c:yMode val="edge"/>
          <c:x val="0.27281229494763665"/>
          <c:y val="2.7777777777793829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3063-4106-8B17-6684CFD4D16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063-4106-8B17-6684CFD4D16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063-4106-8B17-6684CFD4D16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PORTFOLIO'!$AZ$23:$AZ$25</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3063-4106-8B17-6684CFD4D16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HOUSING AND HOMELESSNESS </a:t>
            </a:r>
            <a:endParaRPr lang="en-US"/>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E2F-48C6-9FCA-4594776C5E5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E2F-48C6-9FCA-4594776C5E5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E2F-48C6-9FCA-4594776C5E51}"/>
              </c:ext>
            </c:extLst>
          </c:dPt>
          <c:dLbls>
            <c:spPr>
              <a:noFill/>
              <a:ln>
                <a:noFill/>
              </a:ln>
              <a:effectLst/>
            </c:spPr>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PORTFOLIO'!$AZ$39:$AZ$41</c:f>
              <c:numCache>
                <c:formatCode>0.00%</c:formatCode>
                <c:ptCount val="3"/>
                <c:pt idx="0">
                  <c:v>0.91666666666666674</c:v>
                </c:pt>
                <c:pt idx="1">
                  <c:v>0</c:v>
                </c:pt>
                <c:pt idx="2">
                  <c:v>8.3333333333333329E-2</c:v>
                </c:pt>
              </c:numCache>
            </c:numRef>
          </c:val>
          <c:extLst xmlns:c16r2="http://schemas.microsoft.com/office/drawing/2015/06/chart">
            <c:ext xmlns:c16="http://schemas.microsoft.com/office/drawing/2014/chart" uri="{C3380CC4-5D6E-409C-BE32-E72D297353CC}">
              <c16:uniqueId val="{00000003-9E2F-48C6-9FCA-4594776C5E51}"/>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ENVIRONMENT</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E56-4E55-85E3-CA2CD9C61B4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E56-4E55-85E3-CA2CD9C61B4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E56-4E55-85E3-CA2CD9C61B45}"/>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PORTFOLIO'!$AZ$55:$AZ$57</c:f>
              <c:numCache>
                <c:formatCode>0.00%</c:formatCode>
                <c:ptCount val="3"/>
                <c:pt idx="0">
                  <c:v>0.875</c:v>
                </c:pt>
                <c:pt idx="1">
                  <c:v>0</c:v>
                </c:pt>
                <c:pt idx="2">
                  <c:v>0.125</c:v>
                </c:pt>
              </c:numCache>
            </c:numRef>
          </c:val>
          <c:extLst xmlns:c16r2="http://schemas.microsoft.com/office/drawing/2015/06/chart">
            <c:ext xmlns:c16="http://schemas.microsoft.com/office/drawing/2014/chart" uri="{C3380CC4-5D6E-409C-BE32-E72D297353CC}">
              <c16:uniqueId val="{00000003-8E56-4E55-85E3-CA2CD9C61B45}"/>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endParaRPr lang="en-GB" u="none"/>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4F11-46D7-AF65-C0358BA7529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4F11-46D7-AF65-C0358BA7529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4F11-46D7-AF65-C0358BA7529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PORTFOLIO'!$BA$7:$BA$9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4F11-46D7-AF65-C0358BA7529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PROMOTING LOCAL ECONOMIC GROWTH</a:t>
            </a:r>
          </a:p>
          <a:p>
            <a:pPr>
              <a:defRPr lang="en-US"/>
            </a:pPr>
            <a:r>
              <a:rPr lang="en-GB" sz="1100">
                <a:latin typeface="Arial" pitchFamily="34" charset="0"/>
                <a:cs typeface="Arial" pitchFamily="34" charset="0"/>
              </a:rPr>
              <a:t>% of indicators for this priority only that are Red, Amber or Green</a:t>
            </a:r>
          </a:p>
        </c:rich>
      </c:tx>
      <c:overlay val="0"/>
    </c:title>
    <c:autoTitleDeleted val="0"/>
    <c:plotArea>
      <c:layout/>
      <c:lineChart>
        <c:grouping val="standard"/>
        <c:varyColors val="0"/>
        <c:ser>
          <c:idx val="0"/>
          <c:order val="0"/>
          <c:tx>
            <c:strRef>
              <c:f>'4. CHARTS BY PRIORITY'!$AY$39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PRIORITY'!$AZ$38:$BC$38</c:f>
              <c:strCache>
                <c:ptCount val="4"/>
                <c:pt idx="0">
                  <c:v>Q1</c:v>
                </c:pt>
                <c:pt idx="1">
                  <c:v>Q2</c:v>
                </c:pt>
                <c:pt idx="2">
                  <c:v>Q3</c:v>
                </c:pt>
                <c:pt idx="3">
                  <c:v>Q4</c:v>
                </c:pt>
              </c:strCache>
            </c:strRef>
          </c:cat>
          <c:val>
            <c:numRef>
              <c:f>'4. CHARTS BY PRIORITY'!$AZ$39:$BC$39</c:f>
              <c:numCache>
                <c:formatCode>0.00%</c:formatCode>
                <c:ptCount val="4"/>
                <c:pt idx="0">
                  <c:v>0.91666666666666663</c:v>
                </c:pt>
                <c:pt idx="1">
                  <c:v>0.91666666666666663</c:v>
                </c:pt>
                <c:pt idx="2">
                  <c:v>0.91666666666666674</c:v>
                </c:pt>
                <c:pt idx="3">
                  <c:v>0.92307692307692313</c:v>
                </c:pt>
              </c:numCache>
            </c:numRef>
          </c:val>
          <c:smooth val="0"/>
          <c:extLst xmlns:c16r2="http://schemas.microsoft.com/office/drawing/2015/06/chart">
            <c:ext xmlns:c16="http://schemas.microsoft.com/office/drawing/2014/chart" uri="{C3380CC4-5D6E-409C-BE32-E72D297353CC}">
              <c16:uniqueId val="{00000002-CB5E-483E-BF55-1F0165B4F8D4}"/>
            </c:ext>
          </c:extLst>
        </c:ser>
        <c:ser>
          <c:idx val="1"/>
          <c:order val="1"/>
          <c:tx>
            <c:strRef>
              <c:f>'4. CHARTS BY PRIORITY'!$AY$40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PRIORITY'!$AZ$38:$BC$38</c:f>
              <c:strCache>
                <c:ptCount val="4"/>
                <c:pt idx="0">
                  <c:v>Q1</c:v>
                </c:pt>
                <c:pt idx="1">
                  <c:v>Q2</c:v>
                </c:pt>
                <c:pt idx="2">
                  <c:v>Q3</c:v>
                </c:pt>
                <c:pt idx="3">
                  <c:v>Q4</c:v>
                </c:pt>
              </c:strCache>
            </c:strRef>
          </c:cat>
          <c:val>
            <c:numRef>
              <c:f>'4. CHARTS BY PRIORITY'!$AZ$40:$BC$40</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CB5E-483E-BF55-1F0165B4F8D4}"/>
            </c:ext>
          </c:extLst>
        </c:ser>
        <c:ser>
          <c:idx val="2"/>
          <c:order val="2"/>
          <c:tx>
            <c:strRef>
              <c:f>'4.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B5E-483E-BF55-1F0165B4F8D4}"/>
                </c:ext>
                <c:ext xmlns:c15="http://schemas.microsoft.com/office/drawing/2012/chart" uri="{CE6537A1-D6FC-4f65-9D91-7224C49458BB}"/>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B5E-483E-BF55-1F0165B4F8D4}"/>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PRIORITY'!$AZ$38:$BC$38</c:f>
              <c:strCache>
                <c:ptCount val="4"/>
                <c:pt idx="0">
                  <c:v>Q1</c:v>
                </c:pt>
                <c:pt idx="1">
                  <c:v>Q2</c:v>
                </c:pt>
                <c:pt idx="2">
                  <c:v>Q3</c:v>
                </c:pt>
                <c:pt idx="3">
                  <c:v>Q4</c:v>
                </c:pt>
              </c:strCache>
            </c:strRef>
          </c:cat>
          <c:val>
            <c:numRef>
              <c:f>'4. CHARTS BY PRIORITY'!$AZ$41:$BC$41</c:f>
              <c:numCache>
                <c:formatCode>0.00%</c:formatCode>
                <c:ptCount val="4"/>
                <c:pt idx="0">
                  <c:v>8.3333333333333329E-2</c:v>
                </c:pt>
                <c:pt idx="1">
                  <c:v>8.3333333333333329E-2</c:v>
                </c:pt>
                <c:pt idx="2">
                  <c:v>8.3333333333333329E-2</c:v>
                </c:pt>
                <c:pt idx="3">
                  <c:v>7.6923076923076927E-2</c:v>
                </c:pt>
              </c:numCache>
            </c:numRef>
          </c:val>
          <c:smooth val="0"/>
          <c:extLst xmlns:c16r2="http://schemas.microsoft.com/office/drawing/2015/06/char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smooth val="0"/>
        <c:axId val="447450328"/>
        <c:axId val="447451896"/>
      </c:lineChart>
      <c:catAx>
        <c:axId val="447450328"/>
        <c:scaling>
          <c:orientation val="minMax"/>
        </c:scaling>
        <c:delete val="0"/>
        <c:axPos val="b"/>
        <c:numFmt formatCode="General" sourceLinked="0"/>
        <c:majorTickMark val="out"/>
        <c:minorTickMark val="none"/>
        <c:tickLblPos val="nextTo"/>
        <c:txPr>
          <a:bodyPr/>
          <a:lstStyle/>
          <a:p>
            <a:pPr>
              <a:defRPr lang="en-US"/>
            </a:pPr>
            <a:endParaRPr lang="en-US"/>
          </a:p>
        </c:txPr>
        <c:crossAx val="447451896"/>
        <c:crosses val="autoZero"/>
        <c:auto val="1"/>
        <c:lblAlgn val="ctr"/>
        <c:lblOffset val="100"/>
        <c:noMultiLvlLbl val="0"/>
      </c:catAx>
      <c:valAx>
        <c:axId val="44745189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4745032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CULTURAL SERVICES</a:t>
            </a:r>
            <a:endParaRPr lang="en-GB"/>
          </a:p>
          <a:p>
            <a:pPr>
              <a:defRPr lang="en-US"/>
            </a:pPr>
            <a:r>
              <a:rPr lang="en-US" sz="1800" b="1" i="0" baseline="0"/>
              <a:t>-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981-4ECA-8145-38C665E1F7E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981-4ECA-8145-38C665E1F7E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981-4ECA-8145-38C665E1F7E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PORTFOLIO'!$BA$23:$BA$25</c:f>
              <c:numCache>
                <c:formatCode>0.00%</c:formatCode>
                <c:ptCount val="3"/>
                <c:pt idx="0">
                  <c:v>0.94444444444444442</c:v>
                </c:pt>
                <c:pt idx="1">
                  <c:v>0</c:v>
                </c:pt>
                <c:pt idx="2">
                  <c:v>5.5555555555555552E-2</c:v>
                </c:pt>
              </c:numCache>
            </c:numRef>
          </c:val>
          <c:extLst xmlns:c16r2="http://schemas.microsoft.com/office/drawing/2015/06/chart">
            <c:ext xmlns:c16="http://schemas.microsoft.com/office/drawing/2014/chart" uri="{C3380CC4-5D6E-409C-BE32-E72D297353CC}">
              <c16:uniqueId val="{00000003-9981-4ECA-8145-38C665E1F7E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HOUSING AND HOMELESSNESS </a:t>
            </a:r>
            <a:r>
              <a:rPr lang="en-US" sz="1800" b="1" i="0" u="none" strike="noStrike" baseline="0"/>
              <a:t> </a:t>
            </a: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6647-440E-AD13-1330B422D0E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6647-440E-AD13-1330B422D0E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6647-440E-AD13-1330B422D0E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PORTFOLIO'!$BA$39:$BA$41</c:f>
              <c:numCache>
                <c:formatCode>0.00%</c:formatCode>
                <c:ptCount val="3"/>
                <c:pt idx="0">
                  <c:v>0.9375</c:v>
                </c:pt>
                <c:pt idx="1">
                  <c:v>0</c:v>
                </c:pt>
                <c:pt idx="2">
                  <c:v>6.25E-2</c:v>
                </c:pt>
              </c:numCache>
            </c:numRef>
          </c:val>
          <c:extLst xmlns:c16r2="http://schemas.microsoft.com/office/drawing/2015/06/chart">
            <c:ext xmlns:c16="http://schemas.microsoft.com/office/drawing/2014/chart" uri="{C3380CC4-5D6E-409C-BE32-E72D297353CC}">
              <c16:uniqueId val="{00000003-6647-440E-AD13-1330B422D0E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ENVIRONMENT</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1F5D-4394-8264-45F30C4E27A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1F5D-4394-8264-45F30C4E27A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1F5D-4394-8264-45F30C4E27A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PORTFOLIO'!$BA$55:$BA$57</c:f>
              <c:numCache>
                <c:formatCode>0.00%</c:formatCode>
                <c:ptCount val="3"/>
                <c:pt idx="0">
                  <c:v>0.91666666666666674</c:v>
                </c:pt>
                <c:pt idx="1">
                  <c:v>0</c:v>
                </c:pt>
                <c:pt idx="2">
                  <c:v>8.3333333333333329E-2</c:v>
                </c:pt>
              </c:numCache>
            </c:numRef>
          </c:val>
          <c:extLst xmlns:c16r2="http://schemas.microsoft.com/office/drawing/2015/06/chart">
            <c:ext xmlns:c16="http://schemas.microsoft.com/office/drawing/2014/chart" uri="{C3380CC4-5D6E-409C-BE32-E72D297353CC}">
              <c16:uniqueId val="{00000003-1F5D-4394-8264-45F30C4E27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p>
          <a:p>
            <a:pPr>
              <a:defRPr lang="en-US"/>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8E1-4776-BA6B-5DBE755A9E3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8E1-4776-BA6B-5DBE755A9E3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8E1-4776-BA6B-5DBE755A9E3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PORTFOLIO'!$BB$7:$BB$9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B8E1-4776-BA6B-5DBE755A9E3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p>
          <a:p>
            <a:pPr>
              <a:defRPr lang="en-US" u="none"/>
            </a:pPr>
            <a:r>
              <a:rPr lang="en-US" sz="1800" b="1" i="0" u="none" baseline="0"/>
              <a:t>- End of Year</a:t>
            </a:r>
            <a:endParaRPr lang="en-GB" u="none"/>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A044-4CDD-BEFC-B41AFA59B1A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044-4CDD-BEFC-B41AFA59B1A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044-4CDD-BEFC-B41AFA59B1A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PORTFOLIO'!$BC$7:$BC$9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A044-4CDD-BEFC-B41AFA59B1A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a:t>CULTURAL SERVICES</a:t>
            </a: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5AE-4256-9728-046E2A0AE75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5AE-4256-9728-046E2A0AE75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5AE-4256-9728-046E2A0AE754}"/>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PORTFOLIO'!$BB$23:$BB$25</c:f>
              <c:numCache>
                <c:formatCode>0.00%</c:formatCode>
                <c:ptCount val="3"/>
                <c:pt idx="0">
                  <c:v>0.94736842105263164</c:v>
                </c:pt>
                <c:pt idx="1">
                  <c:v>0</c:v>
                </c:pt>
                <c:pt idx="2">
                  <c:v>5.2631578947368418E-2</c:v>
                </c:pt>
              </c:numCache>
            </c:numRef>
          </c:val>
          <c:extLst xmlns:c16r2="http://schemas.microsoft.com/office/drawing/2015/06/chart">
            <c:ext xmlns:c16="http://schemas.microsoft.com/office/drawing/2014/chart" uri="{C3380CC4-5D6E-409C-BE32-E72D297353CC}">
              <c16:uniqueId val="{00000003-E5AE-4256-9728-046E2A0AE754}"/>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CULTURAL SERVICES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34FB-4778-BD03-6B685FC9496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4FB-4778-BD03-6B685FC9496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4FB-4778-BD03-6B685FC9496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PORTFOLIO'!$BC$23:$BC$25</c:f>
              <c:numCache>
                <c:formatCode>0.00%</c:formatCode>
                <c:ptCount val="3"/>
                <c:pt idx="0">
                  <c:v>0.94736842105263153</c:v>
                </c:pt>
                <c:pt idx="1">
                  <c:v>0</c:v>
                </c:pt>
                <c:pt idx="2">
                  <c:v>5.2631578947368418E-2</c:v>
                </c:pt>
              </c:numCache>
            </c:numRef>
          </c:val>
          <c:extLst xmlns:c16r2="http://schemas.microsoft.com/office/drawing/2015/06/chart">
            <c:ext xmlns:c16="http://schemas.microsoft.com/office/drawing/2014/chart" uri="{C3380CC4-5D6E-409C-BE32-E72D297353CC}">
              <c16:uniqueId val="{00000003-34FB-4778-BD03-6B685FC9496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HOUSING AND HOMELESSNESS </a:t>
            </a:r>
            <a:endParaRPr lang="en-US" sz="1800" b="1" i="0" u="none" strike="noStrike" baseline="0"/>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CC3F-45AC-B5C0-67479774E656}"/>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CC3F-45AC-B5C0-67479774E656}"/>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CC3F-45AC-B5C0-67479774E656}"/>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PORTFOLIO'!$BB$39:$BB$41</c:f>
              <c:numCache>
                <c:formatCode>0.00%</c:formatCode>
                <c:ptCount val="3"/>
                <c:pt idx="0">
                  <c:v>0.9375</c:v>
                </c:pt>
                <c:pt idx="1">
                  <c:v>0</c:v>
                </c:pt>
                <c:pt idx="2">
                  <c:v>6.25E-2</c:v>
                </c:pt>
              </c:numCache>
            </c:numRef>
          </c:val>
          <c:extLst xmlns:c16r2="http://schemas.microsoft.com/office/drawing/2015/06/chart">
            <c:ext xmlns:c16="http://schemas.microsoft.com/office/drawing/2014/chart" uri="{C3380CC4-5D6E-409C-BE32-E72D297353CC}">
              <c16:uniqueId val="{00000003-CC3F-45AC-B5C0-67479774E65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u="none" strike="noStrike" baseline="0"/>
              <a:t>HOUSING AND HOMELESSNESS </a:t>
            </a:r>
          </a:p>
          <a:p>
            <a:pPr algn="ct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36D7-4279-A11D-FA8C082CD37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6D7-4279-A11D-FA8C082CD37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6D7-4279-A11D-FA8C082CD372}"/>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PORTFOLIO'!$BC$39:$BC$41</c:f>
              <c:numCache>
                <c:formatCode>0.00%</c:formatCode>
                <c:ptCount val="3"/>
                <c:pt idx="0">
                  <c:v>0.88235294117647056</c:v>
                </c:pt>
                <c:pt idx="1">
                  <c:v>5.8823529411764705E-2</c:v>
                </c:pt>
                <c:pt idx="2">
                  <c:v>5.8823529411764705E-2</c:v>
                </c:pt>
              </c:numCache>
            </c:numRef>
          </c:val>
          <c:extLst xmlns:c16r2="http://schemas.microsoft.com/office/drawing/2015/06/chart">
            <c:ext xmlns:c16="http://schemas.microsoft.com/office/drawing/2014/chart" uri="{C3380CC4-5D6E-409C-BE32-E72D297353CC}">
              <c16:uniqueId val="{00000003-36D7-4279-A11D-FA8C082CD37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ENVIRONMENT</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strike="noStrike" baseline="0"/>
              <a:t>  </a:t>
            </a: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898-4B87-939D-D47B1872EA7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898-4B87-939D-D47B1872EA7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898-4B87-939D-D47B1872EA7B}"/>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PORTFOLIO'!$BB$55:$BB$57</c:f>
              <c:numCache>
                <c:formatCode>0.00%</c:formatCode>
                <c:ptCount val="3"/>
                <c:pt idx="0">
                  <c:v>0.8666666666666667</c:v>
                </c:pt>
                <c:pt idx="1">
                  <c:v>6.6666666666666666E-2</c:v>
                </c:pt>
                <c:pt idx="2">
                  <c:v>6.6666666666666666E-2</c:v>
                </c:pt>
              </c:numCache>
            </c:numRef>
          </c:val>
          <c:extLst xmlns:c16r2="http://schemas.microsoft.com/office/drawing/2015/06/chart">
            <c:ext xmlns:c16="http://schemas.microsoft.com/office/drawing/2014/chart" uri="{C3380CC4-5D6E-409C-BE32-E72D297353CC}">
              <c16:uniqueId val="{00000003-9898-4B87-939D-D47B1872EA7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PROTECTING AND STRENGTHENING COMMUNITIES</a:t>
            </a: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'4. CHARTS BY PRIORITY'!$AY$55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PRIORITY'!$AZ$54:$BC$54</c:f>
              <c:strCache>
                <c:ptCount val="4"/>
                <c:pt idx="0">
                  <c:v>Q1</c:v>
                </c:pt>
                <c:pt idx="1">
                  <c:v>Q2</c:v>
                </c:pt>
                <c:pt idx="2">
                  <c:v>Q3</c:v>
                </c:pt>
                <c:pt idx="3">
                  <c:v>Q4</c:v>
                </c:pt>
              </c:strCache>
            </c:strRef>
          </c:cat>
          <c:val>
            <c:numRef>
              <c:f>'4. CHARTS BY PRIORITY'!$AZ$55:$BC$55</c:f>
              <c:numCache>
                <c:formatCode>0.00%</c:formatCode>
                <c:ptCount val="4"/>
                <c:pt idx="0">
                  <c:v>1</c:v>
                </c:pt>
                <c:pt idx="1">
                  <c:v>1</c:v>
                </c:pt>
                <c:pt idx="2">
                  <c:v>0.97959183673469385</c:v>
                </c:pt>
                <c:pt idx="3">
                  <c:v>0.98</c:v>
                </c:pt>
              </c:numCache>
            </c:numRef>
          </c:val>
          <c:smooth val="0"/>
          <c:extLst xmlns:c16r2="http://schemas.microsoft.com/office/drawing/2015/06/chart">
            <c:ext xmlns:c16="http://schemas.microsoft.com/office/drawing/2014/chart" uri="{C3380CC4-5D6E-409C-BE32-E72D297353CC}">
              <c16:uniqueId val="{00000002-1FD6-404C-92E4-D5A1C46C6F90}"/>
            </c:ext>
          </c:extLst>
        </c:ser>
        <c:ser>
          <c:idx val="1"/>
          <c:order val="1"/>
          <c:tx>
            <c:strRef>
              <c:f>'4.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FD6-404C-92E4-D5A1C46C6F90}"/>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FD6-404C-92E4-D5A1C46C6F90}"/>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PRIORITY'!$AZ$54:$BC$54</c:f>
              <c:strCache>
                <c:ptCount val="4"/>
                <c:pt idx="0">
                  <c:v>Q1</c:v>
                </c:pt>
                <c:pt idx="1">
                  <c:v>Q2</c:v>
                </c:pt>
                <c:pt idx="2">
                  <c:v>Q3</c:v>
                </c:pt>
                <c:pt idx="3">
                  <c:v>Q4</c:v>
                </c:pt>
              </c:strCache>
            </c:strRef>
          </c:cat>
          <c:val>
            <c:numRef>
              <c:f>'4. CHARTS BY PRIORITY'!$AZ$56:$BC$56</c:f>
              <c:numCache>
                <c:formatCode>0.00%</c:formatCode>
                <c:ptCount val="4"/>
                <c:pt idx="0">
                  <c:v>0</c:v>
                </c:pt>
                <c:pt idx="1">
                  <c:v>0</c:v>
                </c:pt>
                <c:pt idx="2">
                  <c:v>2.0408163265306121E-2</c:v>
                </c:pt>
                <c:pt idx="3">
                  <c:v>0.02</c:v>
                </c:pt>
              </c:numCache>
            </c:numRef>
          </c:val>
          <c:smooth val="0"/>
          <c:extLst xmlns:c16r2="http://schemas.microsoft.com/office/drawing/2015/06/chart">
            <c:ext xmlns:c16="http://schemas.microsoft.com/office/drawing/2014/chart" uri="{C3380CC4-5D6E-409C-BE32-E72D297353CC}">
              <c16:uniqueId val="{00000007-1FD6-404C-92E4-D5A1C46C6F90}"/>
            </c:ext>
          </c:extLst>
        </c:ser>
        <c:ser>
          <c:idx val="2"/>
          <c:order val="2"/>
          <c:tx>
            <c:strRef>
              <c:f>'4.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FD6-404C-92E4-D5A1C46C6F90}"/>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PRIORITY'!$AZ$54:$BC$54</c:f>
              <c:strCache>
                <c:ptCount val="4"/>
                <c:pt idx="0">
                  <c:v>Q1</c:v>
                </c:pt>
                <c:pt idx="1">
                  <c:v>Q2</c:v>
                </c:pt>
                <c:pt idx="2">
                  <c:v>Q3</c:v>
                </c:pt>
                <c:pt idx="3">
                  <c:v>Q4</c:v>
                </c:pt>
              </c:strCache>
            </c:strRef>
          </c:cat>
          <c:val>
            <c:numRef>
              <c:f>'4. CHARTS BY PRIORITY'!$AZ$57:$BC$57</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smooth val="0"/>
        <c:axId val="447451112"/>
        <c:axId val="447452680"/>
      </c:lineChart>
      <c:catAx>
        <c:axId val="447451112"/>
        <c:scaling>
          <c:orientation val="minMax"/>
        </c:scaling>
        <c:delete val="0"/>
        <c:axPos val="b"/>
        <c:numFmt formatCode="General" sourceLinked="0"/>
        <c:majorTickMark val="out"/>
        <c:minorTickMark val="none"/>
        <c:tickLblPos val="nextTo"/>
        <c:txPr>
          <a:bodyPr/>
          <a:lstStyle/>
          <a:p>
            <a:pPr>
              <a:defRPr lang="en-US"/>
            </a:pPr>
            <a:endParaRPr lang="en-US"/>
          </a:p>
        </c:txPr>
        <c:crossAx val="447452680"/>
        <c:crosses val="autoZero"/>
        <c:auto val="1"/>
        <c:lblAlgn val="ctr"/>
        <c:lblOffset val="100"/>
        <c:noMultiLvlLbl val="0"/>
      </c:catAx>
      <c:valAx>
        <c:axId val="44745268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4745111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ENVIRONMENT</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108-493F-A60B-568B8104004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108-493F-A60B-568B8104004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108-493F-A60B-568B8104004D}"/>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PORTFOLIO'!$BC$55:$BC$57</c:f>
              <c:numCache>
                <c:formatCode>0.00%</c:formatCode>
                <c:ptCount val="3"/>
                <c:pt idx="0">
                  <c:v>0.8666666666666667</c:v>
                </c:pt>
                <c:pt idx="1">
                  <c:v>6.6666666666666666E-2</c:v>
                </c:pt>
                <c:pt idx="2">
                  <c:v>6.6666666666666666E-2</c:v>
                </c:pt>
              </c:numCache>
            </c:numRef>
          </c:val>
          <c:extLst xmlns:c16r2="http://schemas.microsoft.com/office/drawing/2015/06/chart">
            <c:ext xmlns:c16="http://schemas.microsoft.com/office/drawing/2014/chart" uri="{C3380CC4-5D6E-409C-BE32-E72D297353CC}">
              <c16:uniqueId val="{00000003-8108-493F-A60B-568B8104004D}"/>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PLANNING</a:t>
            </a: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PORTFOLIO'!$AY$71</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PORTFOLIO'!$AZ$70:$BC$70</c:f>
              <c:strCache>
                <c:ptCount val="4"/>
                <c:pt idx="0">
                  <c:v>Q1</c:v>
                </c:pt>
                <c:pt idx="1">
                  <c:v>Q2</c:v>
                </c:pt>
                <c:pt idx="2">
                  <c:v>Q3</c:v>
                </c:pt>
                <c:pt idx="3">
                  <c:v>Q4</c:v>
                </c:pt>
              </c:strCache>
            </c:strRef>
          </c:cat>
          <c:val>
            <c:numRef>
              <c:f>'6. CHARTS BY PORTFOLIO'!$AZ$71:$BC$71</c:f>
              <c:numCache>
                <c:formatCode>0.00%</c:formatCode>
                <c:ptCount val="4"/>
                <c:pt idx="0">
                  <c:v>1</c:v>
                </c:pt>
                <c:pt idx="1">
                  <c:v>1</c:v>
                </c:pt>
                <c:pt idx="2">
                  <c:v>1</c:v>
                </c:pt>
                <c:pt idx="3">
                  <c:v>1</c:v>
                </c:pt>
              </c:numCache>
            </c:numRef>
          </c:val>
          <c:smooth val="0"/>
          <c:extLst xmlns:c16r2="http://schemas.microsoft.com/office/drawing/2015/06/chart">
            <c:ext xmlns:c16="http://schemas.microsoft.com/office/drawing/2014/chart" uri="{C3380CC4-5D6E-409C-BE32-E72D297353CC}">
              <c16:uniqueId val="{00000002-016F-44FD-9A20-5F0AA50C5759}"/>
            </c:ext>
          </c:extLst>
        </c:ser>
        <c:ser>
          <c:idx val="1"/>
          <c:order val="1"/>
          <c:tx>
            <c:strRef>
              <c:f>'6.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16F-44FD-9A20-5F0AA50C5759}"/>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16F-44FD-9A20-5F0AA50C575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PORTFOLIO'!$AZ$70:$BC$70</c:f>
              <c:strCache>
                <c:ptCount val="4"/>
                <c:pt idx="0">
                  <c:v>Q1</c:v>
                </c:pt>
                <c:pt idx="1">
                  <c:v>Q2</c:v>
                </c:pt>
                <c:pt idx="2">
                  <c:v>Q3</c:v>
                </c:pt>
                <c:pt idx="3">
                  <c:v>Q4</c:v>
                </c:pt>
              </c:strCache>
            </c:strRef>
          </c:cat>
          <c:val>
            <c:numRef>
              <c:f>'6. CHARTS BY PORTFOLIO'!$AZ$72:$BC$72</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016F-44FD-9A20-5F0AA50C5759}"/>
            </c:ext>
          </c:extLst>
        </c:ser>
        <c:ser>
          <c:idx val="2"/>
          <c:order val="2"/>
          <c:tx>
            <c:strRef>
              <c:f>'6.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16F-44FD-9A20-5F0AA50C575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PORTFOLIO'!$AZ$70:$BC$70</c:f>
              <c:strCache>
                <c:ptCount val="4"/>
                <c:pt idx="0">
                  <c:v>Q1</c:v>
                </c:pt>
                <c:pt idx="1">
                  <c:v>Q2</c:v>
                </c:pt>
                <c:pt idx="2">
                  <c:v>Q3</c:v>
                </c:pt>
                <c:pt idx="3">
                  <c:v>Q4</c:v>
                </c:pt>
              </c:strCache>
            </c:strRef>
          </c:cat>
          <c:val>
            <c:numRef>
              <c:f>'6. CHARTS BY PORTFOLIO'!$AZ$73:$BC$73</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016F-44FD-9A20-5F0AA50C5759}"/>
            </c:ext>
          </c:extLst>
        </c:ser>
        <c:dLbls>
          <c:showLegendKey val="0"/>
          <c:showVal val="1"/>
          <c:showCatName val="0"/>
          <c:showSerName val="0"/>
          <c:showPercent val="0"/>
          <c:showBubbleSize val="0"/>
        </c:dLbls>
        <c:smooth val="0"/>
        <c:axId val="460996488"/>
        <c:axId val="460995312"/>
      </c:lineChart>
      <c:catAx>
        <c:axId val="460996488"/>
        <c:scaling>
          <c:orientation val="minMax"/>
        </c:scaling>
        <c:delete val="0"/>
        <c:axPos val="b"/>
        <c:numFmt formatCode="General" sourceLinked="0"/>
        <c:majorTickMark val="out"/>
        <c:minorTickMark val="none"/>
        <c:tickLblPos val="nextTo"/>
        <c:txPr>
          <a:bodyPr/>
          <a:lstStyle/>
          <a:p>
            <a:pPr>
              <a:defRPr lang="en-US"/>
            </a:pPr>
            <a:endParaRPr lang="en-US"/>
          </a:p>
        </c:txPr>
        <c:crossAx val="460995312"/>
        <c:crosses val="autoZero"/>
        <c:auto val="1"/>
        <c:lblAlgn val="ctr"/>
        <c:lblOffset val="100"/>
        <c:noMultiLvlLbl val="0"/>
      </c:catAx>
      <c:valAx>
        <c:axId val="460995312"/>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6099648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PLANNING </a:t>
            </a:r>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2CC4-4DCF-972D-828886DB5E2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2CC4-4DCF-972D-828886DB5E2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2CC4-4DCF-972D-828886DB5E2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PORTFOLIO'!$AZ$71:$AZ$73</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2CC4-4DCF-972D-828886DB5E2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t>PLANNING </a:t>
            </a: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009-44DB-8D6B-7B084F70A94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009-44DB-8D6B-7B084F70A94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009-44DB-8D6B-7B084F70A94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PORTFOLIO'!$BA$71:$BA$73</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B009-44DB-8D6B-7B084F70A94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t>PLANNING </a:t>
            </a: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324-40E8-AEBE-C378BF949D0A}"/>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24-40E8-AEBE-C378BF949D0A}"/>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24-40E8-AEBE-C378BF949D0A}"/>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PORTFOLIO'!$BB$71:$BB$73</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8324-40E8-AEBE-C378BF949D0A}"/>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t>PLANNING </a:t>
            </a:r>
            <a:endParaRPr lang="en-GB"/>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CD8-4549-A281-844D2CE821B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CD8-4549-A281-844D2CE821B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CD8-4549-A281-844D2CE821B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PORTFOLIO'!$BC$71:$BC$73</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ECD8-4549-A281-844D2CE821B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REGULATORY</a:t>
            </a:r>
            <a:r>
              <a:rPr lang="en-GB" sz="1200" u="sng" baseline="0">
                <a:latin typeface="Arial" pitchFamily="34" charset="0"/>
                <a:cs typeface="Arial" pitchFamily="34" charset="0"/>
              </a:rPr>
              <a:t> SERVICES</a:t>
            </a:r>
            <a:endParaRPr lang="en-GB"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PORTFOLIO'!$AY$87</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6EA-4448-A0B2-B9FB71237E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6EA-4448-A0B2-B9FB71237E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PORTFOLIO'!$AZ$86:$BC$86</c:f>
              <c:strCache>
                <c:ptCount val="4"/>
                <c:pt idx="0">
                  <c:v>Q1</c:v>
                </c:pt>
                <c:pt idx="1">
                  <c:v>Q2</c:v>
                </c:pt>
                <c:pt idx="2">
                  <c:v>Q3</c:v>
                </c:pt>
                <c:pt idx="3">
                  <c:v>Q4</c:v>
                </c:pt>
              </c:strCache>
            </c:strRef>
          </c:cat>
          <c:val>
            <c:numRef>
              <c:f>'6. CHARTS BY PORTFOLIO'!$AZ$87:$BC$87</c:f>
              <c:numCache>
                <c:formatCode>0.00%</c:formatCode>
                <c:ptCount val="4"/>
                <c:pt idx="0">
                  <c:v>1</c:v>
                </c:pt>
                <c:pt idx="1">
                  <c:v>1</c:v>
                </c:pt>
                <c:pt idx="2">
                  <c:v>1</c:v>
                </c:pt>
                <c:pt idx="3">
                  <c:v>1</c:v>
                </c:pt>
              </c:numCache>
            </c:numRef>
          </c:val>
          <c:smooth val="0"/>
          <c:extLst xmlns:c16r2="http://schemas.microsoft.com/office/drawing/2015/06/chart">
            <c:ext xmlns:c16="http://schemas.microsoft.com/office/drawing/2014/chart" uri="{C3380CC4-5D6E-409C-BE32-E72D297353CC}">
              <c16:uniqueId val="{00000002-76EA-4448-A0B2-B9FB71237ED9}"/>
            </c:ext>
          </c:extLst>
        </c:ser>
        <c:ser>
          <c:idx val="1"/>
          <c:order val="1"/>
          <c:tx>
            <c:strRef>
              <c:f>'6. CHARTS BY PORTFOLIO'!$AY$88</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6EA-4448-A0B2-B9FB71237ED9}"/>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6EA-4448-A0B2-B9FB71237ED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6EA-4448-A0B2-B9FB71237E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6EA-4448-A0B2-B9FB71237E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PORTFOLIO'!$AZ$86:$BC$86</c:f>
              <c:strCache>
                <c:ptCount val="4"/>
                <c:pt idx="0">
                  <c:v>Q1</c:v>
                </c:pt>
                <c:pt idx="1">
                  <c:v>Q2</c:v>
                </c:pt>
                <c:pt idx="2">
                  <c:v>Q3</c:v>
                </c:pt>
                <c:pt idx="3">
                  <c:v>Q4</c:v>
                </c:pt>
              </c:strCache>
            </c:strRef>
          </c:cat>
          <c:val>
            <c:numRef>
              <c:f>'6. CHARTS BY PORTFOLIO'!$AZ$88:$BC$88</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76EA-4448-A0B2-B9FB71237ED9}"/>
            </c:ext>
          </c:extLst>
        </c:ser>
        <c:ser>
          <c:idx val="2"/>
          <c:order val="2"/>
          <c:tx>
            <c:strRef>
              <c:f>'6. CHARTS BY PORTFOLIO'!$AY$89</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6EA-4448-A0B2-B9FB71237ED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76EA-4448-A0B2-B9FB71237E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76EA-4448-A0B2-B9FB71237E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PORTFOLIO'!$AZ$86:$BC$86</c:f>
              <c:strCache>
                <c:ptCount val="4"/>
                <c:pt idx="0">
                  <c:v>Q1</c:v>
                </c:pt>
                <c:pt idx="1">
                  <c:v>Q2</c:v>
                </c:pt>
                <c:pt idx="2">
                  <c:v>Q3</c:v>
                </c:pt>
                <c:pt idx="3">
                  <c:v>Q4</c:v>
                </c:pt>
              </c:strCache>
            </c:strRef>
          </c:cat>
          <c:val>
            <c:numRef>
              <c:f>'6. CHARTS BY PORTFOLIO'!$AZ$89:$BC$89</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76EA-4448-A0B2-B9FB71237ED9}"/>
            </c:ext>
          </c:extLst>
        </c:ser>
        <c:dLbls>
          <c:showLegendKey val="0"/>
          <c:showVal val="1"/>
          <c:showCatName val="0"/>
          <c:showSerName val="0"/>
          <c:showPercent val="0"/>
          <c:showBubbleSize val="0"/>
        </c:dLbls>
        <c:smooth val="0"/>
        <c:axId val="461001976"/>
        <c:axId val="460995704"/>
      </c:lineChart>
      <c:catAx>
        <c:axId val="461001976"/>
        <c:scaling>
          <c:orientation val="minMax"/>
        </c:scaling>
        <c:delete val="0"/>
        <c:axPos val="b"/>
        <c:numFmt formatCode="General" sourceLinked="0"/>
        <c:majorTickMark val="out"/>
        <c:minorTickMark val="none"/>
        <c:tickLblPos val="nextTo"/>
        <c:txPr>
          <a:bodyPr/>
          <a:lstStyle/>
          <a:p>
            <a:pPr>
              <a:defRPr lang="en-US"/>
            </a:pPr>
            <a:endParaRPr lang="en-US"/>
          </a:p>
        </c:txPr>
        <c:crossAx val="460995704"/>
        <c:crosses val="autoZero"/>
        <c:auto val="1"/>
        <c:lblAlgn val="ctr"/>
        <c:lblOffset val="100"/>
        <c:noMultiLvlLbl val="0"/>
      </c:catAx>
      <c:valAx>
        <c:axId val="460995704"/>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6100197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REGULATORY SERVICES</a:t>
            </a:r>
            <a:r>
              <a:rPr lang="en-US" baseline="0"/>
              <a:t> -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9B0-41A6-BAE1-B1764C88B8C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9B0-41A6-BAE1-B1764C88B8C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9B0-41A6-BAE1-B1764C88B8C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PORTFOLIO'!$AY$87:$AY$89</c:f>
              <c:strCache>
                <c:ptCount val="3"/>
                <c:pt idx="0">
                  <c:v>Green</c:v>
                </c:pt>
                <c:pt idx="1">
                  <c:v>Amber</c:v>
                </c:pt>
                <c:pt idx="2">
                  <c:v>Red</c:v>
                </c:pt>
              </c:strCache>
            </c:strRef>
          </c:cat>
          <c:val>
            <c:numRef>
              <c:f>'6. CHARTS BY PORTFOLIO'!$AZ$87:$AZ$89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79B0-41A6-BAE1-B1764C88B8C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REGULATORY SERVICES - </a:t>
            </a:r>
            <a:r>
              <a:rPr lang="en-US" sz="1800" b="1" i="0" baseline="0"/>
              <a:t>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7F2-4A5C-A29C-60590D56AB7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7F2-4A5C-A29C-60590D56AB7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7F2-4A5C-A29C-60590D56AB7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PORTFOLIO'!$AY$87:$AY$89</c:f>
              <c:strCache>
                <c:ptCount val="3"/>
                <c:pt idx="0">
                  <c:v>Green</c:v>
                </c:pt>
                <c:pt idx="1">
                  <c:v>Amber</c:v>
                </c:pt>
                <c:pt idx="2">
                  <c:v>Red</c:v>
                </c:pt>
              </c:strCache>
            </c:strRef>
          </c:cat>
          <c:val>
            <c:numRef>
              <c:f>'6. CHARTS BY PORTFOLIO'!$BA$87:$BA$89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87F2-4A5C-A29C-60590D56AB7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REGULATORY SERVICES - </a:t>
            </a:r>
            <a:r>
              <a:rPr lang="en-US" sz="1800" b="1" i="0" baseline="0"/>
              <a:t>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BE8-4F67-A9C0-F1DE6D3FFEB6}"/>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BE8-4F67-A9C0-F1DE6D3FFEB6}"/>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BE8-4F67-A9C0-F1DE6D3FFEB6}"/>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PORTFOLIO'!$AY$87:$AY$89</c:f>
              <c:strCache>
                <c:ptCount val="3"/>
                <c:pt idx="0">
                  <c:v>Green</c:v>
                </c:pt>
                <c:pt idx="1">
                  <c:v>Amber</c:v>
                </c:pt>
                <c:pt idx="2">
                  <c:v>Red</c:v>
                </c:pt>
              </c:strCache>
            </c:strRef>
          </c:cat>
          <c:val>
            <c:numRef>
              <c:f>'6. CHARTS BY PORTFOLIO'!$BB$87:$BB$89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8BE8-4F67-A9C0-F1DE6D3FFEB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BDF-4743-8367-D995DA49E22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BDF-4743-8367-D995DA49E22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BDF-4743-8367-D995DA49E225}"/>
              </c:ext>
            </c:extLst>
          </c:dPt>
          <c:dLbls>
            <c:delete val="1"/>
          </c:dLbls>
          <c:cat>
            <c:strRef>
              <c:f>'4. CHARTS BY PRIORITY'!$AY$7:$AY$9</c:f>
              <c:strCache>
                <c:ptCount val="3"/>
                <c:pt idx="0">
                  <c:v>Green</c:v>
                </c:pt>
                <c:pt idx="1">
                  <c:v>Amber</c:v>
                </c:pt>
                <c:pt idx="2">
                  <c:v>Red</c:v>
                </c:pt>
              </c:strCache>
            </c:strRef>
          </c:cat>
          <c:val>
            <c:numRef>
              <c:f>'4. CHARTS BY PRIORITY'!$AZ$7:$AZ$9</c:f>
              <c:numCache>
                <c:formatCode>0.00%</c:formatCode>
                <c:ptCount val="3"/>
                <c:pt idx="0">
                  <c:v>0.96153846153846156</c:v>
                </c:pt>
                <c:pt idx="1">
                  <c:v>0</c:v>
                </c:pt>
                <c:pt idx="2">
                  <c:v>3.8461538461538464E-2</c:v>
                </c:pt>
              </c:numCache>
            </c:numRef>
          </c:val>
          <c:extLst xmlns:c16r2="http://schemas.microsoft.com/office/drawing/2015/06/char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REGULATORY SERVICES - </a:t>
            </a:r>
            <a:r>
              <a:rPr lang="en-US" sz="1800" b="1" i="0" baseline="0"/>
              <a:t>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0261-481C-BCCE-39F73A8A651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0261-481C-BCCE-39F73A8A651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0261-481C-BCCE-39F73A8A651E}"/>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PORTFOLIO'!$AY$87:$AY$89</c:f>
              <c:strCache>
                <c:ptCount val="3"/>
                <c:pt idx="0">
                  <c:v>Green</c:v>
                </c:pt>
                <c:pt idx="1">
                  <c:v>Amber</c:v>
                </c:pt>
                <c:pt idx="2">
                  <c:v>Red</c:v>
                </c:pt>
              </c:strCache>
            </c:strRef>
          </c:cat>
          <c:val>
            <c:numRef>
              <c:f>'6. CHARTS BY PORTFOLIO'!$BC$87:$BC$89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0261-481C-BCCE-39F73A8A651E}"/>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REGENERATION</a:t>
            </a: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PORTFOLIO'!$AY$103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3D7-42C9-8D45-76AE80E2C2F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3D7-42C9-8D45-76AE80E2C2F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PORTFOLIO'!$AZ$102:$BC$102</c:f>
              <c:strCache>
                <c:ptCount val="4"/>
                <c:pt idx="0">
                  <c:v>Q1</c:v>
                </c:pt>
                <c:pt idx="1">
                  <c:v>Q2</c:v>
                </c:pt>
                <c:pt idx="2">
                  <c:v>Q3</c:v>
                </c:pt>
                <c:pt idx="3">
                  <c:v>Q4</c:v>
                </c:pt>
              </c:strCache>
            </c:strRef>
          </c:cat>
          <c:val>
            <c:numRef>
              <c:f>'6. CHARTS BY PORTFOLIO'!$AZ$103:$BC$103</c:f>
              <c:numCache>
                <c:formatCode>0.00%</c:formatCode>
                <c:ptCount val="4"/>
                <c:pt idx="0">
                  <c:v>0.90909090909090906</c:v>
                </c:pt>
                <c:pt idx="1">
                  <c:v>0.92307692307692313</c:v>
                </c:pt>
                <c:pt idx="2">
                  <c:v>0.9285714285714286</c:v>
                </c:pt>
                <c:pt idx="3">
                  <c:v>0.9375</c:v>
                </c:pt>
              </c:numCache>
            </c:numRef>
          </c:val>
          <c:smooth val="0"/>
          <c:extLst xmlns:c16r2="http://schemas.microsoft.com/office/drawing/2015/06/chart">
            <c:ext xmlns:c16="http://schemas.microsoft.com/office/drawing/2014/chart" uri="{C3380CC4-5D6E-409C-BE32-E72D297353CC}">
              <c16:uniqueId val="{00000002-C3D7-42C9-8D45-76AE80E2C2FB}"/>
            </c:ext>
          </c:extLst>
        </c:ser>
        <c:ser>
          <c:idx val="1"/>
          <c:order val="1"/>
          <c:tx>
            <c:strRef>
              <c:f>'6. CHARTS BY PORTFOLIO'!$AY$104</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3D7-42C9-8D45-76AE80E2C2FB}"/>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3D7-42C9-8D45-76AE80E2C2FB}"/>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3D7-42C9-8D45-76AE80E2C2F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3D7-42C9-8D45-76AE80E2C2F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PORTFOLIO'!$AZ$102:$BC$102</c:f>
              <c:strCache>
                <c:ptCount val="4"/>
                <c:pt idx="0">
                  <c:v>Q1</c:v>
                </c:pt>
                <c:pt idx="1">
                  <c:v>Q2</c:v>
                </c:pt>
                <c:pt idx="2">
                  <c:v>Q3</c:v>
                </c:pt>
                <c:pt idx="3">
                  <c:v>Q4</c:v>
                </c:pt>
              </c:strCache>
            </c:strRef>
          </c:cat>
          <c:val>
            <c:numRef>
              <c:f>'6. CHARTS BY PORTFOLIO'!$AZ$104:$BC$104</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C3D7-42C9-8D45-76AE80E2C2FB}"/>
            </c:ext>
          </c:extLst>
        </c:ser>
        <c:ser>
          <c:idx val="2"/>
          <c:order val="2"/>
          <c:tx>
            <c:strRef>
              <c:f>'6. CHARTS BY PORTFOLIO'!$AY$105</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3D7-42C9-8D45-76AE80E2C2FB}"/>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C3D7-42C9-8D45-76AE80E2C2F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C3D7-42C9-8D45-76AE80E2C2F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PORTFOLIO'!$AZ$102:$BC$102</c:f>
              <c:strCache>
                <c:ptCount val="4"/>
                <c:pt idx="0">
                  <c:v>Q1</c:v>
                </c:pt>
                <c:pt idx="1">
                  <c:v>Q2</c:v>
                </c:pt>
                <c:pt idx="2">
                  <c:v>Q3</c:v>
                </c:pt>
                <c:pt idx="3">
                  <c:v>Q4</c:v>
                </c:pt>
              </c:strCache>
            </c:strRef>
          </c:cat>
          <c:val>
            <c:numRef>
              <c:f>'6. CHARTS BY PORTFOLIO'!$AZ$105:$BC$105</c:f>
              <c:numCache>
                <c:formatCode>0.00%</c:formatCode>
                <c:ptCount val="4"/>
                <c:pt idx="0">
                  <c:v>9.0909090909090912E-2</c:v>
                </c:pt>
                <c:pt idx="1">
                  <c:v>7.6923076923076927E-2</c:v>
                </c:pt>
                <c:pt idx="2">
                  <c:v>7.1428571428571425E-2</c:v>
                </c:pt>
                <c:pt idx="3">
                  <c:v>6.25E-2</c:v>
                </c:pt>
              </c:numCache>
            </c:numRef>
          </c:val>
          <c:smooth val="0"/>
          <c:extLst xmlns:c16r2="http://schemas.microsoft.com/office/drawing/2015/06/chart">
            <c:ext xmlns:c16="http://schemas.microsoft.com/office/drawing/2014/chart" uri="{C3380CC4-5D6E-409C-BE32-E72D297353CC}">
              <c16:uniqueId val="{0000000B-C3D7-42C9-8D45-76AE80E2C2FB}"/>
            </c:ext>
          </c:extLst>
        </c:ser>
        <c:dLbls>
          <c:showLegendKey val="0"/>
          <c:showVal val="1"/>
          <c:showCatName val="0"/>
          <c:showSerName val="0"/>
          <c:showPercent val="0"/>
          <c:showBubbleSize val="0"/>
        </c:dLbls>
        <c:smooth val="0"/>
        <c:axId val="461857408"/>
        <c:axId val="461852704"/>
      </c:lineChart>
      <c:catAx>
        <c:axId val="461857408"/>
        <c:scaling>
          <c:orientation val="minMax"/>
        </c:scaling>
        <c:delete val="0"/>
        <c:axPos val="b"/>
        <c:numFmt formatCode="General" sourceLinked="0"/>
        <c:majorTickMark val="out"/>
        <c:minorTickMark val="none"/>
        <c:tickLblPos val="nextTo"/>
        <c:txPr>
          <a:bodyPr/>
          <a:lstStyle/>
          <a:p>
            <a:pPr>
              <a:defRPr lang="en-US"/>
            </a:pPr>
            <a:endParaRPr lang="en-US"/>
          </a:p>
        </c:txPr>
        <c:crossAx val="461852704"/>
        <c:crosses val="autoZero"/>
        <c:auto val="1"/>
        <c:lblAlgn val="ctr"/>
        <c:lblOffset val="100"/>
        <c:noMultiLvlLbl val="0"/>
      </c:catAx>
      <c:valAx>
        <c:axId val="461852704"/>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6185740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REGENERATION </a:t>
            </a: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4F6F-4EF2-97FD-3C834BE65EC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4F6F-4EF2-97FD-3C834BE65EC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4F6F-4EF2-97FD-3C834BE65EC2}"/>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PORTFOLIO'!$AY$103:$AY$105</c:f>
              <c:strCache>
                <c:ptCount val="3"/>
                <c:pt idx="0">
                  <c:v>Green</c:v>
                </c:pt>
                <c:pt idx="1">
                  <c:v>Amber</c:v>
                </c:pt>
                <c:pt idx="2">
                  <c:v>Red</c:v>
                </c:pt>
              </c:strCache>
            </c:strRef>
          </c:cat>
          <c:val>
            <c:numRef>
              <c:f>'6. CHARTS BY PORTFOLIO'!$AZ$103:$AZ$105</c:f>
              <c:numCache>
                <c:formatCode>0.00%</c:formatCode>
                <c:ptCount val="3"/>
                <c:pt idx="0">
                  <c:v>0.90909090909090906</c:v>
                </c:pt>
                <c:pt idx="1">
                  <c:v>0</c:v>
                </c:pt>
                <c:pt idx="2">
                  <c:v>9.0909090909090912E-2</c:v>
                </c:pt>
              </c:numCache>
            </c:numRef>
          </c:val>
          <c:extLst xmlns:c16r2="http://schemas.microsoft.com/office/drawing/2015/06/chart">
            <c:ext xmlns:c16="http://schemas.microsoft.com/office/drawing/2014/chart" uri="{C3380CC4-5D6E-409C-BE32-E72D297353CC}">
              <c16:uniqueId val="{00000003-4F6F-4EF2-97FD-3C834BE65EC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REGENERATION </a:t>
            </a:r>
            <a:r>
              <a:rPr lang="en-US" sz="1800" b="1" i="0" u="none" strike="noStrike" baseline="0"/>
              <a:t>- </a:t>
            </a:r>
            <a:r>
              <a:rPr lang="en-US" sz="1800" b="1" i="0" baseline="0"/>
              <a:t>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C644-44AC-9D7B-0FA7C02E6418}"/>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C644-44AC-9D7B-0FA7C02E6418}"/>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C644-44AC-9D7B-0FA7C02E6418}"/>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PORTFOLIO'!$AY$103:$AY$105</c:f>
              <c:strCache>
                <c:ptCount val="3"/>
                <c:pt idx="0">
                  <c:v>Green</c:v>
                </c:pt>
                <c:pt idx="1">
                  <c:v>Amber</c:v>
                </c:pt>
                <c:pt idx="2">
                  <c:v>Red</c:v>
                </c:pt>
              </c:strCache>
            </c:strRef>
          </c:cat>
          <c:val>
            <c:numRef>
              <c:f>'6. CHARTS BY PORTFOLIO'!$BA$103:$BA$105</c:f>
              <c:numCache>
                <c:formatCode>0.00%</c:formatCode>
                <c:ptCount val="3"/>
                <c:pt idx="0">
                  <c:v>0.92307692307692313</c:v>
                </c:pt>
                <c:pt idx="1">
                  <c:v>0</c:v>
                </c:pt>
                <c:pt idx="2">
                  <c:v>7.6923076923076927E-2</c:v>
                </c:pt>
              </c:numCache>
            </c:numRef>
          </c:val>
          <c:extLst xmlns:c16r2="http://schemas.microsoft.com/office/drawing/2015/06/chart">
            <c:ext xmlns:c16="http://schemas.microsoft.com/office/drawing/2014/chart" uri="{C3380CC4-5D6E-409C-BE32-E72D297353CC}">
              <c16:uniqueId val="{00000003-C644-44AC-9D7B-0FA7C02E64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REGENERATION </a:t>
            </a:r>
            <a:r>
              <a:rPr lang="en-US" sz="1800" b="1" i="0" u="none" strike="noStrike" baseline="0"/>
              <a:t>- </a:t>
            </a:r>
            <a:r>
              <a:rPr lang="en-US" sz="1800" b="1" i="0" baseline="0"/>
              <a:t>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2C74-4639-B076-B02FA0B8310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2C74-4639-B076-B02FA0B8310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2C74-4639-B076-B02FA0B8310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PORTFOLIO'!$AY$103:$AY$105</c:f>
              <c:strCache>
                <c:ptCount val="3"/>
                <c:pt idx="0">
                  <c:v>Green</c:v>
                </c:pt>
                <c:pt idx="1">
                  <c:v>Amber</c:v>
                </c:pt>
                <c:pt idx="2">
                  <c:v>Red</c:v>
                </c:pt>
              </c:strCache>
            </c:strRef>
          </c:cat>
          <c:val>
            <c:numRef>
              <c:f>'6. CHARTS BY PORTFOLIO'!$BB$103:$BB$105</c:f>
              <c:numCache>
                <c:formatCode>0.00%</c:formatCode>
                <c:ptCount val="3"/>
                <c:pt idx="0">
                  <c:v>0.9285714285714286</c:v>
                </c:pt>
                <c:pt idx="1">
                  <c:v>0</c:v>
                </c:pt>
                <c:pt idx="2">
                  <c:v>7.1428571428571425E-2</c:v>
                </c:pt>
              </c:numCache>
            </c:numRef>
          </c:val>
          <c:extLst xmlns:c16r2="http://schemas.microsoft.com/office/drawing/2015/06/chart">
            <c:ext xmlns:c16="http://schemas.microsoft.com/office/drawing/2014/chart" uri="{C3380CC4-5D6E-409C-BE32-E72D297353CC}">
              <c16:uniqueId val="{00000003-2C74-4639-B076-B02FA0B8310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REGENERATION </a:t>
            </a:r>
            <a:r>
              <a:rPr lang="en-US" sz="1800" b="1" i="0" u="none" strike="noStrike" baseline="0"/>
              <a:t>- </a:t>
            </a:r>
            <a:r>
              <a:rPr lang="en-US" sz="1800" b="1" i="0" baseline="0"/>
              <a:t>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32D2-4242-9596-D2A134E57BE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2D2-4242-9596-D2A134E57BE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2D2-4242-9596-D2A134E57BE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PORTFOLIO'!$AY$103:$AY$105</c:f>
              <c:strCache>
                <c:ptCount val="3"/>
                <c:pt idx="0">
                  <c:v>Green</c:v>
                </c:pt>
                <c:pt idx="1">
                  <c:v>Amber</c:v>
                </c:pt>
                <c:pt idx="2">
                  <c:v>Red</c:v>
                </c:pt>
              </c:strCache>
            </c:strRef>
          </c:cat>
          <c:val>
            <c:numRef>
              <c:f>'6. CHARTS BY PORTFOLIO'!$BC$103:$BC$105</c:f>
              <c:numCache>
                <c:formatCode>0.00%</c:formatCode>
                <c:ptCount val="3"/>
                <c:pt idx="0">
                  <c:v>0.9375</c:v>
                </c:pt>
                <c:pt idx="1">
                  <c:v>0</c:v>
                </c:pt>
                <c:pt idx="2">
                  <c:v>6.25E-2</c:v>
                </c:pt>
              </c:numCache>
            </c:numRef>
          </c:val>
          <c:extLst xmlns:c16r2="http://schemas.microsoft.com/office/drawing/2015/06/chart">
            <c:ext xmlns:c16="http://schemas.microsoft.com/office/drawing/2014/chart" uri="{C3380CC4-5D6E-409C-BE32-E72D297353CC}">
              <c16:uniqueId val="{00000003-32D2-4242-9596-D2A134E57BE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SERVICES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6B7-4A38-A51C-3A27625D9AE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6B7-4A38-A51C-3A27625D9AE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6B7-4A38-A51C-3A27625D9AE4}"/>
              </c:ext>
            </c:extLst>
          </c:dPt>
          <c:cat>
            <c:strRef>
              <c:f>'4. CHARTS BY PRIORITY'!$AY$23:$AY$25</c:f>
              <c:strCache>
                <c:ptCount val="3"/>
                <c:pt idx="0">
                  <c:v>Green</c:v>
                </c:pt>
                <c:pt idx="1">
                  <c:v>Amber</c:v>
                </c:pt>
                <c:pt idx="2">
                  <c:v>Red</c:v>
                </c:pt>
              </c:strCache>
            </c:strRef>
          </c:cat>
          <c:val>
            <c:numRef>
              <c:f>'4. CHARTS BY PRIORITY'!$AZ$23:$AZ$25</c:f>
              <c:numCache>
                <c:formatCode>0.00%</c:formatCode>
                <c:ptCount val="3"/>
                <c:pt idx="0">
                  <c:v>0.94871794871794879</c:v>
                </c:pt>
                <c:pt idx="1">
                  <c:v>0</c:v>
                </c:pt>
                <c:pt idx="2">
                  <c:v>5.128205128205128E-2</c:v>
                </c:pt>
              </c:numCache>
            </c:numRef>
          </c:val>
          <c:extLst xmlns:c16r2="http://schemas.microsoft.com/office/drawing/2015/06/char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PROMOTING LOCAL ECONOMIC GROWTH - Quarter 1</a:t>
            </a:r>
          </a:p>
        </c:rich>
      </c:tx>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333-4466-970B-BC246C30874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33-4466-970B-BC246C30874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33-4466-970B-BC246C30874E}"/>
              </c:ext>
            </c:extLst>
          </c:dPt>
          <c:cat>
            <c:strRef>
              <c:f>'4. CHARTS BY PRIORITY'!$AY$39:$AY$41</c:f>
              <c:strCache>
                <c:ptCount val="3"/>
                <c:pt idx="0">
                  <c:v>Green</c:v>
                </c:pt>
                <c:pt idx="1">
                  <c:v>Amber</c:v>
                </c:pt>
                <c:pt idx="2">
                  <c:v>Red</c:v>
                </c:pt>
              </c:strCache>
            </c:strRef>
          </c:cat>
          <c:val>
            <c:numRef>
              <c:f>'4. CHARTS BY PRIORITY'!$AZ$39:$AZ$41</c:f>
              <c:numCache>
                <c:formatCode>0.00%</c:formatCode>
                <c:ptCount val="3"/>
                <c:pt idx="0">
                  <c:v>0.91666666666666663</c:v>
                </c:pt>
                <c:pt idx="1">
                  <c:v>0</c:v>
                </c:pt>
                <c:pt idx="2">
                  <c:v>8.3333333333333329E-2</c:v>
                </c:pt>
              </c:numCache>
            </c:numRef>
          </c:val>
          <c:extLst xmlns:c16r2="http://schemas.microsoft.com/office/drawing/2015/06/char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PROTECTING AND STRENGTHENING COMMUNITIES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F00D-4878-9064-9C519C9A292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F00D-4878-9064-9C519C9A292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F00D-4878-9064-9C519C9A2924}"/>
              </c:ext>
            </c:extLst>
          </c:dPt>
          <c:cat>
            <c:strRef>
              <c:f>'4. CHARTS BY PRIORITY'!$AY$55:$AY$57</c:f>
              <c:strCache>
                <c:ptCount val="3"/>
                <c:pt idx="0">
                  <c:v>Green</c:v>
                </c:pt>
                <c:pt idx="1">
                  <c:v>Amber</c:v>
                </c:pt>
                <c:pt idx="2">
                  <c:v>Red</c:v>
                </c:pt>
              </c:strCache>
            </c:strRef>
          </c:cat>
          <c:val>
            <c:numRef>
              <c:f>'4. CHARTS BY PRIORITY'!$AZ$55:$AZ$57</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191-4694-B510-D0DD546A4D5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191-4694-B510-D0DD546A4D5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191-4694-B510-D0DD546A4D52}"/>
              </c:ext>
            </c:extLst>
          </c:dPt>
          <c:cat>
            <c:strRef>
              <c:f>'4. CHARTS BY PRIORITY'!$AY$7:$AY$9</c:f>
              <c:strCache>
                <c:ptCount val="3"/>
                <c:pt idx="0">
                  <c:v>Green</c:v>
                </c:pt>
                <c:pt idx="1">
                  <c:v>Amber</c:v>
                </c:pt>
                <c:pt idx="2">
                  <c:v>Red</c:v>
                </c:pt>
              </c:strCache>
            </c:strRef>
          </c:cat>
          <c:val>
            <c:numRef>
              <c:f>'4. CHARTS BY PRIORITY'!$BA$7:$BA$9</c:f>
              <c:numCache>
                <c:formatCode>0.00%</c:formatCode>
                <c:ptCount val="3"/>
                <c:pt idx="0">
                  <c:v>0.96261682242990654</c:v>
                </c:pt>
                <c:pt idx="1">
                  <c:v>0</c:v>
                </c:pt>
                <c:pt idx="2">
                  <c:v>3.7383177570093455E-2</c:v>
                </c:pt>
              </c:numCache>
            </c:numRef>
          </c:val>
          <c:extLst xmlns:c16r2="http://schemas.microsoft.com/office/drawing/2015/06/char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26" Type="http://schemas.openxmlformats.org/officeDocument/2006/relationships/chart" Target="../charts/chart46.xml"/><Relationship Id="rId3" Type="http://schemas.openxmlformats.org/officeDocument/2006/relationships/chart" Target="../charts/chart23.xml"/><Relationship Id="rId21" Type="http://schemas.openxmlformats.org/officeDocument/2006/relationships/chart" Target="../charts/chart41.xml"/><Relationship Id="rId34" Type="http://schemas.openxmlformats.org/officeDocument/2006/relationships/chart" Target="../charts/chart54.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5" Type="http://schemas.openxmlformats.org/officeDocument/2006/relationships/chart" Target="../charts/chart45.xml"/><Relationship Id="rId33" Type="http://schemas.openxmlformats.org/officeDocument/2006/relationships/chart" Target="../charts/chart53.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29" Type="http://schemas.openxmlformats.org/officeDocument/2006/relationships/chart" Target="../charts/chart49.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24" Type="http://schemas.openxmlformats.org/officeDocument/2006/relationships/chart" Target="../charts/chart44.xml"/><Relationship Id="rId32" Type="http://schemas.openxmlformats.org/officeDocument/2006/relationships/chart" Target="../charts/chart52.xml"/><Relationship Id="rId5" Type="http://schemas.openxmlformats.org/officeDocument/2006/relationships/chart" Target="../charts/chart25.xml"/><Relationship Id="rId15" Type="http://schemas.openxmlformats.org/officeDocument/2006/relationships/chart" Target="../charts/chart35.xml"/><Relationship Id="rId23" Type="http://schemas.openxmlformats.org/officeDocument/2006/relationships/chart" Target="../charts/chart43.xml"/><Relationship Id="rId28" Type="http://schemas.openxmlformats.org/officeDocument/2006/relationships/chart" Target="../charts/chart48.xml"/><Relationship Id="rId10" Type="http://schemas.openxmlformats.org/officeDocument/2006/relationships/chart" Target="../charts/chart30.xml"/><Relationship Id="rId19" Type="http://schemas.openxmlformats.org/officeDocument/2006/relationships/chart" Target="../charts/chart39.xml"/><Relationship Id="rId31" Type="http://schemas.openxmlformats.org/officeDocument/2006/relationships/chart" Target="../charts/chart51.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 Id="rId22" Type="http://schemas.openxmlformats.org/officeDocument/2006/relationships/chart" Target="../charts/chart42.xml"/><Relationship Id="rId27" Type="http://schemas.openxmlformats.org/officeDocument/2006/relationships/chart" Target="../charts/chart47.xml"/><Relationship Id="rId30" Type="http://schemas.openxmlformats.org/officeDocument/2006/relationships/chart" Target="../charts/chart50.xml"/><Relationship Id="rId35" Type="http://schemas.openxmlformats.org/officeDocument/2006/relationships/chart" Target="../charts/chart55.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56028</xdr:colOff>
      <xdr:row>0</xdr:row>
      <xdr:rowOff>0</xdr:rowOff>
    </xdr:from>
    <xdr:to>
      <xdr:col>8</xdr:col>
      <xdr:colOff>918881</xdr:colOff>
      <xdr:row>0</xdr:row>
      <xdr:rowOff>494985</xdr:rowOff>
    </xdr:to>
    <xdr:pic>
      <xdr:nvPicPr>
        <xdr:cNvPr id="2" name="Picture 1" descr="ESBC Colour JPG small .jpg"/>
        <xdr:cNvPicPr>
          <a:picLocks noChangeAspect="1"/>
        </xdr:cNvPicPr>
      </xdr:nvPicPr>
      <xdr:blipFill>
        <a:blip xmlns:r="http://schemas.openxmlformats.org/officeDocument/2006/relationships" r:embed="rId1" cstate="print"/>
        <a:stretch>
          <a:fillRect/>
        </a:stretch>
      </xdr:blipFill>
      <xdr:spPr>
        <a:xfrm>
          <a:off x="13435852" y="0"/>
          <a:ext cx="862853" cy="494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84</xdr:row>
      <xdr:rowOff>0</xdr:rowOff>
    </xdr:from>
    <xdr:to>
      <xdr:col>8</xdr:col>
      <xdr:colOff>600074</xdr:colOff>
      <xdr:row>98</xdr:row>
      <xdr:rowOff>180975</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10</xdr:col>
      <xdr:colOff>0</xdr:colOff>
      <xdr:row>84</xdr:row>
      <xdr:rowOff>0</xdr:rowOff>
    </xdr:from>
    <xdr:to>
      <xdr:col>18</xdr:col>
      <xdr:colOff>0</xdr:colOff>
      <xdr:row>98</xdr:row>
      <xdr:rowOff>180975</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19</xdr:col>
      <xdr:colOff>0</xdr:colOff>
      <xdr:row>84</xdr:row>
      <xdr:rowOff>0</xdr:rowOff>
    </xdr:from>
    <xdr:to>
      <xdr:col>27</xdr:col>
      <xdr:colOff>0</xdr:colOff>
      <xdr:row>98</xdr:row>
      <xdr:rowOff>180975</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28</xdr:col>
      <xdr:colOff>0</xdr:colOff>
      <xdr:row>84</xdr:row>
      <xdr:rowOff>0</xdr:rowOff>
    </xdr:from>
    <xdr:to>
      <xdr:col>36</xdr:col>
      <xdr:colOff>0</xdr:colOff>
      <xdr:row>98</xdr:row>
      <xdr:rowOff>180975</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37</xdr:col>
      <xdr:colOff>0</xdr:colOff>
      <xdr:row>84</xdr:row>
      <xdr:rowOff>0</xdr:rowOff>
    </xdr:from>
    <xdr:to>
      <xdr:col>45</xdr:col>
      <xdr:colOff>0</xdr:colOff>
      <xdr:row>98</xdr:row>
      <xdr:rowOff>180975</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100</xdr:row>
      <xdr:rowOff>0</xdr:rowOff>
    </xdr:from>
    <xdr:to>
      <xdr:col>8</xdr:col>
      <xdr:colOff>600074</xdr:colOff>
      <xdr:row>114</xdr:row>
      <xdr:rowOff>180975</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10</xdr:col>
      <xdr:colOff>0</xdr:colOff>
      <xdr:row>100</xdr:row>
      <xdr:rowOff>0</xdr:rowOff>
    </xdr:from>
    <xdr:to>
      <xdr:col>18</xdr:col>
      <xdr:colOff>0</xdr:colOff>
      <xdr:row>114</xdr:row>
      <xdr:rowOff>180975</xdr:rowOff>
    </xdr:to>
    <xdr:graphicFrame macro="">
      <xdr:nvGraphicFramePr>
        <xdr:cNvPr id="3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19</xdr:col>
      <xdr:colOff>0</xdr:colOff>
      <xdr:row>100</xdr:row>
      <xdr:rowOff>0</xdr:rowOff>
    </xdr:from>
    <xdr:to>
      <xdr:col>27</xdr:col>
      <xdr:colOff>0</xdr:colOff>
      <xdr:row>114</xdr:row>
      <xdr:rowOff>180975</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28</xdr:col>
      <xdr:colOff>0</xdr:colOff>
      <xdr:row>100</xdr:row>
      <xdr:rowOff>0</xdr:rowOff>
    </xdr:from>
    <xdr:to>
      <xdr:col>36</xdr:col>
      <xdr:colOff>0</xdr:colOff>
      <xdr:row>114</xdr:row>
      <xdr:rowOff>180975</xdr:rowOff>
    </xdr:to>
    <xdr:graphicFrame macro="">
      <xdr:nvGraphicFramePr>
        <xdr:cNvPr id="3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37</xdr:col>
      <xdr:colOff>0</xdr:colOff>
      <xdr:row>100</xdr:row>
      <xdr:rowOff>0</xdr:rowOff>
    </xdr:from>
    <xdr:to>
      <xdr:col>45</xdr:col>
      <xdr:colOff>0</xdr:colOff>
      <xdr:row>114</xdr:row>
      <xdr:rowOff>180975</xdr:rowOff>
    </xdr:to>
    <xdr:graphicFrame macro="">
      <xdr:nvGraphicFramePr>
        <xdr:cNvPr id="3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1738216</xdr:colOff>
      <xdr:row>2</xdr:row>
      <xdr:rowOff>276224</xdr:rowOff>
    </xdr:from>
    <xdr:to>
      <xdr:col>0</xdr:col>
      <xdr:colOff>2023584</xdr:colOff>
      <xdr:row>3</xdr:row>
      <xdr:rowOff>200025</xdr:rowOff>
    </xdr:to>
    <xdr:pic>
      <xdr:nvPicPr>
        <xdr:cNvPr id="409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738216" y="847724"/>
          <a:ext cx="285368" cy="228601"/>
        </a:xfrm>
        <a:prstGeom prst="rect">
          <a:avLst/>
        </a:prstGeom>
        <a:noFill/>
        <a:ln w="1">
          <a:noFill/>
          <a:miter lim="800000"/>
          <a:headEnd/>
          <a:tailEnd type="none" w="med" len="med"/>
        </a:ln>
        <a:effec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ames Abbott" refreshedDate="43280.445972337962" createdVersion="5" refreshedVersion="5" minRefreshableVersion="3" recordCount="125">
  <cacheSource type="worksheet">
    <worksheetSource ref="F3:AA128" sheet="1. ALL DATA"/>
  </cacheSource>
  <cacheFields count="22">
    <cacheField name="Quarter 1 _x000a_(April - June 2018)" numFmtId="0">
      <sharedItems containsNonDate="0" containsString="0" containsBlank="1"/>
    </cacheField>
    <cacheField name="End of year forecast as at end of Q1_x000a_(NUMERICAL INDICATORS ONLY)" numFmtId="0">
      <sharedItems containsNonDate="0" containsString="0" containsBlank="1"/>
    </cacheField>
    <cacheField name="Quarter 1 On Track? (R/A/G)" numFmtId="0">
      <sharedItems containsBlank="1"/>
    </cacheField>
    <cacheField name="Comments / Further action (Q1)_x000a_(IF APPLICABLE)" numFmtId="0">
      <sharedItems containsNonDate="0" containsString="0" containsBlank="1"/>
    </cacheField>
    <cacheField name="Quarter 2 _x000a_(July - Sept 2017)" numFmtId="0">
      <sharedItems containsNonDate="0" containsString="0" containsBlank="1"/>
    </cacheField>
    <cacheField name="Year to Date_x000a_(April - Sept 2018)_x000a_(NUMERICAL INDICATORS ONLY)" numFmtId="0">
      <sharedItems containsNonDate="0" containsString="0" containsBlank="1"/>
    </cacheField>
    <cacheField name="End of year forecast as at end of Q2_x000a_(NUMERICAL INDICATORS ONLY)" numFmtId="0">
      <sharedItems containsNonDate="0" containsString="0" containsBlank="1"/>
    </cacheField>
    <cacheField name="Quarter 2 On track? (R/A/G)" numFmtId="0">
      <sharedItems containsBlank="1"/>
    </cacheField>
    <cacheField name="Comments / Further action (Q2)_x000a_(IF APPLICABLE)" numFmtId="0">
      <sharedItems containsNonDate="0" containsString="0" containsBlank="1"/>
    </cacheField>
    <cacheField name="Quarter 3 _x000a_(Oct - Dec 2018)" numFmtId="0">
      <sharedItems containsNonDate="0" containsString="0" containsBlank="1"/>
    </cacheField>
    <cacheField name="Year to Date_x000a_(April - Dec 2018)_x000a_(NUMERICAL INDICATORS ONLY)" numFmtId="0">
      <sharedItems containsNonDate="0" containsString="0" containsBlank="1"/>
    </cacheField>
    <cacheField name="End of year forecast as at end of Q3_x000a_(NUMERICAL INDICATORS ONLY)" numFmtId="0">
      <sharedItems containsNonDate="0" containsString="0" containsBlank="1"/>
    </cacheField>
    <cacheField name="Quarter 3 On track? (R/A/G)" numFmtId="0">
      <sharedItems containsBlank="1"/>
    </cacheField>
    <cacheField name="Comments / Further action (Q3)_x000a_(IF APPLICABLE)" numFmtId="0">
      <sharedItems containsNonDate="0" containsString="0" containsBlank="1"/>
    </cacheField>
    <cacheField name="Quarter 4 _x000a_(Jan - March 2018)" numFmtId="0">
      <sharedItems containsNonDate="0" containsString="0" containsBlank="1"/>
    </cacheField>
    <cacheField name="Cumulative Annual Outturn_x000a_(April 2018 - March 2019)_x000a_(NUMERICAL INDICATORS ONLY)" numFmtId="0">
      <sharedItems containsNonDate="0" containsString="0" containsBlank="1" count="1">
        <m/>
      </sharedItems>
    </cacheField>
    <cacheField name="End of Year Achieved? (R/A/G)" numFmtId="0">
      <sharedItems containsBlank="1"/>
    </cacheField>
    <cacheField name="Comments / Further action (Q4)_x000a_(IF APPLICABLE)" numFmtId="0">
      <sharedItems containsNonDate="0" containsString="0" containsBlank="1"/>
    </cacheField>
    <cacheField name="Priority" numFmtId="0">
      <sharedItems containsBlank="1" count="4">
        <m/>
        <s v="Value for Money Council Services"/>
        <s v="Promoting Local Economic Growth"/>
        <s v="Protecting and Strengthening Communities"/>
      </sharedItems>
    </cacheField>
    <cacheField name="Portfolio" numFmtId="0">
      <sharedItems containsBlank="1" count="8">
        <m/>
        <s v="Leader of the Council"/>
        <s v="Cultural Services"/>
        <s v="Environment"/>
        <s v="Planning"/>
        <s v="Regulatory Services"/>
        <s v="Housing and Homelessness"/>
        <s v="Regeneration"/>
      </sharedItems>
    </cacheField>
    <cacheField name="Service" numFmtId="0">
      <sharedItems containsBlank="1"/>
    </cacheField>
    <cacheField name="Team"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5">
  <r>
    <m/>
    <m/>
    <m/>
    <m/>
    <m/>
    <m/>
    <m/>
    <m/>
    <m/>
    <m/>
    <m/>
    <m/>
    <m/>
    <m/>
    <m/>
    <x v="0"/>
    <m/>
    <m/>
    <x v="0"/>
    <x v="0"/>
    <m/>
    <m/>
  </r>
  <r>
    <m/>
    <m/>
    <s v="Update not Provided"/>
    <m/>
    <m/>
    <m/>
    <m/>
    <s v="Update not Provided"/>
    <m/>
    <m/>
    <m/>
    <m/>
    <s v="Update not Provided"/>
    <m/>
    <m/>
    <x v="0"/>
    <s v="Update not provided"/>
    <m/>
    <x v="1"/>
    <x v="1"/>
    <s v="Sal Khan"/>
    <s v="Finance"/>
  </r>
  <r>
    <m/>
    <m/>
    <s v="Update not Provided"/>
    <m/>
    <m/>
    <m/>
    <m/>
    <s v="Update not Provided"/>
    <m/>
    <m/>
    <m/>
    <m/>
    <s v="Update not Provided"/>
    <m/>
    <m/>
    <x v="0"/>
    <s v="Update not provided"/>
    <m/>
    <x v="1"/>
    <x v="1"/>
    <s v="Sal Khan"/>
    <s v="Finance"/>
  </r>
  <r>
    <m/>
    <m/>
    <s v="Update not Provided"/>
    <m/>
    <m/>
    <m/>
    <m/>
    <s v="Update not Provided"/>
    <m/>
    <m/>
    <m/>
    <m/>
    <s v="Update not Provided"/>
    <m/>
    <m/>
    <x v="0"/>
    <s v="Update not provided"/>
    <m/>
    <x v="1"/>
    <x v="1"/>
    <s v="Sal Khan"/>
    <s v="Finance"/>
  </r>
  <r>
    <m/>
    <m/>
    <s v="Update not Provided"/>
    <m/>
    <m/>
    <m/>
    <m/>
    <s v="Update not Provided"/>
    <m/>
    <m/>
    <m/>
    <m/>
    <s v="Update not Provided"/>
    <m/>
    <m/>
    <x v="0"/>
    <s v="Update not provided"/>
    <m/>
    <x v="1"/>
    <x v="1"/>
    <s v="Sal Khan"/>
    <s v="Finance"/>
  </r>
  <r>
    <m/>
    <m/>
    <s v="Update not Provided"/>
    <m/>
    <m/>
    <m/>
    <m/>
    <s v="Update not Provided"/>
    <m/>
    <m/>
    <m/>
    <m/>
    <s v="Update not Provided"/>
    <m/>
    <m/>
    <x v="0"/>
    <s v="Update not provided"/>
    <m/>
    <x v="1"/>
    <x v="1"/>
    <s v="Sal Khan"/>
    <s v="Finance"/>
  </r>
  <r>
    <m/>
    <m/>
    <s v="Update not Provided"/>
    <m/>
    <m/>
    <m/>
    <m/>
    <s v="Update not Provided"/>
    <m/>
    <m/>
    <m/>
    <m/>
    <s v="Update not Provided"/>
    <m/>
    <m/>
    <x v="0"/>
    <s v="Update not provided"/>
    <m/>
    <x v="1"/>
    <x v="1"/>
    <s v="Sal Khan"/>
    <s v="Finance"/>
  </r>
  <r>
    <m/>
    <m/>
    <s v="Update not Provided"/>
    <m/>
    <m/>
    <m/>
    <m/>
    <s v="Update not Provided"/>
    <m/>
    <m/>
    <m/>
    <m/>
    <s v="Update not Provided"/>
    <m/>
    <m/>
    <x v="0"/>
    <s v="Update not provided"/>
    <m/>
    <x v="1"/>
    <x v="1"/>
    <s v="Sal Khan"/>
    <s v="Democratic Services"/>
  </r>
  <r>
    <m/>
    <m/>
    <s v="Update not Provided"/>
    <m/>
    <m/>
    <m/>
    <m/>
    <s v="Update not Provided"/>
    <m/>
    <m/>
    <m/>
    <m/>
    <s v="Update not Provided"/>
    <m/>
    <m/>
    <x v="0"/>
    <s v="Update not provided"/>
    <m/>
    <x v="1"/>
    <x v="1"/>
    <s v="Sal Khan"/>
    <s v="P&amp;T / FMU / Legal"/>
  </r>
  <r>
    <m/>
    <m/>
    <s v="Update not Provided"/>
    <m/>
    <m/>
    <m/>
    <m/>
    <s v="Update not Provided"/>
    <m/>
    <m/>
    <m/>
    <m/>
    <s v="Update not Provided"/>
    <m/>
    <m/>
    <x v="0"/>
    <s v="Update not provided"/>
    <m/>
    <x v="1"/>
    <x v="1"/>
    <s v="Sal Khan"/>
    <s v="P&amp;T / FMU / Legal"/>
  </r>
  <r>
    <m/>
    <m/>
    <s v="Update not Provided"/>
    <m/>
    <m/>
    <m/>
    <m/>
    <s v="Update not Provided"/>
    <m/>
    <m/>
    <m/>
    <m/>
    <s v="Update not Provided"/>
    <m/>
    <m/>
    <x v="0"/>
    <s v="Update not provided"/>
    <m/>
    <x v="1"/>
    <x v="1"/>
    <s v="Sal Khan"/>
    <s v="ICT"/>
  </r>
  <r>
    <m/>
    <m/>
    <s v="Update not Provided"/>
    <m/>
    <m/>
    <m/>
    <m/>
    <s v="Update not Provided"/>
    <m/>
    <m/>
    <m/>
    <m/>
    <s v="Update not Provided"/>
    <m/>
    <m/>
    <x v="0"/>
    <s v="Update not provided"/>
    <m/>
    <x v="1"/>
    <x v="1"/>
    <s v="Andy O'Brien"/>
    <s v="HR&amp;P"/>
  </r>
  <r>
    <m/>
    <m/>
    <s v="Update not Provided"/>
    <m/>
    <m/>
    <m/>
    <m/>
    <s v="Update not Provided"/>
    <m/>
    <m/>
    <m/>
    <m/>
    <s v="Update not Provided"/>
    <m/>
    <m/>
    <x v="0"/>
    <s v="Update not provided"/>
    <m/>
    <x v="1"/>
    <x v="1"/>
    <s v="Andy O'Brien"/>
    <s v="HR&amp;P"/>
  </r>
  <r>
    <m/>
    <m/>
    <s v="Update not Provided"/>
    <m/>
    <m/>
    <m/>
    <m/>
    <s v="Update not Provided"/>
    <m/>
    <m/>
    <m/>
    <m/>
    <s v="Update not Provided"/>
    <m/>
    <m/>
    <x v="0"/>
    <s v="Update not provided"/>
    <m/>
    <x v="1"/>
    <x v="1"/>
    <s v="Andy O'Brien"/>
    <s v="HR&amp;P"/>
  </r>
  <r>
    <m/>
    <m/>
    <s v="Update not Provided"/>
    <m/>
    <m/>
    <m/>
    <m/>
    <s v="Update not Provided"/>
    <m/>
    <m/>
    <m/>
    <m/>
    <s v="Update not Provided"/>
    <m/>
    <m/>
    <x v="0"/>
    <s v="Update not provided"/>
    <m/>
    <x v="1"/>
    <x v="1"/>
    <s v="Andy O'Brien"/>
    <s v="Legal"/>
  </r>
  <r>
    <m/>
    <m/>
    <s v="Update not Provided"/>
    <m/>
    <m/>
    <m/>
    <m/>
    <s v="Update not Provided"/>
    <m/>
    <m/>
    <m/>
    <m/>
    <s v="Update not Provided"/>
    <m/>
    <m/>
    <x v="0"/>
    <s v="Update not provided"/>
    <m/>
    <x v="1"/>
    <x v="1"/>
    <s v="Andy O'Brien"/>
    <s v="Assets"/>
  </r>
  <r>
    <m/>
    <m/>
    <s v="Update not Provided"/>
    <m/>
    <m/>
    <m/>
    <m/>
    <s v="Update not Provided"/>
    <m/>
    <m/>
    <m/>
    <m/>
    <s v="Update not Provided"/>
    <m/>
    <m/>
    <x v="0"/>
    <s v="Update not provided"/>
    <m/>
    <x v="1"/>
    <x v="2"/>
    <s v="Mark Rizk"/>
    <s v="Leisure / Arts"/>
  </r>
  <r>
    <m/>
    <m/>
    <s v="Update not Provided"/>
    <m/>
    <m/>
    <m/>
    <m/>
    <s v="Update not Provided"/>
    <m/>
    <m/>
    <m/>
    <m/>
    <s v="Update not Provided"/>
    <m/>
    <m/>
    <x v="0"/>
    <s v="Update not provided"/>
    <m/>
    <x v="1"/>
    <x v="2"/>
    <s v="Mark Rizk"/>
    <s v="Leisure / Arts"/>
  </r>
  <r>
    <m/>
    <m/>
    <s v="Update not Provided"/>
    <m/>
    <m/>
    <m/>
    <m/>
    <s v="Update not Provided"/>
    <m/>
    <m/>
    <m/>
    <m/>
    <s v="Update not Provided"/>
    <m/>
    <m/>
    <x v="0"/>
    <s v="Update not provided"/>
    <m/>
    <x v="1"/>
    <x v="2"/>
    <s v="Mark Rizk"/>
    <s v="Leisure / Arts"/>
  </r>
  <r>
    <m/>
    <m/>
    <s v="Update not Provided"/>
    <m/>
    <m/>
    <m/>
    <m/>
    <s v="Update not Provided"/>
    <m/>
    <m/>
    <m/>
    <m/>
    <s v="Update not Provided"/>
    <m/>
    <m/>
    <x v="0"/>
    <s v="Update not provided"/>
    <m/>
    <x v="1"/>
    <x v="2"/>
    <s v="Mark Rizk"/>
    <s v="Marketing"/>
  </r>
  <r>
    <m/>
    <m/>
    <s v="Update not Provided"/>
    <m/>
    <m/>
    <m/>
    <m/>
    <s v="Update not Provided"/>
    <m/>
    <m/>
    <m/>
    <m/>
    <s v="Update not Provided"/>
    <m/>
    <m/>
    <x v="0"/>
    <s v="Update not provided"/>
    <m/>
    <x v="1"/>
    <x v="2"/>
    <s v="Mark Rizk"/>
    <s v="Marketing"/>
  </r>
  <r>
    <m/>
    <m/>
    <s v="Update not Provided"/>
    <m/>
    <m/>
    <m/>
    <m/>
    <s v="Update not Provided"/>
    <m/>
    <m/>
    <m/>
    <m/>
    <s v="Update not Provided"/>
    <m/>
    <m/>
    <x v="0"/>
    <s v="Update not provided"/>
    <m/>
    <x v="1"/>
    <x v="2"/>
    <s v="Mark Rizk"/>
    <s v="Brewhouse / Arts"/>
  </r>
  <r>
    <m/>
    <m/>
    <s v="Update not Provided"/>
    <m/>
    <m/>
    <m/>
    <m/>
    <s v="Update not Provided"/>
    <m/>
    <m/>
    <m/>
    <m/>
    <s v="Update not Provided"/>
    <m/>
    <m/>
    <x v="0"/>
    <s v="Update not provided"/>
    <m/>
    <x v="1"/>
    <x v="2"/>
    <s v="Mark Rizk"/>
    <s v="Facilities"/>
  </r>
  <r>
    <m/>
    <m/>
    <s v="Update not Provided"/>
    <m/>
    <m/>
    <m/>
    <m/>
    <s v="Update not Provided"/>
    <m/>
    <m/>
    <m/>
    <m/>
    <s v="Update not Provided"/>
    <m/>
    <m/>
    <x v="0"/>
    <s v="Update not provided"/>
    <m/>
    <x v="1"/>
    <x v="3"/>
    <s v="Sal Khan"/>
    <s v="Building Consultancy"/>
  </r>
  <r>
    <m/>
    <m/>
    <s v="Update not Provided"/>
    <m/>
    <m/>
    <m/>
    <m/>
    <s v="Update not Provided"/>
    <m/>
    <m/>
    <m/>
    <m/>
    <s v="Update not Provided"/>
    <m/>
    <m/>
    <x v="0"/>
    <s v="Update not provided"/>
    <m/>
    <x v="1"/>
    <x v="3"/>
    <s v="Sal Khan"/>
    <s v="Building Consultancy"/>
  </r>
  <r>
    <m/>
    <m/>
    <s v="Update not Provided"/>
    <m/>
    <m/>
    <m/>
    <m/>
    <s v="Update not Provided"/>
    <m/>
    <m/>
    <m/>
    <m/>
    <s v="Update not Provided"/>
    <m/>
    <m/>
    <x v="0"/>
    <s v="Update not provided"/>
    <m/>
    <x v="1"/>
    <x v="3"/>
    <s v="Sal Khan"/>
    <s v="Environment"/>
  </r>
  <r>
    <m/>
    <m/>
    <s v="Update not Provided"/>
    <m/>
    <m/>
    <m/>
    <m/>
    <s v="Update not Provided"/>
    <m/>
    <m/>
    <m/>
    <m/>
    <s v="Update not Provided"/>
    <m/>
    <m/>
    <x v="0"/>
    <s v="Update not provided"/>
    <m/>
    <x v="1"/>
    <x v="3"/>
    <s v="Sal Khan"/>
    <s v="Environment"/>
  </r>
  <r>
    <m/>
    <m/>
    <s v="Update not Provided"/>
    <m/>
    <m/>
    <m/>
    <m/>
    <s v="Update not Provided"/>
    <m/>
    <m/>
    <m/>
    <m/>
    <s v="Update not Provided"/>
    <m/>
    <m/>
    <x v="0"/>
    <s v="Update not provided"/>
    <m/>
    <x v="1"/>
    <x v="3"/>
    <s v="Sal Khan"/>
    <s v="Environment"/>
  </r>
  <r>
    <m/>
    <m/>
    <s v="Update not Provided"/>
    <m/>
    <m/>
    <m/>
    <m/>
    <s v="Update not Provided"/>
    <m/>
    <m/>
    <m/>
    <m/>
    <s v="Update not Provided"/>
    <m/>
    <m/>
    <x v="0"/>
    <s v="Update not provided"/>
    <m/>
    <x v="1"/>
    <x v="3"/>
    <s v="Sal Khan"/>
    <s v="Environment"/>
  </r>
  <r>
    <m/>
    <m/>
    <s v="Update not Provided"/>
    <m/>
    <m/>
    <m/>
    <m/>
    <s v="Update not Provided"/>
    <m/>
    <m/>
    <m/>
    <m/>
    <s v="Update not Provided"/>
    <m/>
    <m/>
    <x v="0"/>
    <s v="Update not provided"/>
    <m/>
    <x v="1"/>
    <x v="3"/>
    <s v="Sal Khan"/>
    <s v="Environment"/>
  </r>
  <r>
    <m/>
    <m/>
    <s v="Update not Provided"/>
    <m/>
    <m/>
    <m/>
    <m/>
    <s v="Update not Provided"/>
    <m/>
    <m/>
    <m/>
    <m/>
    <s v="Update not Provided"/>
    <m/>
    <m/>
    <x v="0"/>
    <s v="Update not provided"/>
    <m/>
    <x v="1"/>
    <x v="3"/>
    <s v="Sal Khan"/>
    <s v="Environment"/>
  </r>
  <r>
    <m/>
    <m/>
    <s v="Update not Provided"/>
    <m/>
    <m/>
    <m/>
    <m/>
    <s v="Update not Provided"/>
    <m/>
    <m/>
    <m/>
    <m/>
    <s v="Update not Provided"/>
    <m/>
    <m/>
    <x v="0"/>
    <s v="Update not provided"/>
    <m/>
    <x v="1"/>
    <x v="4"/>
    <s v="Sal Khan"/>
    <s v="Planning"/>
  </r>
  <r>
    <m/>
    <m/>
    <s v="Update not Provided"/>
    <m/>
    <m/>
    <m/>
    <m/>
    <s v="Update not Provided"/>
    <m/>
    <m/>
    <m/>
    <m/>
    <s v="Update not Provided"/>
    <m/>
    <m/>
    <x v="0"/>
    <s v="Update not provided"/>
    <m/>
    <x v="1"/>
    <x v="4"/>
    <s v="Sal Khan"/>
    <s v="Planning"/>
  </r>
  <r>
    <m/>
    <m/>
    <s v="Update not Provided"/>
    <m/>
    <m/>
    <m/>
    <m/>
    <s v="Update not Provided"/>
    <m/>
    <m/>
    <m/>
    <m/>
    <s v="Update not Provided"/>
    <m/>
    <m/>
    <x v="0"/>
    <s v="Update not provided"/>
    <m/>
    <x v="1"/>
    <x v="4"/>
    <s v="Sal Khan"/>
    <s v="Planning"/>
  </r>
  <r>
    <m/>
    <m/>
    <s v="Update not Provided"/>
    <m/>
    <m/>
    <m/>
    <m/>
    <s v="Update not Provided"/>
    <m/>
    <m/>
    <m/>
    <m/>
    <s v="Update not Provided"/>
    <m/>
    <m/>
    <x v="0"/>
    <s v="Update not provided"/>
    <m/>
    <x v="1"/>
    <x v="4"/>
    <s v="Sal Khan"/>
    <s v="Planning"/>
  </r>
  <r>
    <m/>
    <m/>
    <s v="Update not Provided"/>
    <m/>
    <m/>
    <m/>
    <m/>
    <s v="Update not Provided"/>
    <m/>
    <m/>
    <m/>
    <m/>
    <s v="Update not Provided"/>
    <m/>
    <m/>
    <x v="0"/>
    <s v="Update not provided"/>
    <m/>
    <x v="1"/>
    <x v="4"/>
    <s v="Sal Khan"/>
    <s v="Planning"/>
  </r>
  <r>
    <m/>
    <m/>
    <s v="Update not Provided"/>
    <m/>
    <m/>
    <m/>
    <m/>
    <s v="Update not Provided"/>
    <m/>
    <m/>
    <m/>
    <m/>
    <s v="Update not Provided"/>
    <m/>
    <m/>
    <x v="0"/>
    <s v="Update not provided"/>
    <m/>
    <x v="1"/>
    <x v="5"/>
    <s v="Mark Rizk"/>
    <s v="Environmental Health"/>
  </r>
  <r>
    <m/>
    <m/>
    <s v="Update not Provided"/>
    <m/>
    <m/>
    <m/>
    <m/>
    <s v="Update not Provided"/>
    <m/>
    <m/>
    <m/>
    <m/>
    <s v="Update not Provided"/>
    <m/>
    <m/>
    <x v="0"/>
    <s v="Update not provided"/>
    <m/>
    <x v="1"/>
    <x v="5"/>
    <s v="Mark Rizk"/>
    <s v="Environmental Health"/>
  </r>
  <r>
    <m/>
    <m/>
    <s v="Update not Provided"/>
    <m/>
    <m/>
    <m/>
    <m/>
    <s v="Update not Provided"/>
    <m/>
    <m/>
    <m/>
    <m/>
    <s v="Update not Provided"/>
    <m/>
    <m/>
    <x v="0"/>
    <s v="Update not provided"/>
    <m/>
    <x v="1"/>
    <x v="5"/>
    <s v="Mark Rizk"/>
    <s v="Environmental Health"/>
  </r>
  <r>
    <m/>
    <m/>
    <s v="Update not Provided"/>
    <m/>
    <m/>
    <m/>
    <m/>
    <s v="Update not Provided"/>
    <m/>
    <m/>
    <m/>
    <m/>
    <s v="Update not Provided"/>
    <m/>
    <m/>
    <x v="0"/>
    <s v="Update not provided"/>
    <m/>
    <x v="1"/>
    <x v="5"/>
    <s v="Mark Rizk"/>
    <s v="Environmental Health"/>
  </r>
  <r>
    <m/>
    <m/>
    <s v="Update not Provided"/>
    <m/>
    <m/>
    <m/>
    <m/>
    <s v="Update not Provided"/>
    <m/>
    <m/>
    <m/>
    <m/>
    <s v="Update not Provided"/>
    <m/>
    <m/>
    <x v="0"/>
    <s v="Update not provided"/>
    <m/>
    <x v="1"/>
    <x v="5"/>
    <s v="Mark Rizk"/>
    <s v="Community and Civil Enforcement"/>
  </r>
  <r>
    <m/>
    <m/>
    <s v="Update not Provided"/>
    <m/>
    <m/>
    <m/>
    <m/>
    <s v="Update not Provided"/>
    <m/>
    <m/>
    <m/>
    <m/>
    <s v="Update not Provided"/>
    <m/>
    <m/>
    <x v="0"/>
    <s v="Update not provided"/>
    <m/>
    <x v="1"/>
    <x v="5"/>
    <s v="Andy O'Brien"/>
    <s v="Licensing"/>
  </r>
  <r>
    <m/>
    <m/>
    <s v="Update not Provided"/>
    <m/>
    <m/>
    <m/>
    <m/>
    <s v="Update not Provided"/>
    <m/>
    <m/>
    <m/>
    <m/>
    <s v="Update not Provided"/>
    <m/>
    <m/>
    <x v="0"/>
    <s v="Update not provided"/>
    <m/>
    <x v="1"/>
    <x v="5"/>
    <s v="Andy O'Brien"/>
    <s v="Licensing"/>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 Housing Options"/>
  </r>
  <r>
    <m/>
    <m/>
    <s v="Update not Provided"/>
    <m/>
    <m/>
    <m/>
    <m/>
    <s v="Update not Provided"/>
    <m/>
    <m/>
    <m/>
    <m/>
    <s v="Update not Provided"/>
    <m/>
    <m/>
    <x v="0"/>
    <s v="Update not provided"/>
    <m/>
    <x v="1"/>
    <x v="7"/>
    <s v="Mark Rizk"/>
    <s v="Neighbourhood Working"/>
  </r>
  <r>
    <m/>
    <m/>
    <s v="Update not Provided"/>
    <m/>
    <m/>
    <m/>
    <m/>
    <s v="Update not Provided"/>
    <m/>
    <m/>
    <m/>
    <m/>
    <s v="Update not Provided"/>
    <m/>
    <m/>
    <x v="0"/>
    <s v="Update not provided"/>
    <m/>
    <x v="1"/>
    <x v="7"/>
    <s v="Mark Rizk"/>
    <s v="Neighbourhood Working"/>
  </r>
  <r>
    <m/>
    <m/>
    <s v="Update not Provided"/>
    <m/>
    <m/>
    <m/>
    <m/>
    <s v="Update not Provided"/>
    <m/>
    <m/>
    <m/>
    <m/>
    <s v="Update not Provided"/>
    <m/>
    <m/>
    <x v="0"/>
    <s v="Update not provided"/>
    <m/>
    <x v="1"/>
    <x v="7"/>
    <s v="Mark Rizk"/>
    <s v="Neighbourhood Working"/>
  </r>
  <r>
    <m/>
    <m/>
    <m/>
    <m/>
    <m/>
    <m/>
    <m/>
    <m/>
    <m/>
    <m/>
    <m/>
    <m/>
    <m/>
    <m/>
    <m/>
    <x v="0"/>
    <m/>
    <m/>
    <x v="0"/>
    <x v="0"/>
    <m/>
    <m/>
  </r>
  <r>
    <m/>
    <m/>
    <s v="Update not Provided"/>
    <m/>
    <m/>
    <m/>
    <m/>
    <s v="Update not Provided"/>
    <m/>
    <m/>
    <m/>
    <m/>
    <s v="Update not Provided"/>
    <m/>
    <m/>
    <x v="0"/>
    <s v="Update not provided"/>
    <m/>
    <x v="2"/>
    <x v="2"/>
    <s v="Mark Rizk"/>
    <s v="Markets"/>
  </r>
  <r>
    <m/>
    <m/>
    <s v="Update not Provided"/>
    <m/>
    <m/>
    <m/>
    <m/>
    <s v="Update not Provided"/>
    <m/>
    <m/>
    <m/>
    <m/>
    <s v="Update not Provided"/>
    <m/>
    <m/>
    <x v="0"/>
    <s v="Update not provided"/>
    <m/>
    <x v="2"/>
    <x v="4"/>
    <s v="Sal Khan"/>
    <s v="Planning Support"/>
  </r>
  <r>
    <m/>
    <m/>
    <s v="Update not Provided"/>
    <m/>
    <m/>
    <m/>
    <m/>
    <s v="Update not Provided"/>
    <m/>
    <m/>
    <m/>
    <m/>
    <s v="Update not Provided"/>
    <m/>
    <m/>
    <x v="0"/>
    <s v="Update not provided"/>
    <m/>
    <x v="2"/>
    <x v="4"/>
    <s v="Sal Khan"/>
    <s v="Planning Support"/>
  </r>
  <r>
    <m/>
    <m/>
    <s v="Update not Provided"/>
    <m/>
    <m/>
    <m/>
    <m/>
    <s v="Update not Provided"/>
    <m/>
    <m/>
    <m/>
    <m/>
    <s v="Update not Provided"/>
    <m/>
    <m/>
    <x v="0"/>
    <s v="Update not provided"/>
    <m/>
    <x v="2"/>
    <x v="4"/>
    <s v="Sal Khan"/>
    <s v="Planning Support"/>
  </r>
  <r>
    <m/>
    <m/>
    <s v="Update not Provided"/>
    <m/>
    <m/>
    <m/>
    <m/>
    <s v="Update not Provided"/>
    <m/>
    <m/>
    <m/>
    <m/>
    <s v="Update not Provided"/>
    <m/>
    <m/>
    <x v="0"/>
    <s v="Update not provided"/>
    <m/>
    <x v="2"/>
    <x v="4"/>
    <s v="Sal Khan"/>
    <s v="Planning Support"/>
  </r>
  <r>
    <m/>
    <m/>
    <s v="Update not Provided"/>
    <m/>
    <m/>
    <m/>
    <m/>
    <s v="Update not Provided"/>
    <m/>
    <m/>
    <m/>
    <m/>
    <s v="Update not Provided"/>
    <m/>
    <m/>
    <x v="0"/>
    <s v="Update not provided"/>
    <m/>
    <x v="2"/>
    <x v="4"/>
    <s v="Sal Khan"/>
    <s v="Planning"/>
  </r>
  <r>
    <m/>
    <m/>
    <s v="Update not Provided"/>
    <m/>
    <m/>
    <m/>
    <m/>
    <s v="Update not Provided"/>
    <m/>
    <m/>
    <m/>
    <m/>
    <s v="Update not Provided"/>
    <m/>
    <m/>
    <x v="0"/>
    <s v="Update not provided"/>
    <m/>
    <x v="2"/>
    <x v="4"/>
    <s v="Sal Khan"/>
    <s v="Enterprise"/>
  </r>
  <r>
    <m/>
    <m/>
    <s v="Update not Provided"/>
    <m/>
    <m/>
    <m/>
    <m/>
    <s v="Update not Provided"/>
    <m/>
    <m/>
    <m/>
    <m/>
    <s v="Update not Provided"/>
    <m/>
    <m/>
    <x v="0"/>
    <s v="Update not provided"/>
    <m/>
    <x v="2"/>
    <x v="4"/>
    <s v="Sal Khan"/>
    <s v="Planning"/>
  </r>
  <r>
    <m/>
    <m/>
    <s v="Update not Provided"/>
    <m/>
    <m/>
    <m/>
    <m/>
    <s v="Update not Provided"/>
    <m/>
    <m/>
    <m/>
    <m/>
    <s v="Update not Provided"/>
    <m/>
    <m/>
    <x v="0"/>
    <s v="Update not provided"/>
    <m/>
    <x v="2"/>
    <x v="7"/>
    <s v="Andy O'Brien"/>
    <s v="Enterprise"/>
  </r>
  <r>
    <m/>
    <m/>
    <s v="Update not Provided"/>
    <m/>
    <m/>
    <m/>
    <m/>
    <s v="Update not Provided"/>
    <m/>
    <m/>
    <m/>
    <m/>
    <s v="Update not Provided"/>
    <m/>
    <m/>
    <x v="0"/>
    <s v="Update not provided"/>
    <m/>
    <x v="2"/>
    <x v="7"/>
    <s v="Andy O'Brien"/>
    <s v="Enterprise"/>
  </r>
  <r>
    <m/>
    <m/>
    <s v="Update not Provided"/>
    <m/>
    <m/>
    <m/>
    <m/>
    <s v="Update not Provided"/>
    <m/>
    <m/>
    <m/>
    <m/>
    <s v="Update not Provided"/>
    <m/>
    <m/>
    <x v="0"/>
    <s v="Update not provided"/>
    <m/>
    <x v="2"/>
    <x v="7"/>
    <s v="Andy O'Brien"/>
    <s v="Enterprise"/>
  </r>
  <r>
    <m/>
    <m/>
    <s v="Update not Provided"/>
    <m/>
    <m/>
    <m/>
    <m/>
    <s v="Update not Provided"/>
    <m/>
    <m/>
    <m/>
    <m/>
    <s v="Update not Provided"/>
    <m/>
    <m/>
    <x v="0"/>
    <s v="Update not provided"/>
    <m/>
    <x v="2"/>
    <x v="7"/>
    <s v="Andy O'Brien"/>
    <s v="Enterprise"/>
  </r>
  <r>
    <m/>
    <m/>
    <s v="Update not Provided"/>
    <m/>
    <m/>
    <m/>
    <m/>
    <s v="Update not Provided"/>
    <m/>
    <m/>
    <m/>
    <m/>
    <s v="Update not Provided"/>
    <m/>
    <m/>
    <x v="0"/>
    <s v="Update not provided"/>
    <m/>
    <x v="2"/>
    <x v="7"/>
    <s v="Andy O'Brien"/>
    <s v="Enterprise"/>
  </r>
  <r>
    <m/>
    <m/>
    <s v="Update not Provided"/>
    <m/>
    <m/>
    <m/>
    <m/>
    <s v="Update not Provided"/>
    <m/>
    <m/>
    <m/>
    <m/>
    <s v="Update not Provided"/>
    <m/>
    <m/>
    <x v="0"/>
    <s v="Update not provided"/>
    <m/>
    <x v="2"/>
    <x v="7"/>
    <s v="Andy O'Brien"/>
    <s v="Enterprise"/>
  </r>
  <r>
    <m/>
    <m/>
    <m/>
    <m/>
    <m/>
    <m/>
    <m/>
    <m/>
    <m/>
    <m/>
    <m/>
    <m/>
    <m/>
    <m/>
    <m/>
    <x v="0"/>
    <m/>
    <m/>
    <x v="0"/>
    <x v="0"/>
    <m/>
    <m/>
  </r>
  <r>
    <m/>
    <m/>
    <s v="Update not Provided"/>
    <m/>
    <m/>
    <m/>
    <m/>
    <s v="Update not Provided"/>
    <m/>
    <m/>
    <m/>
    <m/>
    <s v="Update not Provided"/>
    <m/>
    <m/>
    <x v="0"/>
    <s v="Update not provided"/>
    <m/>
    <x v="3"/>
    <x v="1"/>
    <s v="Sal Khan"/>
    <s v="Elections"/>
  </r>
  <r>
    <m/>
    <m/>
    <s v="Update not Provided"/>
    <m/>
    <m/>
    <m/>
    <m/>
    <s v="Update not Provided"/>
    <m/>
    <m/>
    <m/>
    <m/>
    <s v="Update not Provided"/>
    <m/>
    <m/>
    <x v="0"/>
    <s v="Update not provided"/>
    <m/>
    <x v="3"/>
    <x v="1"/>
    <s v="Sal Khan"/>
    <s v="Elections"/>
  </r>
  <r>
    <m/>
    <m/>
    <s v="Update not Provided"/>
    <m/>
    <m/>
    <m/>
    <m/>
    <s v="Update not Provided"/>
    <m/>
    <m/>
    <m/>
    <m/>
    <s v="Update not Provided"/>
    <m/>
    <m/>
    <x v="0"/>
    <s v="Update not provided"/>
    <m/>
    <x v="3"/>
    <x v="1"/>
    <s v="Sal Khan"/>
    <s v="Programmes and Transformation"/>
  </r>
  <r>
    <m/>
    <m/>
    <s v="Update not Provided"/>
    <m/>
    <m/>
    <m/>
    <m/>
    <s v="Update not Provided"/>
    <m/>
    <m/>
    <m/>
    <m/>
    <s v="Update not Provided"/>
    <m/>
    <m/>
    <x v="0"/>
    <s v="Update not provided"/>
    <m/>
    <x v="3"/>
    <x v="1"/>
    <s v="Sal Khan"/>
    <s v="Programmes and Transformation"/>
  </r>
  <r>
    <m/>
    <m/>
    <s v="Update not Provided"/>
    <m/>
    <m/>
    <m/>
    <m/>
    <s v="Update not Provided"/>
    <m/>
    <m/>
    <m/>
    <m/>
    <s v="Update not Provided"/>
    <m/>
    <m/>
    <x v="0"/>
    <s v="Update not provided"/>
    <m/>
    <x v="3"/>
    <x v="1"/>
    <s v="Sal Khan"/>
    <s v="Programmes and Transformation"/>
  </r>
  <r>
    <m/>
    <m/>
    <s v="Update not Provided"/>
    <m/>
    <m/>
    <m/>
    <m/>
    <s v="Update not Provided"/>
    <m/>
    <m/>
    <m/>
    <m/>
    <s v="Update not Provided"/>
    <m/>
    <m/>
    <x v="0"/>
    <s v="Update not provided"/>
    <m/>
    <x v="3"/>
    <x v="2"/>
    <s v="Mark Rizk"/>
    <s v="Brewhouse / Arts"/>
  </r>
  <r>
    <m/>
    <m/>
    <s v="Update not Provided"/>
    <m/>
    <m/>
    <m/>
    <m/>
    <s v="Update not Provided"/>
    <m/>
    <m/>
    <m/>
    <m/>
    <s v="Update not Provided"/>
    <m/>
    <m/>
    <x v="0"/>
    <s v="Update not provided"/>
    <m/>
    <x v="3"/>
    <x v="2"/>
    <s v="Mark Rizk"/>
    <s v="Sports Development"/>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Neighbourhood Working"/>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Enterprise"/>
  </r>
  <r>
    <m/>
    <m/>
    <s v="Update not Provided"/>
    <m/>
    <m/>
    <m/>
    <m/>
    <s v="Update not Provided"/>
    <m/>
    <m/>
    <m/>
    <m/>
    <s v="Update not Provided"/>
    <m/>
    <m/>
    <x v="0"/>
    <s v="Update not provided"/>
    <m/>
    <x v="3"/>
    <x v="5"/>
    <s v="Andy O'Brien"/>
    <s v="Enforcement"/>
  </r>
  <r>
    <m/>
    <m/>
    <s v="Update not Provided"/>
    <m/>
    <m/>
    <m/>
    <m/>
    <s v="Update not Provided"/>
    <m/>
    <m/>
    <m/>
    <m/>
    <s v="Update not Provided"/>
    <m/>
    <m/>
    <x v="0"/>
    <s v="Update not provided"/>
    <m/>
    <x v="3"/>
    <x v="5"/>
    <s v="Mark Rizk"/>
    <s v="Community and Civil Enforcement"/>
  </r>
  <r>
    <m/>
    <m/>
    <s v="Update not Provided"/>
    <m/>
    <m/>
    <m/>
    <m/>
    <s v="Update not Provided"/>
    <m/>
    <m/>
    <m/>
    <m/>
    <s v="Update not Provided"/>
    <m/>
    <m/>
    <x v="0"/>
    <s v="Update not provided"/>
    <m/>
    <x v="3"/>
    <x v="5"/>
    <s v="Mark Rizk"/>
    <s v="Environmental Health"/>
  </r>
  <r>
    <m/>
    <m/>
    <s v="Update not Provided"/>
    <m/>
    <m/>
    <m/>
    <m/>
    <s v="Update not Provided"/>
    <m/>
    <m/>
    <m/>
    <m/>
    <s v="Update not Provided"/>
    <m/>
    <m/>
    <x v="0"/>
    <s v="Update not provided"/>
    <m/>
    <x v="3"/>
    <x v="5"/>
    <s v="Mark Rizk"/>
    <s v="Environmental Health"/>
  </r>
  <r>
    <m/>
    <m/>
    <s v="Update not Provided"/>
    <m/>
    <m/>
    <m/>
    <m/>
    <s v="Update not Provided"/>
    <m/>
    <m/>
    <m/>
    <m/>
    <s v="Update not Provided"/>
    <m/>
    <m/>
    <x v="0"/>
    <s v="Update not provided"/>
    <m/>
    <x v="3"/>
    <x v="5"/>
    <s v="Mark Rizk"/>
    <s v="Environmental Health"/>
  </r>
  <r>
    <m/>
    <m/>
    <s v="Update not Provided"/>
    <m/>
    <m/>
    <m/>
    <m/>
    <s v="Update not Provided"/>
    <m/>
    <m/>
    <m/>
    <m/>
    <s v="Update not Provided"/>
    <m/>
    <m/>
    <x v="0"/>
    <s v="Update not provided"/>
    <m/>
    <x v="3"/>
    <x v="5"/>
    <s v="Mark Rizk"/>
    <s v="Environmental Health"/>
  </r>
  <r>
    <m/>
    <m/>
    <s v="Update not Provided"/>
    <m/>
    <m/>
    <m/>
    <m/>
    <s v="Update not Provided"/>
    <m/>
    <m/>
    <m/>
    <m/>
    <s v="Update not Provided"/>
    <m/>
    <m/>
    <x v="0"/>
    <s v="Update not provided"/>
    <m/>
    <x v="3"/>
    <x v="5"/>
    <s v="Mark Rizk"/>
    <s v="Environmental Health"/>
  </r>
  <r>
    <m/>
    <m/>
    <s v="Update not Provided"/>
    <m/>
    <m/>
    <m/>
    <m/>
    <s v="Update not Provided"/>
    <m/>
    <m/>
    <m/>
    <m/>
    <s v="Update not Provided"/>
    <m/>
    <m/>
    <x v="0"/>
    <s v="Update not provided"/>
    <m/>
    <x v="3"/>
    <x v="6"/>
    <s v="Sal Khan"/>
    <s v="Housing Options"/>
  </r>
  <r>
    <m/>
    <m/>
    <s v="Update not Provided"/>
    <m/>
    <m/>
    <m/>
    <m/>
    <s v="Update not Provided"/>
    <m/>
    <m/>
    <m/>
    <m/>
    <s v="Update not Provided"/>
    <m/>
    <m/>
    <x v="0"/>
    <s v="Update not provided"/>
    <m/>
    <x v="3"/>
    <x v="6"/>
    <s v="Sal Khan"/>
    <s v="Housing Options"/>
  </r>
  <r>
    <m/>
    <m/>
    <s v="Update not Provided"/>
    <m/>
    <m/>
    <m/>
    <m/>
    <s v="Update not Provided"/>
    <m/>
    <m/>
    <m/>
    <m/>
    <s v="Update not Provided"/>
    <m/>
    <m/>
    <x v="0"/>
    <s v="Update not provided"/>
    <m/>
    <x v="3"/>
    <x v="6"/>
    <s v="Sal Khan"/>
    <s v="Housing Options"/>
  </r>
  <r>
    <m/>
    <m/>
    <s v="Update not Provided"/>
    <m/>
    <m/>
    <m/>
    <m/>
    <s v="Update not Provided"/>
    <m/>
    <m/>
    <m/>
    <m/>
    <s v="Update not Provided"/>
    <m/>
    <m/>
    <x v="0"/>
    <s v="Update not provided"/>
    <m/>
    <x v="3"/>
    <x v="6"/>
    <s v="Sal Khan"/>
    <s v="Housing Options"/>
  </r>
  <r>
    <m/>
    <m/>
    <s v="Update not Provided"/>
    <m/>
    <m/>
    <m/>
    <m/>
    <s v="Update not Provided"/>
    <m/>
    <m/>
    <m/>
    <m/>
    <s v="Update not Provided"/>
    <m/>
    <m/>
    <x v="0"/>
    <s v="Update not provided"/>
    <m/>
    <x v="3"/>
    <x v="7"/>
    <s v="Mark Rizk"/>
    <s v="Neighbourhood Working"/>
  </r>
  <r>
    <m/>
    <m/>
    <s v="Update not Provided"/>
    <m/>
    <m/>
    <m/>
    <m/>
    <s v="Update not Provided"/>
    <m/>
    <m/>
    <m/>
    <m/>
    <s v="Update not Provided"/>
    <m/>
    <m/>
    <x v="0"/>
    <s v="Update not provided"/>
    <m/>
    <x v="3"/>
    <x v="7"/>
    <s v="Andy O'Brien"/>
    <s v="Programmes and Transformation"/>
  </r>
  <r>
    <m/>
    <m/>
    <s v="Update not Provided"/>
    <m/>
    <m/>
    <m/>
    <m/>
    <s v="Update not Provided"/>
    <m/>
    <m/>
    <m/>
    <m/>
    <s v="Update not Provided"/>
    <m/>
    <m/>
    <x v="0"/>
    <s v="Update not provided"/>
    <m/>
    <x v="3"/>
    <x v="7"/>
    <s v="Andy O'Brien"/>
    <s v="Programmes and Transformation"/>
  </r>
  <r>
    <m/>
    <m/>
    <s v="Update not Provided"/>
    <m/>
    <m/>
    <m/>
    <m/>
    <s v="Update not Provided"/>
    <m/>
    <m/>
    <m/>
    <m/>
    <s v="Update not Provided"/>
    <m/>
    <m/>
    <x v="0"/>
    <s v="Update not provided"/>
    <m/>
    <x v="3"/>
    <x v="7"/>
    <s v="Andy O'Brien"/>
    <s v="Programmes and Transformation"/>
  </r>
  <r>
    <m/>
    <m/>
    <s v="Update not Provided"/>
    <m/>
    <m/>
    <m/>
    <m/>
    <s v="Update not Provided"/>
    <m/>
    <m/>
    <m/>
    <m/>
    <s v="Update not Provided"/>
    <m/>
    <m/>
    <x v="0"/>
    <s v="Update not provided"/>
    <m/>
    <x v="3"/>
    <x v="7"/>
    <s v="Andy O'Brien"/>
    <s v="Programmes and Transformation"/>
  </r>
  <r>
    <m/>
    <m/>
    <s v="Update not Provided"/>
    <m/>
    <m/>
    <m/>
    <m/>
    <s v="Update not Provided"/>
    <m/>
    <m/>
    <m/>
    <m/>
    <s v="Update not Provided"/>
    <m/>
    <m/>
    <x v="0"/>
    <s v="Update not provided"/>
    <m/>
    <x v="3"/>
    <x v="7"/>
    <s v="Andy O'Brien"/>
    <s v="Enterprise"/>
  </r>
  <r>
    <m/>
    <m/>
    <s v="Update not Provided"/>
    <m/>
    <m/>
    <m/>
    <m/>
    <s v="Update not Provided"/>
    <m/>
    <m/>
    <m/>
    <m/>
    <s v="Update not Provided"/>
    <m/>
    <m/>
    <x v="0"/>
    <s v="Update not provided"/>
    <m/>
    <x v="3"/>
    <x v="7"/>
    <s v="Andy O'Brien"/>
    <s v="Enterpris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showCalcMbrs="0" useAutoFormatting="1" itemPrintTitles="1" createdVersion="3" indent="0" outline="1" outlineData="1" multipleFieldFilters="0">
  <location ref="A7:B30" firstHeaderRow="1" firstDataRow="1" firstDataCol="1" rowPageCount="1" colPageCount="1"/>
  <pivotFields count="22">
    <pivotField showAll="0" defaultSubtotal="0"/>
    <pivotField showAll="0" defaultSubtotal="0"/>
    <pivotField showAll="0"/>
    <pivotField showAll="0" defaultSubtotal="0"/>
    <pivotField showAll="0" defaultSubtotal="0"/>
    <pivotField showAll="0" defaultSubtotal="0"/>
    <pivotField showAll="0"/>
    <pivotField showAll="0"/>
    <pivotField showAll="0"/>
    <pivotField showAll="0" defaultSubtotal="0"/>
    <pivotField showAll="0" defaultSubtotal="0"/>
    <pivotField showAll="0" defaultSubtotal="0"/>
    <pivotField showAll="0"/>
    <pivotField showAll="0" defaultSubtotal="0"/>
    <pivotField showAll="0" defaultSubtotal="0"/>
    <pivotField axis="axisPage" showAll="0" defaultSubtotal="0">
      <items count="1">
        <item x="0"/>
      </items>
    </pivotField>
    <pivotField dataField="1" showAll="0"/>
    <pivotField showAll="0" defaultSubtotal="0"/>
    <pivotField axis="axisRow" showAll="0">
      <items count="5">
        <item x="2"/>
        <item x="3"/>
        <item x="1"/>
        <item x="0"/>
        <item t="default"/>
      </items>
    </pivotField>
    <pivotField axis="axisRow" showAll="0" defaultSubtotal="0">
      <items count="8">
        <item x="2"/>
        <item x="3"/>
        <item x="6"/>
        <item x="1"/>
        <item x="4"/>
        <item x="7"/>
        <item x="5"/>
        <item x="0"/>
      </items>
    </pivotField>
    <pivotField showAll="0" defaultSubtotal="0"/>
    <pivotField showAll="0" defaultSubtotal="0"/>
  </pivotFields>
  <rowFields count="2">
    <field x="18"/>
    <field x="19"/>
  </rowFields>
  <rowItems count="23">
    <i>
      <x/>
    </i>
    <i r="1">
      <x/>
    </i>
    <i r="1">
      <x v="4"/>
    </i>
    <i r="1">
      <x v="5"/>
    </i>
    <i>
      <x v="1"/>
    </i>
    <i r="1">
      <x/>
    </i>
    <i r="1">
      <x v="1"/>
    </i>
    <i r="1">
      <x v="2"/>
    </i>
    <i r="1">
      <x v="3"/>
    </i>
    <i r="1">
      <x v="4"/>
    </i>
    <i r="1">
      <x v="5"/>
    </i>
    <i r="1">
      <x v="6"/>
    </i>
    <i>
      <x v="2"/>
    </i>
    <i r="1">
      <x/>
    </i>
    <i r="1">
      <x v="1"/>
    </i>
    <i r="1">
      <x v="2"/>
    </i>
    <i r="1">
      <x v="3"/>
    </i>
    <i r="1">
      <x v="4"/>
    </i>
    <i r="1">
      <x v="5"/>
    </i>
    <i r="1">
      <x v="6"/>
    </i>
    <i>
      <x v="3"/>
    </i>
    <i r="1">
      <x v="7"/>
    </i>
    <i t="grand">
      <x/>
    </i>
  </rowItems>
  <colItems count="1">
    <i/>
  </colItems>
  <pageFields count="1">
    <pageField fld="15" hier="-1"/>
  </pageFields>
  <dataFields count="1">
    <dataField name="Count of End of Year Achieved? (R/A/G)" fld="16" subtotal="count"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I43"/>
  <sheetViews>
    <sheetView zoomScale="70" zoomScaleNormal="70" workbookViewId="0">
      <selection activeCell="A2" sqref="A2"/>
    </sheetView>
  </sheetViews>
  <sheetFormatPr defaultColWidth="9.140625" defaultRowHeight="12.75" x14ac:dyDescent="0.25"/>
  <cols>
    <col min="1" max="1" width="30" style="16" customWidth="1"/>
    <col min="2" max="2" width="26.5703125" style="16" customWidth="1"/>
    <col min="3" max="4" width="25.5703125" style="16" customWidth="1"/>
    <col min="5" max="5" width="16.7109375" style="16" customWidth="1"/>
    <col min="6" max="6" width="28.28515625" style="16" customWidth="1"/>
    <col min="7" max="8" width="25.5703125" style="16" customWidth="1"/>
    <col min="9" max="9" width="20.28515625" style="16" bestFit="1" customWidth="1"/>
    <col min="10" max="16384" width="9.140625" style="16"/>
  </cols>
  <sheetData>
    <row r="1" spans="1:9" ht="43.5" customHeight="1" thickBot="1" x14ac:dyDescent="0.3">
      <c r="A1" s="21" t="s">
        <v>428</v>
      </c>
      <c r="B1" s="21"/>
      <c r="C1" s="12"/>
      <c r="D1" s="12"/>
      <c r="E1" s="12"/>
      <c r="F1" s="12"/>
      <c r="G1" s="12"/>
      <c r="H1" s="12"/>
      <c r="I1" s="12"/>
    </row>
    <row r="2" spans="1:9" s="13" customFormat="1" ht="27" customHeight="1" thickTop="1" thickBot="1" x14ac:dyDescent="0.3">
      <c r="A2" s="19" t="s">
        <v>72</v>
      </c>
      <c r="B2" s="20"/>
      <c r="C2" s="17"/>
      <c r="D2" s="17"/>
      <c r="E2" s="17"/>
      <c r="F2" s="25" t="s">
        <v>50</v>
      </c>
      <c r="G2" s="18" t="s">
        <v>208</v>
      </c>
      <c r="H2" s="18" t="s">
        <v>209</v>
      </c>
      <c r="I2" s="18" t="s">
        <v>210</v>
      </c>
    </row>
    <row r="3" spans="1:9" s="13" customFormat="1" ht="27" customHeight="1" thickTop="1" thickBot="1" x14ac:dyDescent="0.3">
      <c r="A3" s="19" t="s">
        <v>78</v>
      </c>
      <c r="B3" s="20"/>
      <c r="C3" s="17"/>
      <c r="D3" s="17"/>
      <c r="E3" s="17"/>
      <c r="F3" s="25" t="s">
        <v>68</v>
      </c>
      <c r="G3" s="25" t="s">
        <v>69</v>
      </c>
      <c r="H3" s="25" t="s">
        <v>70</v>
      </c>
      <c r="I3" s="25" t="s">
        <v>71</v>
      </c>
    </row>
    <row r="4" spans="1:9" s="13" customFormat="1" ht="27" customHeight="1" thickTop="1" thickBot="1" x14ac:dyDescent="0.3">
      <c r="A4" s="19" t="s">
        <v>73</v>
      </c>
      <c r="B4" s="20"/>
      <c r="C4" s="20"/>
      <c r="D4" s="20"/>
      <c r="E4" s="20"/>
      <c r="F4" s="25" t="s">
        <v>51</v>
      </c>
      <c r="G4" s="20"/>
      <c r="H4" s="20"/>
      <c r="I4" s="18"/>
    </row>
    <row r="5" spans="1:9" ht="8.25" customHeight="1" thickTop="1" x14ac:dyDescent="0.25">
      <c r="B5" s="14"/>
      <c r="C5" s="14"/>
      <c r="D5" s="14"/>
      <c r="E5" s="14"/>
      <c r="F5" s="14"/>
      <c r="G5" s="14"/>
      <c r="H5" s="14"/>
    </row>
    <row r="6" spans="1:9" ht="8.25" customHeight="1" thickBot="1" x14ac:dyDescent="0.3">
      <c r="B6" s="14"/>
      <c r="C6" s="15"/>
      <c r="D6" s="15"/>
      <c r="E6" s="14"/>
      <c r="F6" s="14"/>
      <c r="G6" s="15"/>
      <c r="H6" s="15"/>
    </row>
    <row r="7" spans="1:9" s="38" customFormat="1" ht="55.5" thickTop="1" thickBot="1" x14ac:dyDescent="0.3">
      <c r="A7" s="36"/>
      <c r="B7" s="36"/>
      <c r="C7" s="39" t="s">
        <v>52</v>
      </c>
      <c r="D7" s="39" t="s">
        <v>58</v>
      </c>
      <c r="E7" s="37"/>
      <c r="F7" s="36"/>
      <c r="G7" s="40" t="s">
        <v>59</v>
      </c>
      <c r="H7" s="40" t="s">
        <v>60</v>
      </c>
    </row>
    <row r="8" spans="1:9" s="29" customFormat="1" ht="17.25" thickTop="1" thickBot="1" x14ac:dyDescent="0.3">
      <c r="A8" s="455" t="s">
        <v>61</v>
      </c>
      <c r="B8" s="458" t="s">
        <v>53</v>
      </c>
      <c r="C8" s="27" t="s">
        <v>54</v>
      </c>
      <c r="D8" s="27" t="s">
        <v>54</v>
      </c>
      <c r="E8" s="28"/>
      <c r="F8" s="452" t="s">
        <v>76</v>
      </c>
      <c r="G8" s="27" t="s">
        <v>214</v>
      </c>
      <c r="H8" s="27" t="s">
        <v>214</v>
      </c>
    </row>
    <row r="9" spans="1:9" s="29" customFormat="1" ht="17.25" thickTop="1" thickBot="1" x14ac:dyDescent="0.3">
      <c r="A9" s="456"/>
      <c r="B9" s="458"/>
      <c r="C9" s="27" t="s">
        <v>55</v>
      </c>
      <c r="D9" s="27" t="s">
        <v>55</v>
      </c>
      <c r="E9" s="28"/>
      <c r="F9" s="453"/>
      <c r="G9" s="27" t="s">
        <v>215</v>
      </c>
      <c r="H9" s="27" t="s">
        <v>215</v>
      </c>
    </row>
    <row r="10" spans="1:9" s="29" customFormat="1" ht="17.25" thickTop="1" thickBot="1" x14ac:dyDescent="0.3">
      <c r="A10" s="456"/>
      <c r="B10" s="458"/>
      <c r="C10" s="27" t="s">
        <v>56</v>
      </c>
      <c r="D10" s="27" t="s">
        <v>56</v>
      </c>
      <c r="E10" s="28"/>
      <c r="F10" s="453"/>
      <c r="G10" s="27" t="s">
        <v>216</v>
      </c>
      <c r="H10" s="27" t="s">
        <v>216</v>
      </c>
    </row>
    <row r="11" spans="1:9" s="29" customFormat="1" ht="17.25" thickTop="1" thickBot="1" x14ac:dyDescent="0.3">
      <c r="A11" s="456"/>
      <c r="B11" s="458"/>
      <c r="C11" s="27" t="s">
        <v>57</v>
      </c>
      <c r="D11" s="27" t="s">
        <v>57</v>
      </c>
      <c r="E11" s="28"/>
      <c r="F11" s="454"/>
      <c r="G11" s="27" t="s">
        <v>217</v>
      </c>
      <c r="H11" s="27" t="s">
        <v>217</v>
      </c>
    </row>
    <row r="12" spans="1:9" s="29" customFormat="1" ht="6" customHeight="1" thickTop="1" thickBot="1" x14ac:dyDescent="0.3">
      <c r="A12" s="456"/>
      <c r="B12" s="26"/>
      <c r="C12" s="26"/>
      <c r="D12" s="26"/>
      <c r="E12" s="28"/>
      <c r="F12" s="26"/>
      <c r="G12" s="32"/>
      <c r="H12" s="32"/>
    </row>
    <row r="13" spans="1:9" s="29" customFormat="1" ht="17.25" thickTop="1" thickBot="1" x14ac:dyDescent="0.3">
      <c r="A13" s="456"/>
      <c r="B13" s="458" t="s">
        <v>211</v>
      </c>
      <c r="C13" s="27" t="s">
        <v>54</v>
      </c>
      <c r="D13" s="27" t="s">
        <v>54</v>
      </c>
      <c r="E13" s="28"/>
      <c r="F13" s="452" t="s">
        <v>88</v>
      </c>
      <c r="G13" s="27" t="s">
        <v>214</v>
      </c>
      <c r="H13" s="27" t="s">
        <v>214</v>
      </c>
    </row>
    <row r="14" spans="1:9" s="29" customFormat="1" ht="17.25" thickTop="1" thickBot="1" x14ac:dyDescent="0.3">
      <c r="A14" s="456"/>
      <c r="B14" s="458"/>
      <c r="C14" s="27" t="s">
        <v>55</v>
      </c>
      <c r="D14" s="27" t="s">
        <v>55</v>
      </c>
      <c r="E14" s="28"/>
      <c r="F14" s="453"/>
      <c r="G14" s="27" t="s">
        <v>215</v>
      </c>
      <c r="H14" s="27" t="s">
        <v>215</v>
      </c>
    </row>
    <row r="15" spans="1:9" s="29" customFormat="1" ht="17.25" thickTop="1" thickBot="1" x14ac:dyDescent="0.3">
      <c r="A15" s="456"/>
      <c r="B15" s="458"/>
      <c r="C15" s="27" t="s">
        <v>56</v>
      </c>
      <c r="D15" s="27" t="s">
        <v>56</v>
      </c>
      <c r="E15" s="28"/>
      <c r="F15" s="453"/>
      <c r="G15" s="27" t="s">
        <v>216</v>
      </c>
      <c r="H15" s="27" t="s">
        <v>216</v>
      </c>
    </row>
    <row r="16" spans="1:9" s="29" customFormat="1" ht="17.25" thickTop="1" thickBot="1" x14ac:dyDescent="0.3">
      <c r="A16" s="456"/>
      <c r="B16" s="458"/>
      <c r="C16" s="27" t="s">
        <v>57</v>
      </c>
      <c r="D16" s="27" t="s">
        <v>57</v>
      </c>
      <c r="E16" s="28"/>
      <c r="F16" s="454"/>
      <c r="G16" s="27" t="s">
        <v>217</v>
      </c>
      <c r="H16" s="27" t="s">
        <v>217</v>
      </c>
    </row>
    <row r="17" spans="1:8" s="29" customFormat="1" ht="6" customHeight="1" thickTop="1" thickBot="1" x14ac:dyDescent="0.3">
      <c r="A17" s="456"/>
      <c r="B17" s="26"/>
      <c r="C17" s="26"/>
      <c r="D17" s="26"/>
      <c r="E17" s="28"/>
      <c r="F17" s="26"/>
      <c r="G17" s="26"/>
      <c r="H17" s="26"/>
    </row>
    <row r="18" spans="1:8" s="29" customFormat="1" ht="17.25" customHeight="1" thickTop="1" thickBot="1" x14ac:dyDescent="0.3">
      <c r="A18" s="456"/>
      <c r="B18" s="458" t="s">
        <v>212</v>
      </c>
      <c r="C18" s="27" t="s">
        <v>54</v>
      </c>
      <c r="D18" s="27" t="s">
        <v>54</v>
      </c>
      <c r="E18" s="28"/>
      <c r="F18" s="448" t="s">
        <v>265</v>
      </c>
      <c r="G18" s="27" t="s">
        <v>214</v>
      </c>
      <c r="H18" s="27" t="s">
        <v>214</v>
      </c>
    </row>
    <row r="19" spans="1:8" s="29" customFormat="1" ht="17.25" thickTop="1" thickBot="1" x14ac:dyDescent="0.3">
      <c r="A19" s="456"/>
      <c r="B19" s="458"/>
      <c r="C19" s="27" t="s">
        <v>55</v>
      </c>
      <c r="D19" s="27" t="s">
        <v>55</v>
      </c>
      <c r="E19" s="28"/>
      <c r="F19" s="448"/>
      <c r="G19" s="27" t="s">
        <v>215</v>
      </c>
      <c r="H19" s="27" t="s">
        <v>215</v>
      </c>
    </row>
    <row r="20" spans="1:8" s="29" customFormat="1" ht="17.25" thickTop="1" thickBot="1" x14ac:dyDescent="0.3">
      <c r="A20" s="456"/>
      <c r="B20" s="458"/>
      <c r="C20" s="27" t="s">
        <v>56</v>
      </c>
      <c r="D20" s="27" t="s">
        <v>56</v>
      </c>
      <c r="E20" s="28"/>
      <c r="F20" s="448"/>
      <c r="G20" s="27" t="s">
        <v>216</v>
      </c>
      <c r="H20" s="27" t="s">
        <v>216</v>
      </c>
    </row>
    <row r="21" spans="1:8" s="29" customFormat="1" ht="17.25" thickTop="1" thickBot="1" x14ac:dyDescent="0.3">
      <c r="A21" s="456"/>
      <c r="B21" s="458"/>
      <c r="C21" s="27" t="s">
        <v>57</v>
      </c>
      <c r="D21" s="27" t="s">
        <v>57</v>
      </c>
      <c r="E21" s="28"/>
      <c r="F21" s="448"/>
      <c r="G21" s="27" t="s">
        <v>217</v>
      </c>
      <c r="H21" s="27" t="s">
        <v>217</v>
      </c>
    </row>
    <row r="22" spans="1:8" s="29" customFormat="1" ht="6" customHeight="1" thickTop="1" thickBot="1" x14ac:dyDescent="0.3">
      <c r="A22" s="456"/>
      <c r="B22" s="26"/>
      <c r="C22" s="26"/>
      <c r="D22" s="26"/>
      <c r="E22" s="28"/>
      <c r="F22" s="26"/>
      <c r="G22" s="26"/>
      <c r="H22" s="26"/>
    </row>
    <row r="23" spans="1:8" s="29" customFormat="1" ht="17.25" customHeight="1" thickTop="1" thickBot="1" x14ac:dyDescent="0.3">
      <c r="A23" s="456"/>
      <c r="B23" s="458" t="s">
        <v>213</v>
      </c>
      <c r="C23" s="27" t="s">
        <v>54</v>
      </c>
      <c r="D23" s="27" t="s">
        <v>54</v>
      </c>
      <c r="E23" s="28"/>
      <c r="F23" s="448" t="s">
        <v>239</v>
      </c>
      <c r="G23" s="27" t="s">
        <v>214</v>
      </c>
      <c r="H23" s="27" t="s">
        <v>214</v>
      </c>
    </row>
    <row r="24" spans="1:8" s="29" customFormat="1" ht="17.25" thickTop="1" thickBot="1" x14ac:dyDescent="0.3">
      <c r="A24" s="456"/>
      <c r="B24" s="458"/>
      <c r="C24" s="27" t="s">
        <v>55</v>
      </c>
      <c r="D24" s="27" t="s">
        <v>55</v>
      </c>
      <c r="E24" s="28"/>
      <c r="F24" s="448"/>
      <c r="G24" s="27" t="s">
        <v>215</v>
      </c>
      <c r="H24" s="27" t="s">
        <v>215</v>
      </c>
    </row>
    <row r="25" spans="1:8" s="29" customFormat="1" ht="17.25" thickTop="1" thickBot="1" x14ac:dyDescent="0.3">
      <c r="A25" s="456"/>
      <c r="B25" s="458"/>
      <c r="C25" s="27" t="s">
        <v>56</v>
      </c>
      <c r="D25" s="27" t="s">
        <v>56</v>
      </c>
      <c r="E25" s="28"/>
      <c r="F25" s="448"/>
      <c r="G25" s="27" t="s">
        <v>216</v>
      </c>
      <c r="H25" s="27" t="s">
        <v>216</v>
      </c>
    </row>
    <row r="26" spans="1:8" s="29" customFormat="1" ht="17.25" thickTop="1" thickBot="1" x14ac:dyDescent="0.3">
      <c r="A26" s="457"/>
      <c r="B26" s="458"/>
      <c r="C26" s="27" t="s">
        <v>57</v>
      </c>
      <c r="D26" s="27" t="s">
        <v>57</v>
      </c>
      <c r="E26" s="28"/>
      <c r="F26" s="448"/>
      <c r="G26" s="27" t="s">
        <v>217</v>
      </c>
      <c r="H26" s="27" t="s">
        <v>217</v>
      </c>
    </row>
    <row r="27" spans="1:8" ht="6" customHeight="1" thickTop="1" thickBot="1" x14ac:dyDescent="0.3">
      <c r="A27" s="14"/>
      <c r="B27" s="14"/>
      <c r="C27" s="14"/>
      <c r="D27" s="14"/>
      <c r="E27" s="14"/>
      <c r="F27" s="26"/>
      <c r="G27" s="26"/>
      <c r="H27" s="26"/>
    </row>
    <row r="28" spans="1:8" ht="17.25" thickTop="1" thickBot="1" x14ac:dyDescent="0.3">
      <c r="F28" s="448" t="s">
        <v>240</v>
      </c>
      <c r="G28" s="27" t="s">
        <v>214</v>
      </c>
      <c r="H28" s="27" t="s">
        <v>214</v>
      </c>
    </row>
    <row r="29" spans="1:8" ht="17.25" thickTop="1" thickBot="1" x14ac:dyDescent="0.3">
      <c r="F29" s="448"/>
      <c r="G29" s="27" t="s">
        <v>215</v>
      </c>
      <c r="H29" s="27" t="s">
        <v>215</v>
      </c>
    </row>
    <row r="30" spans="1:8" ht="17.25" customHeight="1" thickTop="1" thickBot="1" x14ac:dyDescent="0.3">
      <c r="A30" s="449" t="s">
        <v>229</v>
      </c>
      <c r="F30" s="448"/>
      <c r="G30" s="27" t="s">
        <v>216</v>
      </c>
      <c r="H30" s="27" t="s">
        <v>216</v>
      </c>
    </row>
    <row r="31" spans="1:8" ht="19.5" customHeight="1" thickTop="1" thickBot="1" x14ac:dyDescent="0.3">
      <c r="A31" s="450"/>
      <c r="F31" s="448"/>
      <c r="G31" s="27" t="s">
        <v>217</v>
      </c>
      <c r="H31" s="27" t="s">
        <v>217</v>
      </c>
    </row>
    <row r="32" spans="1:8" ht="6" customHeight="1" thickTop="1" thickBot="1" x14ac:dyDescent="0.3">
      <c r="A32" s="450"/>
      <c r="F32" s="26"/>
      <c r="G32" s="26"/>
      <c r="H32" s="26"/>
    </row>
    <row r="33" spans="1:8" ht="19.5" customHeight="1" thickTop="1" thickBot="1" x14ac:dyDescent="0.3">
      <c r="A33" s="450"/>
      <c r="F33" s="448" t="s">
        <v>38</v>
      </c>
      <c r="G33" s="27" t="s">
        <v>214</v>
      </c>
      <c r="H33" s="27" t="s">
        <v>214</v>
      </c>
    </row>
    <row r="34" spans="1:8" ht="19.5" customHeight="1" thickTop="1" thickBot="1" x14ac:dyDescent="0.3">
      <c r="A34" s="450"/>
      <c r="F34" s="448"/>
      <c r="G34" s="27" t="s">
        <v>215</v>
      </c>
      <c r="H34" s="27" t="s">
        <v>215</v>
      </c>
    </row>
    <row r="35" spans="1:8" ht="19.5" customHeight="1" thickTop="1" thickBot="1" x14ac:dyDescent="0.3">
      <c r="A35" s="451"/>
      <c r="F35" s="448"/>
      <c r="G35" s="27" t="s">
        <v>216</v>
      </c>
      <c r="H35" s="27" t="s">
        <v>216</v>
      </c>
    </row>
    <row r="36" spans="1:8" ht="16.5" thickBot="1" x14ac:dyDescent="0.3">
      <c r="F36" s="448"/>
      <c r="G36" s="27" t="s">
        <v>217</v>
      </c>
      <c r="H36" s="27" t="s">
        <v>217</v>
      </c>
    </row>
    <row r="37" spans="1:8" ht="6" customHeight="1" thickTop="1" thickBot="1" x14ac:dyDescent="0.3">
      <c r="F37" s="26"/>
      <c r="G37" s="26"/>
      <c r="H37" s="26"/>
    </row>
    <row r="38" spans="1:8" ht="16.5" customHeight="1" thickTop="1" thickBot="1" x14ac:dyDescent="0.3">
      <c r="F38" s="448" t="s">
        <v>266</v>
      </c>
      <c r="G38" s="27" t="s">
        <v>214</v>
      </c>
      <c r="H38" s="27" t="s">
        <v>214</v>
      </c>
    </row>
    <row r="39" spans="1:8" ht="17.25" thickTop="1" thickBot="1" x14ac:dyDescent="0.3">
      <c r="F39" s="448"/>
      <c r="G39" s="27" t="s">
        <v>215</v>
      </c>
      <c r="H39" s="27" t="s">
        <v>215</v>
      </c>
    </row>
    <row r="40" spans="1:8" ht="17.25" thickTop="1" thickBot="1" x14ac:dyDescent="0.3">
      <c r="F40" s="448"/>
      <c r="G40" s="27" t="s">
        <v>216</v>
      </c>
      <c r="H40" s="27" t="s">
        <v>216</v>
      </c>
    </row>
    <row r="41" spans="1:8" ht="17.25" thickTop="1" thickBot="1" x14ac:dyDescent="0.3">
      <c r="F41" s="448"/>
      <c r="G41" s="27" t="s">
        <v>217</v>
      </c>
      <c r="H41" s="27" t="s">
        <v>217</v>
      </c>
    </row>
    <row r="42" spans="1:8" ht="13.5" customHeight="1" thickTop="1" x14ac:dyDescent="0.25"/>
    <row r="43" spans="1:8" ht="12.75" customHeight="1" x14ac:dyDescent="0.25"/>
  </sheetData>
  <mergeCells count="13">
    <mergeCell ref="F38:F41"/>
    <mergeCell ref="A30:A35"/>
    <mergeCell ref="F33:F36"/>
    <mergeCell ref="F8:F11"/>
    <mergeCell ref="F18:F21"/>
    <mergeCell ref="F23:F26"/>
    <mergeCell ref="F28:F31"/>
    <mergeCell ref="F13:F16"/>
    <mergeCell ref="A8:A26"/>
    <mergeCell ref="B8:B11"/>
    <mergeCell ref="B13:B16"/>
    <mergeCell ref="B18:B21"/>
    <mergeCell ref="B23:B26"/>
  </mergeCells>
  <hyperlinks>
    <hyperlink ref="C8" location="ALL_TARGETS_Q1" display="QUARTER 1"/>
    <hyperlink ref="C9" location="ALL_TARGETS_Q2" display="QUARTER 2"/>
    <hyperlink ref="C10" location="ALL_TARGETS_Q3" display="QUARTER 3"/>
    <hyperlink ref="C11" location="ALL_TARGETS_Q4" display="QUARTER 4"/>
    <hyperlink ref="C13" location="RBV_Q1" display="QUARTER 1"/>
    <hyperlink ref="C14" location="RBV_Q2" display="QUARTER 2"/>
    <hyperlink ref="C15" location="RBV_Q3" display="QUARTER 3"/>
    <hyperlink ref="C16" location="RBV_Q4" display="QUARTER 4"/>
    <hyperlink ref="C18" location="ELE_Q1" display="QUARTER 1"/>
    <hyperlink ref="C19" location="ELE_Q2" display="QUARTER 2"/>
    <hyperlink ref="C20" location="ELE_Q3" display="QUARTER 3"/>
    <hyperlink ref="C21" location="ELE_Q4" display="QUARTER 4"/>
    <hyperlink ref="C23" location="PWBQ1" display="QUARTER 1"/>
    <hyperlink ref="C24" location="ELTB_Q2" display="QUARTER 2"/>
    <hyperlink ref="C25" location="ELTB_Q3" display="QUARTER 3"/>
    <hyperlink ref="C26" location="ELTB_Q4" display="QUARTER 4"/>
    <hyperlink ref="C7" location="'3. % BY PRIORITY'!A1" display="PERCENTAGE TABLES BY PRIORITY"/>
    <hyperlink ref="D7" location="'4. CHARTS BY PRIORITY'!A1" display="CHARTS BY PRIORITY"/>
    <hyperlink ref="G7" location="'5. % BY PORTFOLIO'!A1" display="PERCENTAGE TABLES BY PORTFOLIO"/>
    <hyperlink ref="H7" location="'6. CHARTS BY PORTFOLIO'!A1" display="CHARTS BY PORTFOLIO"/>
    <hyperlink ref="D8" location="ALLQ1" display="QUARTER 1"/>
    <hyperlink ref="D9" location="ALLQ2" display="QUARTER 2"/>
    <hyperlink ref="D10" location="ALLQ3" display="QUARTER 3"/>
    <hyperlink ref="D11" location="ALLQ4" display="QUARTER 4"/>
    <hyperlink ref="F2" location="'1. ALL DATA'!A1" display="ALL DATA"/>
    <hyperlink ref="F3" location="'Q1. SUMMARY'!A1" display="Q1 SUMMARY"/>
    <hyperlink ref="F4" location="'2. STATUS TRACKING'!A1" display="STATUS TRACKING"/>
    <hyperlink ref="D13" location="RBVQ1" display="QUARTER 1"/>
    <hyperlink ref="D14" location="RBVQ2" display="QUARTER 2"/>
    <hyperlink ref="D15" location="RBVQ3" display="QUARTER 3"/>
    <hyperlink ref="D16" location="RBVQ4" display="QUARTER 4"/>
    <hyperlink ref="D18" location="ELEQ1" display="QUARTER 1"/>
    <hyperlink ref="D19" location="ELEQ2" display="QUARTER 2"/>
    <hyperlink ref="D20" location="ELE_Q3" display="QUARTER 3"/>
    <hyperlink ref="D21" location="ELEQ4" display="QUARTER 4"/>
    <hyperlink ref="D23" location="ELTBQ1" display="QUARTER 1"/>
    <hyperlink ref="D24" location="ELTBQ2" display="QUARTER 2"/>
    <hyperlink ref="D25" location="ELTBQ3" display="QUARTER 3"/>
    <hyperlink ref="D26" location="ELTBQ4" display="QUARTER 4"/>
    <hyperlink ref="G2" location="VFM_1617" display="VFM"/>
    <hyperlink ref="H2" location="PLEG_1617" display="PLEG"/>
    <hyperlink ref="I2" location="PSC_1617" display="PSC"/>
    <hyperlink ref="G3" location="'Q2. SUMMARY'!A1" display="Q2 SUMMARY"/>
    <hyperlink ref="H3" location="'Q3. SUMMARY'!A1" display="Q3 SUMMARY"/>
    <hyperlink ref="I3" location="'Q4. SUMMARY'!A1" display="Q4 SUMMARY"/>
    <hyperlink ref="G8" location="Q1_Leader" display="Quarter 1"/>
    <hyperlink ref="G9" location="Q2_Leader" display="Quarter 2"/>
    <hyperlink ref="G10" location="Q3LEADER" display="Quarter 3"/>
    <hyperlink ref="G11" location="Q4_Leader" display="Quarter 4"/>
    <hyperlink ref="G13" location="CULT1" display="Quarter 1"/>
    <hyperlink ref="G14" location="CULT2" display="Quarter 2"/>
    <hyperlink ref="G15" location="CULT3" display="Quarter 3"/>
    <hyperlink ref="G16" location="CULT4" display="Quarter 4"/>
    <hyperlink ref="G18" location="ENTER1" display="Quarter 1"/>
    <hyperlink ref="G19" location="ENTER2" display="Quarter 2"/>
    <hyperlink ref="G20" location="ENTER3" display="Quarter 3"/>
    <hyperlink ref="G21" location="ENTER4" display="Quarter 4"/>
    <hyperlink ref="G23" location="FINANCE1" display="Quarter 1"/>
    <hyperlink ref="G24" location="FINANCE2" display="Quarter 2"/>
    <hyperlink ref="G25" location="FINANCE3" display="Quarter 3"/>
    <hyperlink ref="G26" location="FINANCE4" display="Quarter 4"/>
    <hyperlink ref="G28" location="PLAN1" display="Quarter 1"/>
    <hyperlink ref="G29" location="PLAN2" display="Quarter 2"/>
    <hyperlink ref="G30" location="PLAN3" display="Quarter 3"/>
    <hyperlink ref="G31" location="PLAN4" display="Quarter 4"/>
    <hyperlink ref="G33" location="REGUL1" display="Quarter 1"/>
    <hyperlink ref="G34" location="TCN_T_Q2" display="Quarter 2"/>
    <hyperlink ref="G35" location="REGUL3" display="Quarter 3"/>
    <hyperlink ref="G36" location="REGUL4" display="Quarter 4"/>
    <hyperlink ref="H9" location="LEADER2" display="Quarter 2"/>
    <hyperlink ref="H8" location="LEADER1" display="Quarter 1"/>
    <hyperlink ref="H10" location="LEADER3" display="Quarter 3"/>
    <hyperlink ref="H11" location="LEADER4" display="Quarter 4"/>
    <hyperlink ref="H13" location="CULTUR1" display="Quarter 1"/>
    <hyperlink ref="H14" location="CULTUR2" display="Quarter 2"/>
    <hyperlink ref="H15" location="CULTUR3" display="Quarter 3"/>
    <hyperlink ref="H16" location="CULTUR4" display="Quarter 4"/>
    <hyperlink ref="H18" location="ENTERP1" display="Quarter 1"/>
    <hyperlink ref="H19" location="ENTERP2" display="Quarter 2"/>
    <hyperlink ref="H20" location="ENTERP3" display="Quarter 3"/>
    <hyperlink ref="H21" location="ENTERP4" display="Quarter 4"/>
    <hyperlink ref="H23" location="FINANC1" display="Quarter 1"/>
    <hyperlink ref="H24" location="FINANC2" display="Quarter 2"/>
    <hyperlink ref="H25" location="FINANC3" display="Quarter 3"/>
    <hyperlink ref="H26" location="FINANC4" display="Quarter 4"/>
    <hyperlink ref="H28" location="PLANNING1" display="Quarter 1"/>
    <hyperlink ref="H29" location="PLANNING2" display="Quarter 2"/>
    <hyperlink ref="H30" location="PLANNING3" display="Quarter 3"/>
    <hyperlink ref="H31" location="PLANNING4" display="Quarter 4"/>
    <hyperlink ref="H33" location="REGULATE1" display="Quarter 1"/>
    <hyperlink ref="H34" location="REGULATE2" display="Quarter 2"/>
    <hyperlink ref="H35" location="REGULATE3" display="Quarter 3"/>
    <hyperlink ref="H36" location="REGULATE4" display="Quarter 4"/>
    <hyperlink ref="A30:A35" location="CustomPivot" display="Create customised PivotTable Data Counts"/>
    <hyperlink ref="G38" location="TCN_T_Q1" display="Quarter 1"/>
    <hyperlink ref="G39" location="TCN_T_Q2" display="Quarter 2"/>
    <hyperlink ref="G40" location="TCN_T_Q3" display="Quarter 3"/>
    <hyperlink ref="G41" location="TCN_T_Q4" display="Quarter 4"/>
    <hyperlink ref="H38" location="TCN_C_Q2" display="Quarter 1"/>
    <hyperlink ref="H39" location="TCN_C_Q3" display="Quarter 2"/>
    <hyperlink ref="H40" location="TCN_C_Q5" display="Quarter 3"/>
    <hyperlink ref="H41" location="TCN_C_Q4" display="Quarter 4"/>
  </hyperlinks>
  <pageMargins left="0.7" right="0.7" top="0.75" bottom="0.75"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000"/>
  </sheetPr>
  <dimension ref="A1:AN48"/>
  <sheetViews>
    <sheetView zoomScale="70" zoomScaleNormal="70" workbookViewId="0">
      <selection activeCell="H17" sqref="B2:H17"/>
    </sheetView>
  </sheetViews>
  <sheetFormatPr defaultColWidth="9.140625" defaultRowHeight="15" x14ac:dyDescent="0.25"/>
  <cols>
    <col min="1" max="1" width="9.140625" style="30"/>
    <col min="2" max="2" width="49.5703125" style="23" customWidth="1"/>
    <col min="3" max="3" width="27.140625" style="23" customWidth="1"/>
    <col min="4" max="4" width="27.140625" style="114" customWidth="1"/>
    <col min="5" max="8" width="27.140625" style="23" customWidth="1"/>
    <col min="9" max="40" width="9.140625" style="30"/>
    <col min="41" max="16384" width="9.140625" style="23"/>
  </cols>
  <sheetData>
    <row r="1" spans="1:40" s="30" customFormat="1" ht="33" customHeight="1" thickBot="1" x14ac:dyDescent="0.3">
      <c r="B1" s="33" t="s">
        <v>75</v>
      </c>
      <c r="D1" s="111"/>
    </row>
    <row r="2" spans="1:40" ht="40.5" customHeight="1" thickTop="1" thickBot="1" x14ac:dyDescent="0.3">
      <c r="B2" s="486" t="s">
        <v>431</v>
      </c>
      <c r="C2" s="488" t="s">
        <v>19</v>
      </c>
      <c r="D2" s="489"/>
      <c r="E2" s="490" t="s">
        <v>20</v>
      </c>
      <c r="F2" s="491"/>
      <c r="G2" s="492" t="s">
        <v>21</v>
      </c>
      <c r="H2" s="493"/>
    </row>
    <row r="3" spans="1:40" ht="50.25" customHeight="1" thickTop="1" thickBot="1" x14ac:dyDescent="0.3">
      <c r="B3" s="487"/>
      <c r="C3" s="119" t="s">
        <v>63</v>
      </c>
      <c r="D3" s="113" t="s">
        <v>25</v>
      </c>
      <c r="E3" s="120" t="s">
        <v>63</v>
      </c>
      <c r="F3" s="121" t="s">
        <v>25</v>
      </c>
      <c r="G3" s="122" t="s">
        <v>63</v>
      </c>
      <c r="H3" s="123" t="s">
        <v>25</v>
      </c>
    </row>
    <row r="4" spans="1:40" s="24" customFormat="1" ht="21.75" thickTop="1" thickBot="1" x14ac:dyDescent="0.3">
      <c r="A4" s="31"/>
      <c r="B4" s="109" t="s">
        <v>64</v>
      </c>
      <c r="C4" s="64"/>
      <c r="D4" s="112"/>
      <c r="E4" s="64"/>
      <c r="F4" s="64"/>
      <c r="G4" s="64"/>
      <c r="H4" s="110"/>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07" customFormat="1" ht="37.5" customHeight="1" thickTop="1" thickBot="1" x14ac:dyDescent="0.3">
      <c r="A5" s="106"/>
      <c r="B5" s="115" t="s">
        <v>65</v>
      </c>
      <c r="C5" s="124">
        <f>'3. % BY PRIORITY'!Q6+'3. % BY PRIORITY'!Q7</f>
        <v>108</v>
      </c>
      <c r="D5" s="164">
        <f>'3. % BY PRIORITY'!U6</f>
        <v>0.95575221238938046</v>
      </c>
      <c r="E5" s="125">
        <f>'3. % BY PRIORITY'!Q9</f>
        <v>1</v>
      </c>
      <c r="F5" s="121">
        <f>'3. % BY PRIORITY'!U9</f>
        <v>8.8495575221238937E-3</v>
      </c>
      <c r="G5" s="126">
        <f>'3. % BY PRIORITY'!Q13+'3. % BY PRIORITY'!Q14</f>
        <v>4</v>
      </c>
      <c r="H5" s="123">
        <f>'3. % BY PRIORITY'!U13</f>
        <v>3.5398230088495575E-2</v>
      </c>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row>
    <row r="6" spans="1:40" s="107" customFormat="1" ht="21.75" thickTop="1" thickBot="1" x14ac:dyDescent="0.3">
      <c r="A6" s="106"/>
      <c r="B6" s="117" t="s">
        <v>66</v>
      </c>
      <c r="C6" s="108"/>
      <c r="D6" s="165"/>
      <c r="E6" s="108"/>
      <c r="F6" s="165"/>
      <c r="G6" s="108"/>
      <c r="H6" s="16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row>
    <row r="7" spans="1:40" s="107" customFormat="1" ht="37.5" customHeight="1" thickTop="1" thickBot="1" x14ac:dyDescent="0.3">
      <c r="A7" s="106"/>
      <c r="B7" s="115" t="s">
        <v>189</v>
      </c>
      <c r="C7" s="124">
        <f>'3. % BY PRIORITY'!Q28+'3. % BY PRIORITY'!Q29</f>
        <v>49</v>
      </c>
      <c r="D7" s="164">
        <f>'3. % BY PRIORITY'!U28</f>
        <v>0.94230769230769229</v>
      </c>
      <c r="E7" s="127">
        <f>'3. % BY PRIORITY'!Q31</f>
        <v>0</v>
      </c>
      <c r="F7" s="121">
        <f>'3. % BY PRIORITY'!U31</f>
        <v>0</v>
      </c>
      <c r="G7" s="126">
        <f>'3. % BY PRIORITY'!Q35+'3. % BY PRIORITY'!Q36</f>
        <v>3</v>
      </c>
      <c r="H7" s="123">
        <f>'3. % BY PRIORITY'!U35</f>
        <v>5.7692307692307696E-2</v>
      </c>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row>
    <row r="8" spans="1:40" s="107" customFormat="1" ht="37.5" customHeight="1" thickTop="1" thickBot="1" x14ac:dyDescent="0.3">
      <c r="A8" s="106"/>
      <c r="B8" s="115" t="s">
        <v>190</v>
      </c>
      <c r="C8" s="124">
        <f>'3. % BY PRIORITY'!Q50+'3. % BY PRIORITY'!Q51</f>
        <v>11</v>
      </c>
      <c r="D8" s="164">
        <f>'3. % BY PRIORITY'!U50</f>
        <v>0.91666666666666674</v>
      </c>
      <c r="E8" s="127">
        <f>'3. % BY PRIORITY'!Q53</f>
        <v>0</v>
      </c>
      <c r="F8" s="121">
        <f>'3. % BY PRIORITY'!U53</f>
        <v>0</v>
      </c>
      <c r="G8" s="126">
        <f>'3. % BY PRIORITY'!Q57+'3. % BY PRIORITY'!Q58</f>
        <v>1</v>
      </c>
      <c r="H8" s="123">
        <f>'3. % BY PRIORITY'!U57</f>
        <v>8.3333333333333329E-2</v>
      </c>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row>
    <row r="9" spans="1:40" s="107" customFormat="1" ht="37.5" customHeight="1" thickTop="1" thickBot="1" x14ac:dyDescent="0.3">
      <c r="A9" s="106"/>
      <c r="B9" s="115" t="s">
        <v>191</v>
      </c>
      <c r="C9" s="124">
        <f>'3. % BY PRIORITY'!Q72+'3. % BY PRIORITY'!Q73</f>
        <v>48</v>
      </c>
      <c r="D9" s="164">
        <f>'3. % BY PRIORITY'!U72</f>
        <v>0.97959183673469385</v>
      </c>
      <c r="E9" s="127">
        <f>'3. % BY PRIORITY'!Q75</f>
        <v>1</v>
      </c>
      <c r="F9" s="121">
        <f>'3. % BY PRIORITY'!U75</f>
        <v>2.0408163265306121E-2</v>
      </c>
      <c r="G9" s="126">
        <f>'3. % BY PRIORITY'!Q79+'3. % BY PRIORITY'!Q80</f>
        <v>0</v>
      </c>
      <c r="H9" s="123">
        <f>'3. % BY PRIORITY'!U79</f>
        <v>0</v>
      </c>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row>
    <row r="10" spans="1:40" s="107" customFormat="1" ht="21.75" thickTop="1" thickBot="1" x14ac:dyDescent="0.3">
      <c r="A10" s="106"/>
      <c r="B10" s="117" t="s">
        <v>67</v>
      </c>
      <c r="C10" s="108"/>
      <c r="D10" s="165"/>
      <c r="E10" s="108"/>
      <c r="F10" s="165"/>
      <c r="G10" s="108"/>
      <c r="H10" s="16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row>
    <row r="11" spans="1:40" s="107" customFormat="1" ht="37.5" customHeight="1" thickTop="1" thickBot="1" x14ac:dyDescent="0.3">
      <c r="A11" s="106"/>
      <c r="B11" s="116" t="s">
        <v>77</v>
      </c>
      <c r="C11" s="124">
        <f>'5. % BY PORTFOLIO'!Q6+'5. % BY PORTFOLIO'!Q7</f>
        <v>16</v>
      </c>
      <c r="D11" s="164">
        <f>'5. % BY PORTFOLIO'!U6</f>
        <v>1</v>
      </c>
      <c r="E11" s="127">
        <f>'5. % BY PORTFOLIO'!Q9</f>
        <v>0</v>
      </c>
      <c r="F11" s="121">
        <f>'5. % BY PORTFOLIO'!U9</f>
        <v>0</v>
      </c>
      <c r="G11" s="126">
        <f>'5. % BY PORTFOLIO'!Q13+'5. % BY PORTFOLIO'!Q14</f>
        <v>0</v>
      </c>
      <c r="H11" s="123">
        <f>'5. % BY PORTFOLIO'!U13</f>
        <v>0</v>
      </c>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row>
    <row r="12" spans="1:40" s="107" customFormat="1" ht="37.5" customHeight="1" thickTop="1" thickBot="1" x14ac:dyDescent="0.3">
      <c r="A12" s="106"/>
      <c r="B12" s="116" t="s">
        <v>85</v>
      </c>
      <c r="C12" s="124">
        <f>'5. % BY PORTFOLIO'!Q29+'5. % BY PORTFOLIO'!Q30</f>
        <v>18</v>
      </c>
      <c r="D12" s="164">
        <f>'5. % BY PORTFOLIO'!U29</f>
        <v>0.94736842105263164</v>
      </c>
      <c r="E12" s="128">
        <f>'5. % BY PORTFOLIO'!Q32</f>
        <v>0</v>
      </c>
      <c r="F12" s="121">
        <f>'5. % BY PORTFOLIO'!U32</f>
        <v>0</v>
      </c>
      <c r="G12" s="126">
        <f>'5. % BY PORTFOLIO'!Q36+'5. % BY PORTFOLIO'!Q37</f>
        <v>1</v>
      </c>
      <c r="H12" s="123">
        <f>'5. % BY PORTFOLIO'!U36</f>
        <v>5.2631578947368418E-2</v>
      </c>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row>
    <row r="13" spans="1:40" s="107" customFormat="1" ht="37.5" customHeight="1" thickTop="1" thickBot="1" x14ac:dyDescent="0.3">
      <c r="A13" s="106"/>
      <c r="B13" s="116" t="s">
        <v>268</v>
      </c>
      <c r="C13" s="124">
        <f>'5. % BY PORTFOLIO'!Q51+'5. % BY PORTFOLIO'!Q52</f>
        <v>15</v>
      </c>
      <c r="D13" s="164">
        <f>'5. % BY PORTFOLIO'!U51</f>
        <v>0.9375</v>
      </c>
      <c r="E13" s="128">
        <f>'5. % BY PORTFOLIO'!Q54</f>
        <v>0</v>
      </c>
      <c r="F13" s="121">
        <f>'5. % BY PORTFOLIO'!U54</f>
        <v>0</v>
      </c>
      <c r="G13" s="126">
        <f>'5. % BY PORTFOLIO'!Q58+'5. % BY PORTFOLIO'!Q59</f>
        <v>1</v>
      </c>
      <c r="H13" s="123">
        <f>'5. % BY PORTFOLIO'!U58</f>
        <v>6.25E-2</v>
      </c>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row>
    <row r="14" spans="1:40" s="107" customFormat="1" ht="37.5" customHeight="1" thickTop="1" thickBot="1" x14ac:dyDescent="0.3">
      <c r="A14" s="106"/>
      <c r="B14" s="116" t="s">
        <v>90</v>
      </c>
      <c r="C14" s="124">
        <f>'5. % BY PORTFOLIO'!Q73+'5. % BY PORTFOLIO'!Q74</f>
        <v>13</v>
      </c>
      <c r="D14" s="164">
        <f>'5. % BY PORTFOLIO'!U73</f>
        <v>0.8666666666666667</v>
      </c>
      <c r="E14" s="128">
        <f>'5. % BY PORTFOLIO'!Q76</f>
        <v>1</v>
      </c>
      <c r="F14" s="121">
        <f>'5. % BY PORTFOLIO'!U76</f>
        <v>6.6666666666666666E-2</v>
      </c>
      <c r="G14" s="126">
        <f>'5. % BY PORTFOLIO'!Q80+'5. % BY PORTFOLIO'!Q81</f>
        <v>1</v>
      </c>
      <c r="H14" s="123">
        <f>'5. % BY PORTFOLIO'!U80</f>
        <v>6.6666666666666666E-2</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row>
    <row r="15" spans="1:40" s="107" customFormat="1" ht="37.5" customHeight="1" thickTop="1" thickBot="1" x14ac:dyDescent="0.3">
      <c r="A15" s="106"/>
      <c r="B15" s="116" t="s">
        <v>92</v>
      </c>
      <c r="C15" s="124">
        <f>'5. % BY PORTFOLIO'!Q95+'5. % BY PORTFOLIO'!Q96</f>
        <v>20</v>
      </c>
      <c r="D15" s="164">
        <f>'5. % BY PORTFOLIO'!U95</f>
        <v>1</v>
      </c>
      <c r="E15" s="128">
        <f>'5. % BY PORTFOLIO'!Q98</f>
        <v>0</v>
      </c>
      <c r="F15" s="121">
        <f>'5. % BY PORTFOLIO'!U98</f>
        <v>0</v>
      </c>
      <c r="G15" s="126">
        <f>'5. % BY PORTFOLIO'!Q102+'5. % BY PORTFOLIO'!Q103</f>
        <v>0</v>
      </c>
      <c r="H15" s="123">
        <f>'5. % BY PORTFOLIO'!U102</f>
        <v>0</v>
      </c>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row>
    <row r="16" spans="1:40" s="107" customFormat="1" ht="37.5" customHeight="1" thickTop="1" thickBot="1" x14ac:dyDescent="0.3">
      <c r="A16" s="106"/>
      <c r="B16" s="116" t="s">
        <v>5</v>
      </c>
      <c r="C16" s="124">
        <f>'5. % BY PORTFOLIO'!Q117+'5. % BY PORTFOLIO'!Q118</f>
        <v>13</v>
      </c>
      <c r="D16" s="164">
        <f>'5. % BY PORTFOLIO'!U117</f>
        <v>1</v>
      </c>
      <c r="E16" s="128">
        <f>'5. % BY PORTFOLIO'!Q120</f>
        <v>0</v>
      </c>
      <c r="F16" s="121">
        <f>'5. % BY PORTFOLIO'!U120</f>
        <v>0</v>
      </c>
      <c r="G16" s="126">
        <f>'5. % BY PORTFOLIO'!Q124+'5. % BY PORTFOLIO'!Q125</f>
        <v>0</v>
      </c>
      <c r="H16" s="123">
        <f>'5. % BY PORTFOLIO'!U124</f>
        <v>0</v>
      </c>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row>
    <row r="17" spans="1:40" s="107" customFormat="1" ht="37.5" customHeight="1" thickTop="1" thickBot="1" x14ac:dyDescent="0.3">
      <c r="A17" s="106"/>
      <c r="B17" s="116" t="s">
        <v>267</v>
      </c>
      <c r="C17" s="124">
        <f>'5. % BY PORTFOLIO'!Q139+'5. % BY PORTFOLIO'!Q140</f>
        <v>13</v>
      </c>
      <c r="D17" s="164">
        <f>'5. % BY PORTFOLIO'!U139</f>
        <v>0.9285714285714286</v>
      </c>
      <c r="E17" s="128">
        <f>'5. % BY PORTFOLIO'!Q142</f>
        <v>0</v>
      </c>
      <c r="F17" s="121">
        <f>'5. % BY PORTFOLIO'!U142</f>
        <v>0</v>
      </c>
      <c r="G17" s="126">
        <f>'5. % BY PORTFOLIO'!Q146+'5. % BY PORTFOLIO'!Q147</f>
        <v>1</v>
      </c>
      <c r="H17" s="123">
        <f>'5. % BY PORTFOLIO'!U146</f>
        <v>7.1428571428571425E-2</v>
      </c>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row>
    <row r="18" spans="1:40" s="30" customFormat="1" ht="15.75" thickTop="1" x14ac:dyDescent="0.25">
      <c r="D18" s="111"/>
    </row>
    <row r="19" spans="1:40" s="30" customFormat="1" x14ac:dyDescent="0.25">
      <c r="D19" s="111"/>
    </row>
    <row r="20" spans="1:40" s="30" customFormat="1" x14ac:dyDescent="0.25">
      <c r="D20" s="111"/>
    </row>
    <row r="21" spans="1:40" s="30" customFormat="1" x14ac:dyDescent="0.25">
      <c r="D21" s="111"/>
    </row>
    <row r="22" spans="1:40" s="30" customFormat="1" x14ac:dyDescent="0.25">
      <c r="D22" s="111"/>
    </row>
    <row r="23" spans="1:40" s="30" customFormat="1" x14ac:dyDescent="0.25">
      <c r="D23" s="111"/>
    </row>
    <row r="24" spans="1:40" s="30" customFormat="1" x14ac:dyDescent="0.25">
      <c r="D24" s="111"/>
    </row>
    <row r="25" spans="1:40" s="30" customFormat="1" x14ac:dyDescent="0.25">
      <c r="D25" s="111"/>
    </row>
    <row r="26" spans="1:40" s="30" customFormat="1" x14ac:dyDescent="0.25">
      <c r="D26" s="111"/>
    </row>
    <row r="27" spans="1:40" s="30" customFormat="1" x14ac:dyDescent="0.25">
      <c r="D27" s="111"/>
    </row>
    <row r="28" spans="1:40" s="30" customFormat="1" x14ac:dyDescent="0.25">
      <c r="D28" s="111"/>
    </row>
    <row r="29" spans="1:40" s="30" customFormat="1" x14ac:dyDescent="0.25">
      <c r="D29" s="111"/>
    </row>
    <row r="30" spans="1:40" s="30" customFormat="1" x14ac:dyDescent="0.25">
      <c r="D30" s="111"/>
    </row>
    <row r="31" spans="1:40" s="30" customFormat="1" x14ac:dyDescent="0.25">
      <c r="D31" s="111"/>
    </row>
    <row r="32" spans="1:40" s="30" customFormat="1" x14ac:dyDescent="0.25">
      <c r="D32" s="111"/>
    </row>
    <row r="33" spans="4:4" s="30" customFormat="1" x14ac:dyDescent="0.25">
      <c r="D33" s="111"/>
    </row>
    <row r="34" spans="4:4" s="30" customFormat="1" x14ac:dyDescent="0.25">
      <c r="D34" s="111"/>
    </row>
    <row r="35" spans="4:4" s="30" customFormat="1" x14ac:dyDescent="0.25">
      <c r="D35" s="111"/>
    </row>
    <row r="36" spans="4:4" s="30" customFormat="1" x14ac:dyDescent="0.25">
      <c r="D36" s="111"/>
    </row>
    <row r="37" spans="4:4" s="30" customFormat="1" x14ac:dyDescent="0.25">
      <c r="D37" s="111"/>
    </row>
    <row r="38" spans="4:4" s="30" customFormat="1" x14ac:dyDescent="0.25">
      <c r="D38" s="111"/>
    </row>
    <row r="39" spans="4:4" s="30" customFormat="1" x14ac:dyDescent="0.25">
      <c r="D39" s="111"/>
    </row>
    <row r="40" spans="4:4" s="30" customFormat="1" x14ac:dyDescent="0.25">
      <c r="D40" s="111"/>
    </row>
    <row r="41" spans="4:4" s="30" customFormat="1" x14ac:dyDescent="0.25">
      <c r="D41" s="111"/>
    </row>
    <row r="42" spans="4:4" s="30" customFormat="1" x14ac:dyDescent="0.25">
      <c r="D42" s="111"/>
    </row>
    <row r="43" spans="4:4" s="30" customFormat="1" x14ac:dyDescent="0.25">
      <c r="D43" s="111"/>
    </row>
    <row r="44" spans="4:4" s="30" customFormat="1" x14ac:dyDescent="0.25">
      <c r="D44" s="111"/>
    </row>
    <row r="45" spans="4:4" s="30" customFormat="1" x14ac:dyDescent="0.25">
      <c r="D45" s="111"/>
    </row>
    <row r="46" spans="4:4" s="30" customFormat="1" x14ac:dyDescent="0.25">
      <c r="D46" s="111"/>
    </row>
    <row r="47" spans="4:4" s="30" customFormat="1" x14ac:dyDescent="0.25">
      <c r="D47" s="111"/>
    </row>
    <row r="48" spans="4:4" s="30" customFormat="1" x14ac:dyDescent="0.25">
      <c r="D48" s="111"/>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C000"/>
  </sheetPr>
  <dimension ref="A1:AN48"/>
  <sheetViews>
    <sheetView zoomScale="70" zoomScaleNormal="70" workbookViewId="0">
      <selection activeCell="M8" sqref="M8"/>
    </sheetView>
  </sheetViews>
  <sheetFormatPr defaultColWidth="9.140625" defaultRowHeight="15" x14ac:dyDescent="0.25"/>
  <cols>
    <col min="1" max="1" width="9.140625" style="30"/>
    <col min="2" max="2" width="49.5703125" style="23" customWidth="1"/>
    <col min="3" max="3" width="27.140625" style="23" customWidth="1"/>
    <col min="4" max="4" width="27.140625" style="114" customWidth="1"/>
    <col min="5" max="8" width="27.140625" style="23" customWidth="1"/>
    <col min="9" max="40" width="9.140625" style="30"/>
    <col min="41" max="16384" width="9.140625" style="23"/>
  </cols>
  <sheetData>
    <row r="1" spans="1:40" s="30" customFormat="1" ht="33" customHeight="1" thickBot="1" x14ac:dyDescent="0.3">
      <c r="B1" s="33" t="s">
        <v>75</v>
      </c>
      <c r="D1" s="111"/>
    </row>
    <row r="2" spans="1:40" ht="40.5" customHeight="1" thickTop="1" thickBot="1" x14ac:dyDescent="0.3">
      <c r="B2" s="486" t="s">
        <v>432</v>
      </c>
      <c r="C2" s="488" t="s">
        <v>19</v>
      </c>
      <c r="D2" s="489"/>
      <c r="E2" s="490" t="s">
        <v>20</v>
      </c>
      <c r="F2" s="491"/>
      <c r="G2" s="492" t="s">
        <v>21</v>
      </c>
      <c r="H2" s="493"/>
    </row>
    <row r="3" spans="1:40" ht="50.25" customHeight="1" thickTop="1" thickBot="1" x14ac:dyDescent="0.3">
      <c r="B3" s="487"/>
      <c r="C3" s="119" t="s">
        <v>63</v>
      </c>
      <c r="D3" s="113" t="s">
        <v>25</v>
      </c>
      <c r="E3" s="120" t="s">
        <v>63</v>
      </c>
      <c r="F3" s="121" t="s">
        <v>25</v>
      </c>
      <c r="G3" s="122" t="s">
        <v>63</v>
      </c>
      <c r="H3" s="123" t="s">
        <v>25</v>
      </c>
    </row>
    <row r="4" spans="1:40" s="24" customFormat="1" ht="21.75" thickTop="1" thickBot="1" x14ac:dyDescent="0.3">
      <c r="A4" s="31"/>
      <c r="B4" s="109" t="s">
        <v>64</v>
      </c>
      <c r="C4" s="64"/>
      <c r="D4" s="112"/>
      <c r="E4" s="64"/>
      <c r="F4" s="64"/>
      <c r="G4" s="64"/>
      <c r="H4" s="110"/>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07" customFormat="1" ht="37.5" customHeight="1" thickTop="1" thickBot="1" x14ac:dyDescent="0.3">
      <c r="A5" s="106"/>
      <c r="B5" s="115" t="s">
        <v>65</v>
      </c>
      <c r="C5" s="124">
        <f>'3. % BY PRIORITY'!X6+'3. % BY PRIORITY'!X7</f>
        <v>115</v>
      </c>
      <c r="D5" s="164">
        <f>'3. % BY PRIORITY'!AB6</f>
        <v>0.95041322314049581</v>
      </c>
      <c r="E5" s="125">
        <f>'3. % BY PRIORITY'!X9+'3. % BY PRIORITY'!X10+'3. % BY PRIORITY'!X11</f>
        <v>2</v>
      </c>
      <c r="F5" s="121">
        <f>'3. % BY PRIORITY'!AB9</f>
        <v>1.6528925619834711E-2</v>
      </c>
      <c r="G5" s="126">
        <f>'3. % BY PRIORITY'!X13+'3. % BY PRIORITY'!X14</f>
        <v>4</v>
      </c>
      <c r="H5" s="123">
        <f>'3. % BY PRIORITY'!AB13</f>
        <v>3.3057851239669422E-2</v>
      </c>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row>
    <row r="6" spans="1:40" s="107" customFormat="1" ht="21.75" thickTop="1" thickBot="1" x14ac:dyDescent="0.3">
      <c r="A6" s="106"/>
      <c r="B6" s="117" t="s">
        <v>66</v>
      </c>
      <c r="C6" s="108"/>
      <c r="D6" s="165"/>
      <c r="E6" s="108"/>
      <c r="F6" s="165"/>
      <c r="G6" s="108"/>
      <c r="H6" s="16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row>
    <row r="7" spans="1:40" s="107" customFormat="1" ht="37.5" customHeight="1" thickTop="1" thickBot="1" x14ac:dyDescent="0.3">
      <c r="A7" s="106"/>
      <c r="B7" s="115" t="s">
        <v>189</v>
      </c>
      <c r="C7" s="124">
        <f>'3. % BY PRIORITY'!X28+'3. % BY PRIORITY'!X29</f>
        <v>54</v>
      </c>
      <c r="D7" s="164">
        <f>'3. % BY PRIORITY'!AB28</f>
        <v>0.93103448275862077</v>
      </c>
      <c r="E7" s="127">
        <f>'3. % BY PRIORITY'!X31+'3. % BY PRIORITY'!X32+'3. % BY PRIORITY'!X33</f>
        <v>1</v>
      </c>
      <c r="F7" s="121">
        <f>'3. % BY PRIORITY'!AB31</f>
        <v>1.7241379310344827E-2</v>
      </c>
      <c r="G7" s="126">
        <f>'3. % BY PRIORITY'!X35+'3. % BY PRIORITY'!X36</f>
        <v>3</v>
      </c>
      <c r="H7" s="123">
        <f>'3. % BY PRIORITY'!AB35</f>
        <v>5.1724137931034482E-2</v>
      </c>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row>
    <row r="8" spans="1:40" s="107" customFormat="1" ht="37.5" customHeight="1" thickTop="1" thickBot="1" x14ac:dyDescent="0.3">
      <c r="A8" s="106"/>
      <c r="B8" s="115" t="s">
        <v>190</v>
      </c>
      <c r="C8" s="124">
        <f>'3. % BY PRIORITY'!X50+'3. % BY PRIORITY'!X51</f>
        <v>12</v>
      </c>
      <c r="D8" s="164">
        <f>'3. % BY PRIORITY'!AB50</f>
        <v>0.92307692307692313</v>
      </c>
      <c r="E8" s="127">
        <f>'3. % BY PRIORITY'!X53+'3. % BY PRIORITY'!X54+'3. % BY PRIORITY'!X55</f>
        <v>0</v>
      </c>
      <c r="F8" s="121">
        <f>'3. % BY PRIORITY'!AB53</f>
        <v>0</v>
      </c>
      <c r="G8" s="126">
        <f>'3. % BY PRIORITY'!X57+'3. % BY PRIORITY'!X58</f>
        <v>1</v>
      </c>
      <c r="H8" s="123">
        <f>'3. % BY PRIORITY'!AB57</f>
        <v>7.6923076923076927E-2</v>
      </c>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row>
    <row r="9" spans="1:40" s="107" customFormat="1" ht="37.5" customHeight="1" thickTop="1" thickBot="1" x14ac:dyDescent="0.3">
      <c r="A9" s="106"/>
      <c r="B9" s="115" t="s">
        <v>191</v>
      </c>
      <c r="C9" s="124">
        <f>'3. % BY PRIORITY'!X72+'3. % BY PRIORITY'!X73</f>
        <v>49</v>
      </c>
      <c r="D9" s="164">
        <f>'3. % BY PRIORITY'!AB72</f>
        <v>0.98</v>
      </c>
      <c r="E9" s="127">
        <f>'3. % BY PRIORITY'!X75+'3. % BY PRIORITY'!X76+'3. % BY PRIORITY'!X77</f>
        <v>1</v>
      </c>
      <c r="F9" s="121">
        <f>'3. % BY PRIORITY'!AB75</f>
        <v>0.02</v>
      </c>
      <c r="G9" s="126">
        <f>'3. % BY PRIORITY'!X79+'3. % BY PRIORITY'!X80</f>
        <v>0</v>
      </c>
      <c r="H9" s="123">
        <f>'3. % BY PRIORITY'!AB79</f>
        <v>0</v>
      </c>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row>
    <row r="10" spans="1:40" s="107" customFormat="1" ht="21.75" thickTop="1" thickBot="1" x14ac:dyDescent="0.3">
      <c r="A10" s="106"/>
      <c r="B10" s="117" t="s">
        <v>67</v>
      </c>
      <c r="C10" s="108"/>
      <c r="D10" s="165"/>
      <c r="E10" s="108"/>
      <c r="F10" s="165"/>
      <c r="G10" s="108"/>
      <c r="H10" s="16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row>
    <row r="11" spans="1:40" s="107" customFormat="1" ht="37.5" customHeight="1" thickTop="1" thickBot="1" x14ac:dyDescent="0.3">
      <c r="A11" s="106"/>
      <c r="B11" s="116" t="s">
        <v>77</v>
      </c>
      <c r="C11" s="124">
        <f>'5. % BY PORTFOLIO'!X6+'5. % BY PORTFOLIO'!X7</f>
        <v>20</v>
      </c>
      <c r="D11" s="164">
        <f>'5. % BY PORTFOLIO'!AB6</f>
        <v>1</v>
      </c>
      <c r="E11" s="127">
        <f>'5. % BY PORTFOLIO'!X9+'5. % BY PORTFOLIO'!X10+'5. % BY PORTFOLIO'!X11</f>
        <v>0</v>
      </c>
      <c r="F11" s="121">
        <f>'5. % BY PORTFOLIO'!AB9</f>
        <v>0</v>
      </c>
      <c r="G11" s="126">
        <f>'5. % BY PORTFOLIO'!X13+'5. % BY PORTFOLIO'!X14</f>
        <v>0</v>
      </c>
      <c r="H11" s="123">
        <f>'5. % BY PORTFOLIO'!AB13</f>
        <v>0</v>
      </c>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row>
    <row r="12" spans="1:40" s="107" customFormat="1" ht="37.5" customHeight="1" thickTop="1" thickBot="1" x14ac:dyDescent="0.3">
      <c r="A12" s="106"/>
      <c r="B12" s="116" t="s">
        <v>85</v>
      </c>
      <c r="C12" s="124">
        <f>'5. % BY PORTFOLIO'!X29+'5. % BY PORTFOLIO'!X30</f>
        <v>18</v>
      </c>
      <c r="D12" s="164">
        <f>'5. % BY PORTFOLIO'!AB29</f>
        <v>0.94736842105263153</v>
      </c>
      <c r="E12" s="128">
        <f>'5. % BY PORTFOLIO'!X32+'5. % BY PORTFOLIO'!X33+'5. % BY PORTFOLIO'!X34</f>
        <v>0</v>
      </c>
      <c r="F12" s="121">
        <f>'5. % BY PORTFOLIO'!AB32</f>
        <v>0</v>
      </c>
      <c r="G12" s="126">
        <f>'5. % BY PORTFOLIO'!X36+'5. % BY PORTFOLIO'!X37</f>
        <v>1</v>
      </c>
      <c r="H12" s="123">
        <f>'5. % BY PORTFOLIO'!AB36</f>
        <v>5.2631578947368418E-2</v>
      </c>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row>
    <row r="13" spans="1:40" s="107" customFormat="1" ht="37.5" customHeight="1" thickTop="1" thickBot="1" x14ac:dyDescent="0.3">
      <c r="A13" s="106"/>
      <c r="B13" s="116" t="s">
        <v>268</v>
      </c>
      <c r="C13" s="124">
        <f>'5. % BY PORTFOLIO'!X51+'5. % BY PORTFOLIO'!X52</f>
        <v>15</v>
      </c>
      <c r="D13" s="164">
        <f>'5. % BY PORTFOLIO'!AB51</f>
        <v>0.88235294117647056</v>
      </c>
      <c r="E13" s="128">
        <f>'5. % BY PORTFOLIO'!X54+'5. % BY PORTFOLIO'!X55+'5. % BY PORTFOLIO'!X56</f>
        <v>1</v>
      </c>
      <c r="F13" s="121">
        <f>'5. % BY PORTFOLIO'!AB54</f>
        <v>5.8823529411764705E-2</v>
      </c>
      <c r="G13" s="126">
        <f>'5. % BY PORTFOLIO'!X58+'5. % BY PORTFOLIO'!X59</f>
        <v>1</v>
      </c>
      <c r="H13" s="123">
        <f>'5. % BY PORTFOLIO'!AB58</f>
        <v>5.8823529411764705E-2</v>
      </c>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row>
    <row r="14" spans="1:40" s="107" customFormat="1" ht="37.5" customHeight="1" thickTop="1" thickBot="1" x14ac:dyDescent="0.3">
      <c r="A14" s="106"/>
      <c r="B14" s="116" t="s">
        <v>90</v>
      </c>
      <c r="C14" s="124">
        <f>'5. % BY PORTFOLIO'!X73+'5. % BY PORTFOLIO'!X74</f>
        <v>13</v>
      </c>
      <c r="D14" s="164">
        <f>'5. % BY PORTFOLIO'!AB73</f>
        <v>0.8666666666666667</v>
      </c>
      <c r="E14" s="128">
        <f>'5. % BY PORTFOLIO'!X76+'5. % BY PORTFOLIO'!X77+'5. % BY PORTFOLIO'!X78</f>
        <v>1</v>
      </c>
      <c r="F14" s="121">
        <f>'5. % BY PORTFOLIO'!AB76</f>
        <v>6.6666666666666666E-2</v>
      </c>
      <c r="G14" s="126">
        <f>'5. % BY PORTFOLIO'!X80+'5. % BY PORTFOLIO'!X81</f>
        <v>1</v>
      </c>
      <c r="H14" s="123">
        <f>'5. % BY PORTFOLIO'!AB80</f>
        <v>6.6666666666666666E-2</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row>
    <row r="15" spans="1:40" s="107" customFormat="1" ht="37.5" customHeight="1" thickTop="1" thickBot="1" x14ac:dyDescent="0.3">
      <c r="A15" s="106"/>
      <c r="B15" s="116" t="s">
        <v>92</v>
      </c>
      <c r="C15" s="124">
        <f>'5. % BY PORTFOLIO'!X95+'5. % BY PORTFOLIO'!X96</f>
        <v>20</v>
      </c>
      <c r="D15" s="164">
        <f>'5. % BY PORTFOLIO'!AB95</f>
        <v>1</v>
      </c>
      <c r="E15" s="128">
        <f>'5. % BY PORTFOLIO'!X98+'5. % BY PORTFOLIO'!X99+'5. % BY PORTFOLIO'!X100</f>
        <v>0</v>
      </c>
      <c r="F15" s="121">
        <f>'5. % BY PORTFOLIO'!AB98</f>
        <v>0</v>
      </c>
      <c r="G15" s="126">
        <f>'5. % BY PORTFOLIO'!X102+'5. % BY PORTFOLIO'!X103</f>
        <v>0</v>
      </c>
      <c r="H15" s="123">
        <f>'5. % BY PORTFOLIO'!AB102</f>
        <v>0</v>
      </c>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row>
    <row r="16" spans="1:40" s="107" customFormat="1" ht="37.5" customHeight="1" thickTop="1" thickBot="1" x14ac:dyDescent="0.3">
      <c r="A16" s="106"/>
      <c r="B16" s="116" t="s">
        <v>5</v>
      </c>
      <c r="C16" s="124">
        <f>'5. % BY PORTFOLIO'!X117+'5. % BY PORTFOLIO'!X118</f>
        <v>14</v>
      </c>
      <c r="D16" s="164">
        <f>'5. % BY PORTFOLIO'!AB117</f>
        <v>1</v>
      </c>
      <c r="E16" s="128">
        <f>'5. % BY PORTFOLIO'!X120+'5. % BY PORTFOLIO'!X121+'5. % BY PORTFOLIO'!X122</f>
        <v>0</v>
      </c>
      <c r="F16" s="121">
        <f>'5. % BY PORTFOLIO'!AB120</f>
        <v>0</v>
      </c>
      <c r="G16" s="126">
        <f>'5. % BY PORTFOLIO'!X124+'5. % BY PORTFOLIO'!X125</f>
        <v>0</v>
      </c>
      <c r="H16" s="123">
        <f>'5. % BY PORTFOLIO'!AB124</f>
        <v>0</v>
      </c>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row>
    <row r="17" spans="1:40" s="107" customFormat="1" ht="37.5" customHeight="1" thickTop="1" thickBot="1" x14ac:dyDescent="0.3">
      <c r="A17" s="106"/>
      <c r="B17" s="116" t="s">
        <v>267</v>
      </c>
      <c r="C17" s="124">
        <f>'5. % BY PORTFOLIO'!X139+'5. % BY PORTFOLIO'!X140</f>
        <v>15</v>
      </c>
      <c r="D17" s="164">
        <f>'5. % BY PORTFOLIO'!AB139</f>
        <v>0.9375</v>
      </c>
      <c r="E17" s="128">
        <f>'5. % BY PORTFOLIO'!X142+'5. % BY PORTFOLIO'!X143+'5. % BY PORTFOLIO'!X144</f>
        <v>0</v>
      </c>
      <c r="F17" s="121">
        <f>'5. % BY PORTFOLIO'!AB142</f>
        <v>0</v>
      </c>
      <c r="G17" s="126">
        <f>'5. % BY PORTFOLIO'!X146+'5. % BY PORTFOLIO'!X147</f>
        <v>1</v>
      </c>
      <c r="H17" s="123">
        <f>'5. % BY PORTFOLIO'!AB146</f>
        <v>6.25E-2</v>
      </c>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row>
    <row r="18" spans="1:40" s="30" customFormat="1" ht="15.75" thickTop="1" x14ac:dyDescent="0.25">
      <c r="D18" s="111"/>
    </row>
    <row r="19" spans="1:40" s="30" customFormat="1" x14ac:dyDescent="0.25">
      <c r="D19" s="111"/>
    </row>
    <row r="20" spans="1:40" s="30" customFormat="1" x14ac:dyDescent="0.25">
      <c r="D20" s="111"/>
    </row>
    <row r="21" spans="1:40" s="30" customFormat="1" x14ac:dyDescent="0.25">
      <c r="D21" s="111"/>
    </row>
    <row r="22" spans="1:40" s="30" customFormat="1" x14ac:dyDescent="0.25">
      <c r="D22" s="111"/>
    </row>
    <row r="23" spans="1:40" s="30" customFormat="1" x14ac:dyDescent="0.25">
      <c r="D23" s="111"/>
    </row>
    <row r="24" spans="1:40" s="30" customFormat="1" x14ac:dyDescent="0.25">
      <c r="D24" s="111"/>
    </row>
    <row r="25" spans="1:40" s="30" customFormat="1" x14ac:dyDescent="0.25">
      <c r="D25" s="111"/>
    </row>
    <row r="26" spans="1:40" s="30" customFormat="1" x14ac:dyDescent="0.25">
      <c r="D26" s="111"/>
    </row>
    <row r="27" spans="1:40" s="30" customFormat="1" x14ac:dyDescent="0.25">
      <c r="D27" s="111"/>
    </row>
    <row r="28" spans="1:40" s="30" customFormat="1" x14ac:dyDescent="0.25">
      <c r="D28" s="111"/>
    </row>
    <row r="29" spans="1:40" s="30" customFormat="1" x14ac:dyDescent="0.25">
      <c r="D29" s="111"/>
    </row>
    <row r="30" spans="1:40" s="30" customFormat="1" x14ac:dyDescent="0.25">
      <c r="D30" s="111"/>
    </row>
    <row r="31" spans="1:40" s="30" customFormat="1" x14ac:dyDescent="0.25">
      <c r="D31" s="111"/>
    </row>
    <row r="32" spans="1:40" s="30" customFormat="1" x14ac:dyDescent="0.25">
      <c r="D32" s="111"/>
    </row>
    <row r="33" spans="4:4" s="30" customFormat="1" x14ac:dyDescent="0.25">
      <c r="D33" s="111"/>
    </row>
    <row r="34" spans="4:4" s="30" customFormat="1" x14ac:dyDescent="0.25">
      <c r="D34" s="111"/>
    </row>
    <row r="35" spans="4:4" s="30" customFormat="1" x14ac:dyDescent="0.25">
      <c r="D35" s="111"/>
    </row>
    <row r="36" spans="4:4" s="30" customFormat="1" x14ac:dyDescent="0.25">
      <c r="D36" s="111"/>
    </row>
    <row r="37" spans="4:4" s="30" customFormat="1" x14ac:dyDescent="0.25">
      <c r="D37" s="111"/>
    </row>
    <row r="38" spans="4:4" s="30" customFormat="1" x14ac:dyDescent="0.25">
      <c r="D38" s="111"/>
    </row>
    <row r="39" spans="4:4" s="30" customFormat="1" x14ac:dyDescent="0.25">
      <c r="D39" s="111"/>
    </row>
    <row r="40" spans="4:4" s="30" customFormat="1" x14ac:dyDescent="0.25">
      <c r="D40" s="111"/>
    </row>
    <row r="41" spans="4:4" s="30" customFormat="1" x14ac:dyDescent="0.25">
      <c r="D41" s="111"/>
    </row>
    <row r="42" spans="4:4" s="30" customFormat="1" x14ac:dyDescent="0.25">
      <c r="D42" s="111"/>
    </row>
    <row r="43" spans="4:4" s="30" customFormat="1" x14ac:dyDescent="0.25">
      <c r="D43" s="111"/>
    </row>
    <row r="44" spans="4:4" s="30" customFormat="1" x14ac:dyDescent="0.25">
      <c r="D44" s="111"/>
    </row>
    <row r="45" spans="4:4" s="30" customFormat="1" x14ac:dyDescent="0.25">
      <c r="D45" s="111"/>
    </row>
    <row r="46" spans="4:4" s="30" customFormat="1" x14ac:dyDescent="0.25">
      <c r="D46" s="111"/>
    </row>
    <row r="47" spans="4:4" s="30" customFormat="1" x14ac:dyDescent="0.25">
      <c r="D47" s="111"/>
    </row>
    <row r="48" spans="4:4" s="30" customFormat="1" x14ac:dyDescent="0.25">
      <c r="D48" s="111"/>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G30"/>
  <sheetViews>
    <sheetView workbookViewId="0"/>
  </sheetViews>
  <sheetFormatPr defaultRowHeight="15" x14ac:dyDescent="0.25"/>
  <cols>
    <col min="1" max="1" width="79.85546875" customWidth="1"/>
    <col min="2" max="2" width="37" customWidth="1"/>
    <col min="3" max="3" width="12.42578125" customWidth="1"/>
    <col min="4" max="4" width="25.5703125" customWidth="1"/>
    <col min="5" max="5" width="20" customWidth="1"/>
    <col min="6" max="6" width="8.7109375" customWidth="1"/>
    <col min="7" max="7" width="13.140625" customWidth="1"/>
    <col min="8" max="8" width="18.5703125" customWidth="1"/>
    <col min="9" max="9" width="7.28515625" customWidth="1"/>
    <col min="10" max="11" width="11.28515625" customWidth="1"/>
    <col min="12" max="12" width="14.140625" bestFit="1" customWidth="1"/>
    <col min="13" max="13" width="31.42578125" bestFit="1" customWidth="1"/>
    <col min="14" max="14" width="11.42578125" bestFit="1" customWidth="1"/>
    <col min="15" max="15" width="9.85546875" bestFit="1" customWidth="1"/>
    <col min="16" max="16" width="22.7109375" bestFit="1" customWidth="1"/>
    <col min="17" max="17" width="7.28515625" customWidth="1"/>
    <col min="18" max="18" width="39.28515625" bestFit="1" customWidth="1"/>
    <col min="19" max="19" width="40.28515625" bestFit="1" customWidth="1"/>
  </cols>
  <sheetData>
    <row r="1" spans="1:7" ht="21" customHeight="1" thickBot="1" x14ac:dyDescent="0.3">
      <c r="A1" s="325" t="s">
        <v>62</v>
      </c>
    </row>
    <row r="2" spans="1:7" ht="24" customHeight="1" x14ac:dyDescent="0.25">
      <c r="A2" s="494" t="s">
        <v>228</v>
      </c>
      <c r="B2" s="495"/>
      <c r="C2" s="495"/>
      <c r="D2" s="495"/>
      <c r="E2" s="495"/>
      <c r="F2" s="495"/>
      <c r="G2" s="496"/>
    </row>
    <row r="3" spans="1:7" ht="24" customHeight="1" x14ac:dyDescent="0.25">
      <c r="A3" s="497"/>
      <c r="B3" s="498"/>
      <c r="C3" s="498"/>
      <c r="D3" s="498"/>
      <c r="E3" s="498"/>
      <c r="F3" s="498"/>
      <c r="G3" s="499"/>
    </row>
    <row r="4" spans="1:7" ht="24" customHeight="1" thickBot="1" x14ac:dyDescent="0.3">
      <c r="A4" s="500"/>
      <c r="B4" s="501"/>
      <c r="C4" s="501"/>
      <c r="D4" s="501"/>
      <c r="E4" s="501"/>
      <c r="F4" s="501"/>
      <c r="G4" s="502"/>
    </row>
    <row r="5" spans="1:7" x14ac:dyDescent="0.25">
      <c r="A5" s="225" t="s">
        <v>420</v>
      </c>
      <c r="B5" t="s">
        <v>269</v>
      </c>
    </row>
    <row r="7" spans="1:7" x14ac:dyDescent="0.25">
      <c r="A7" s="225" t="s">
        <v>227</v>
      </c>
      <c r="B7" t="s">
        <v>270</v>
      </c>
    </row>
    <row r="8" spans="1:7" x14ac:dyDescent="0.25">
      <c r="A8" s="227" t="s">
        <v>190</v>
      </c>
      <c r="B8" s="226">
        <v>14</v>
      </c>
    </row>
    <row r="9" spans="1:7" x14ac:dyDescent="0.25">
      <c r="A9" s="373" t="s">
        <v>85</v>
      </c>
      <c r="B9" s="226">
        <v>1</v>
      </c>
    </row>
    <row r="10" spans="1:7" x14ac:dyDescent="0.25">
      <c r="A10" s="373" t="s">
        <v>92</v>
      </c>
      <c r="B10" s="226">
        <v>7</v>
      </c>
    </row>
    <row r="11" spans="1:7" x14ac:dyDescent="0.25">
      <c r="A11" s="373" t="s">
        <v>267</v>
      </c>
      <c r="B11" s="226">
        <v>6</v>
      </c>
    </row>
    <row r="12" spans="1:7" x14ac:dyDescent="0.25">
      <c r="A12" s="227" t="s">
        <v>191</v>
      </c>
      <c r="B12" s="226">
        <v>50</v>
      </c>
    </row>
    <row r="13" spans="1:7" x14ac:dyDescent="0.25">
      <c r="A13" s="373" t="s">
        <v>85</v>
      </c>
      <c r="B13" s="226">
        <v>12</v>
      </c>
    </row>
    <row r="14" spans="1:7" x14ac:dyDescent="0.25">
      <c r="A14" s="373" t="s">
        <v>90</v>
      </c>
      <c r="B14" s="226">
        <v>7</v>
      </c>
    </row>
    <row r="15" spans="1:7" x14ac:dyDescent="0.25">
      <c r="A15" s="373" t="s">
        <v>268</v>
      </c>
      <c r="B15" s="226">
        <v>4</v>
      </c>
    </row>
    <row r="16" spans="1:7" x14ac:dyDescent="0.25">
      <c r="A16" s="373" t="s">
        <v>77</v>
      </c>
      <c r="B16" s="226">
        <v>5</v>
      </c>
    </row>
    <row r="17" spans="1:2" x14ac:dyDescent="0.25">
      <c r="A17" s="373" t="s">
        <v>92</v>
      </c>
      <c r="B17" s="226">
        <v>8</v>
      </c>
    </row>
    <row r="18" spans="1:2" x14ac:dyDescent="0.25">
      <c r="A18" s="373" t="s">
        <v>267</v>
      </c>
      <c r="B18" s="226">
        <v>7</v>
      </c>
    </row>
    <row r="19" spans="1:2" x14ac:dyDescent="0.25">
      <c r="A19" s="373" t="s">
        <v>5</v>
      </c>
      <c r="B19" s="226">
        <v>7</v>
      </c>
    </row>
    <row r="20" spans="1:2" x14ac:dyDescent="0.25">
      <c r="A20" s="227" t="s">
        <v>189</v>
      </c>
      <c r="B20" s="226">
        <v>58</v>
      </c>
    </row>
    <row r="21" spans="1:2" x14ac:dyDescent="0.25">
      <c r="A21" s="373" t="s">
        <v>85</v>
      </c>
      <c r="B21" s="226">
        <v>7</v>
      </c>
    </row>
    <row r="22" spans="1:2" x14ac:dyDescent="0.25">
      <c r="A22" s="373" t="s">
        <v>90</v>
      </c>
      <c r="B22" s="226">
        <v>8</v>
      </c>
    </row>
    <row r="23" spans="1:2" x14ac:dyDescent="0.25">
      <c r="A23" s="373" t="s">
        <v>268</v>
      </c>
      <c r="B23" s="226">
        <v>13</v>
      </c>
    </row>
    <row r="24" spans="1:2" x14ac:dyDescent="0.25">
      <c r="A24" s="373" t="s">
        <v>77</v>
      </c>
      <c r="B24" s="226">
        <v>15</v>
      </c>
    </row>
    <row r="25" spans="1:2" x14ac:dyDescent="0.25">
      <c r="A25" s="373" t="s">
        <v>92</v>
      </c>
      <c r="B25" s="226">
        <v>5</v>
      </c>
    </row>
    <row r="26" spans="1:2" x14ac:dyDescent="0.25">
      <c r="A26" s="373" t="s">
        <v>267</v>
      </c>
      <c r="B26" s="226">
        <v>3</v>
      </c>
    </row>
    <row r="27" spans="1:2" x14ac:dyDescent="0.25">
      <c r="A27" s="373" t="s">
        <v>5</v>
      </c>
      <c r="B27" s="226">
        <v>7</v>
      </c>
    </row>
    <row r="28" spans="1:2" x14ac:dyDescent="0.25">
      <c r="A28" s="227" t="s">
        <v>225</v>
      </c>
      <c r="B28" s="226"/>
    </row>
    <row r="29" spans="1:2" x14ac:dyDescent="0.25">
      <c r="A29" s="373" t="s">
        <v>225</v>
      </c>
      <c r="B29" s="226"/>
    </row>
    <row r="30" spans="1:2" x14ac:dyDescent="0.25">
      <c r="A30" s="227" t="s">
        <v>226</v>
      </c>
      <c r="B30" s="226">
        <v>122</v>
      </c>
    </row>
  </sheetData>
  <mergeCells count="1">
    <mergeCell ref="A2:G4"/>
  </mergeCells>
  <hyperlinks>
    <hyperlink ref="A1" location="INDEX!A1" display="Back to index"/>
  </hyperlinks>
  <pageMargins left="0.7" right="0.7" top="0.75" bottom="0.75" header="0.3" footer="0.3"/>
  <pageSetup paperSize="9"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863D"/>
    <pageSetUpPr fitToPage="1"/>
  </sheetPr>
  <dimension ref="A1:AY192"/>
  <sheetViews>
    <sheetView tabSelected="1" zoomScale="70" zoomScaleNormal="70" zoomScaleSheetLayoutView="30" workbookViewId="0">
      <pane xSplit="5" ySplit="3" topLeftCell="U70" activePane="bottomRight" state="frozen"/>
      <selection pane="topRight" activeCell="G1" sqref="G1"/>
      <selection pane="bottomLeft" activeCell="A3" sqref="A3"/>
      <selection pane="bottomRight" activeCell="W52" sqref="W52"/>
    </sheetView>
  </sheetViews>
  <sheetFormatPr defaultColWidth="9.140625" defaultRowHeight="15.75" x14ac:dyDescent="0.25"/>
  <cols>
    <col min="1" max="1" width="12.7109375" style="136" customWidth="1"/>
    <col min="2" max="2" width="18.85546875" style="41" customWidth="1"/>
    <col min="3" max="3" width="37" style="130" customWidth="1"/>
    <col min="4" max="4" width="41.140625" style="131" bestFit="1" customWidth="1"/>
    <col min="5" max="5" width="26.5703125" style="41" customWidth="1"/>
    <col min="6" max="7" width="39.7109375" style="130" customWidth="1"/>
    <col min="8" max="8" width="22.5703125" style="339" customWidth="1"/>
    <col min="9" max="9" width="39.7109375" style="130" customWidth="1"/>
    <col min="10" max="10" width="51.7109375" style="43" customWidth="1"/>
    <col min="11" max="12" width="39.7109375" style="43" customWidth="1"/>
    <col min="13" max="13" width="22.5703125" style="129" customWidth="1"/>
    <col min="14" max="14" width="52.5703125" style="43" customWidth="1"/>
    <col min="15" max="15" width="52.42578125" style="240" customWidth="1"/>
    <col min="16" max="17" width="41.85546875" style="240" customWidth="1"/>
    <col min="18" max="18" width="20.85546875" style="43" customWidth="1"/>
    <col min="19" max="19" width="73.140625" style="352" customWidth="1"/>
    <col min="20" max="20" width="60.28515625" style="240" customWidth="1"/>
    <col min="21" max="21" width="47.42578125" style="240" customWidth="1"/>
    <col min="22" max="22" width="25.28515625" style="129" customWidth="1"/>
    <col min="23" max="23" width="35.85546875" style="418" customWidth="1"/>
    <col min="24" max="24" width="22.140625" style="131" customWidth="1"/>
    <col min="25" max="26" width="22.140625" style="41" customWidth="1"/>
    <col min="27" max="27" width="23.5703125" style="131" hidden="1" customWidth="1"/>
    <col min="28" max="28" width="9.140625" style="242" hidden="1" customWidth="1"/>
    <col min="29" max="38" width="9.140625" style="319" customWidth="1"/>
    <col min="39" max="47" width="9.140625" style="319"/>
    <col min="48" max="16384" width="9.140625" style="41"/>
  </cols>
  <sheetData>
    <row r="1" spans="1:51" s="319" customFormat="1" ht="19.5" thickBot="1" x14ac:dyDescent="0.35">
      <c r="A1" s="222" t="s">
        <v>62</v>
      </c>
      <c r="C1" s="320"/>
      <c r="D1" s="321"/>
      <c r="F1" s="320"/>
      <c r="G1" s="320"/>
      <c r="H1" s="338"/>
      <c r="I1" s="320"/>
      <c r="J1" s="42"/>
      <c r="K1" s="42"/>
      <c r="L1" s="42"/>
      <c r="M1" s="322"/>
      <c r="N1" s="42"/>
      <c r="O1" s="323"/>
      <c r="P1" s="323"/>
      <c r="Q1" s="323"/>
      <c r="R1" s="42"/>
      <c r="S1" s="351"/>
      <c r="T1" s="323"/>
      <c r="U1" s="323"/>
      <c r="V1" s="322"/>
      <c r="W1" s="404"/>
      <c r="X1" s="321"/>
      <c r="AA1" s="321"/>
      <c r="AB1" s="324"/>
    </row>
    <row r="2" spans="1:51" ht="48.75" customHeight="1" thickTop="1" x14ac:dyDescent="0.25">
      <c r="A2" s="459" t="s">
        <v>224</v>
      </c>
      <c r="B2" s="460"/>
      <c r="C2" s="460"/>
      <c r="D2" s="461"/>
      <c r="E2" s="319"/>
      <c r="F2" s="320"/>
      <c r="G2" s="320"/>
      <c r="H2" s="338"/>
      <c r="I2" s="320"/>
      <c r="J2" s="42"/>
      <c r="K2" s="42"/>
      <c r="L2" s="42"/>
      <c r="M2" s="322"/>
      <c r="N2" s="42"/>
      <c r="O2" s="323"/>
      <c r="P2" s="323"/>
      <c r="Q2" s="323"/>
      <c r="R2" s="42"/>
      <c r="S2" s="351"/>
      <c r="T2" s="323"/>
      <c r="U2" s="323"/>
      <c r="V2" s="322"/>
      <c r="W2" s="404"/>
      <c r="X2" s="321"/>
      <c r="Y2" s="319"/>
      <c r="Z2" s="319"/>
      <c r="AA2" s="321"/>
      <c r="AB2" s="324"/>
      <c r="AV2" s="319"/>
      <c r="AW2" s="319"/>
      <c r="AX2" s="319"/>
      <c r="AY2" s="319"/>
    </row>
    <row r="3" spans="1:51" s="53" customFormat="1" ht="47.25" x14ac:dyDescent="0.25">
      <c r="A3" s="326" t="s">
        <v>207</v>
      </c>
      <c r="B3" s="327" t="s">
        <v>99</v>
      </c>
      <c r="C3" s="328" t="s">
        <v>0</v>
      </c>
      <c r="D3" s="327" t="s">
        <v>427</v>
      </c>
      <c r="E3" s="327" t="s">
        <v>86</v>
      </c>
      <c r="F3" s="327" t="s">
        <v>416</v>
      </c>
      <c r="G3" s="327" t="s">
        <v>259</v>
      </c>
      <c r="H3" s="327" t="s">
        <v>84</v>
      </c>
      <c r="I3" s="327" t="s">
        <v>235</v>
      </c>
      <c r="J3" s="327" t="s">
        <v>241</v>
      </c>
      <c r="K3" s="327" t="s">
        <v>417</v>
      </c>
      <c r="L3" s="327" t="s">
        <v>218</v>
      </c>
      <c r="M3" s="327" t="s">
        <v>7</v>
      </c>
      <c r="N3" s="327" t="s">
        <v>219</v>
      </c>
      <c r="O3" s="327" t="s">
        <v>418</v>
      </c>
      <c r="P3" s="327" t="s">
        <v>419</v>
      </c>
      <c r="Q3" s="327" t="s">
        <v>230</v>
      </c>
      <c r="R3" s="327" t="s">
        <v>8</v>
      </c>
      <c r="S3" s="327" t="s">
        <v>236</v>
      </c>
      <c r="T3" s="327" t="s">
        <v>242</v>
      </c>
      <c r="U3" s="327" t="s">
        <v>420</v>
      </c>
      <c r="V3" s="327" t="s">
        <v>74</v>
      </c>
      <c r="W3" s="327" t="s">
        <v>237</v>
      </c>
      <c r="X3" s="327" t="s">
        <v>3</v>
      </c>
      <c r="Y3" s="327" t="s">
        <v>67</v>
      </c>
      <c r="Z3" s="327" t="s">
        <v>4</v>
      </c>
      <c r="AA3" s="327" t="s">
        <v>87</v>
      </c>
      <c r="AB3" s="326" t="s">
        <v>89</v>
      </c>
      <c r="AC3" s="143"/>
      <c r="AD3" s="143"/>
      <c r="AE3" s="143"/>
      <c r="AF3" s="143"/>
      <c r="AG3" s="143"/>
      <c r="AH3" s="143"/>
      <c r="AI3" s="143"/>
      <c r="AJ3" s="143"/>
      <c r="AK3" s="143"/>
      <c r="AL3" s="143"/>
      <c r="AM3" s="143"/>
      <c r="AN3" s="143"/>
      <c r="AO3" s="143"/>
      <c r="AP3" s="143"/>
      <c r="AQ3" s="143"/>
      <c r="AR3" s="143"/>
      <c r="AS3" s="143"/>
      <c r="AT3" s="143"/>
      <c r="AU3" s="143"/>
    </row>
    <row r="4" spans="1:51" s="244" customFormat="1" ht="21" x14ac:dyDescent="0.35">
      <c r="A4" s="329" t="s">
        <v>204</v>
      </c>
      <c r="B4" s="374"/>
      <c r="C4" s="376"/>
      <c r="D4" s="374"/>
      <c r="E4" s="374"/>
      <c r="F4" s="374"/>
      <c r="G4" s="374"/>
      <c r="H4" s="374"/>
      <c r="I4" s="374"/>
      <c r="J4" s="374"/>
      <c r="K4" s="374"/>
      <c r="L4" s="374"/>
      <c r="M4" s="374"/>
      <c r="N4" s="374"/>
      <c r="O4" s="377"/>
      <c r="P4" s="377"/>
      <c r="Q4" s="377"/>
      <c r="R4" s="374"/>
      <c r="S4" s="377"/>
      <c r="T4" s="415"/>
      <c r="U4" s="377"/>
      <c r="V4" s="374"/>
      <c r="W4" s="374"/>
      <c r="X4" s="374"/>
      <c r="Y4" s="374"/>
      <c r="Z4" s="374"/>
      <c r="AA4" s="374"/>
      <c r="AB4" s="378">
        <v>1</v>
      </c>
      <c r="AC4" s="379"/>
      <c r="AD4" s="379"/>
      <c r="AE4" s="379"/>
      <c r="AF4" s="379"/>
      <c r="AG4" s="379"/>
      <c r="AH4" s="379"/>
      <c r="AI4" s="379"/>
      <c r="AJ4" s="379"/>
      <c r="AK4" s="379"/>
      <c r="AL4" s="379"/>
      <c r="AM4" s="379"/>
      <c r="AN4" s="379"/>
      <c r="AO4" s="379"/>
      <c r="AP4" s="379"/>
      <c r="AQ4" s="379"/>
      <c r="AR4" s="379"/>
      <c r="AS4" s="379"/>
      <c r="AT4" s="379"/>
      <c r="AU4" s="379"/>
    </row>
    <row r="5" spans="1:51" ht="103.5" customHeight="1" x14ac:dyDescent="0.25">
      <c r="A5" s="184" t="s">
        <v>103</v>
      </c>
      <c r="B5" s="183" t="s">
        <v>96</v>
      </c>
      <c r="C5" s="163" t="s">
        <v>271</v>
      </c>
      <c r="D5" s="334" t="s">
        <v>272</v>
      </c>
      <c r="E5" s="134">
        <v>43497</v>
      </c>
      <c r="F5" s="422"/>
      <c r="G5" s="422"/>
      <c r="H5" s="132" t="s">
        <v>43</v>
      </c>
      <c r="I5" s="422" t="s">
        <v>539</v>
      </c>
      <c r="J5" s="354" t="s">
        <v>690</v>
      </c>
      <c r="K5" s="354"/>
      <c r="L5" s="354"/>
      <c r="M5" s="132" t="s">
        <v>41</v>
      </c>
      <c r="N5" s="354"/>
      <c r="O5" s="436" t="s">
        <v>747</v>
      </c>
      <c r="P5" s="436"/>
      <c r="Q5" s="436"/>
      <c r="R5" s="350" t="s">
        <v>41</v>
      </c>
      <c r="S5" s="437"/>
      <c r="T5" s="405" t="s">
        <v>869</v>
      </c>
      <c r="U5" s="405"/>
      <c r="V5" s="132" t="s">
        <v>40</v>
      </c>
      <c r="W5" s="409"/>
      <c r="X5" s="133" t="s">
        <v>189</v>
      </c>
      <c r="Y5" s="161" t="s">
        <v>77</v>
      </c>
      <c r="Z5" s="161" t="s">
        <v>324</v>
      </c>
      <c r="AA5" s="356" t="s">
        <v>394</v>
      </c>
      <c r="AB5" s="243">
        <v>2</v>
      </c>
    </row>
    <row r="6" spans="1:51" ht="103.5" customHeight="1" x14ac:dyDescent="0.25">
      <c r="A6" s="184" t="s">
        <v>104</v>
      </c>
      <c r="B6" s="183" t="s">
        <v>96</v>
      </c>
      <c r="C6" s="163" t="s">
        <v>273</v>
      </c>
      <c r="D6" s="334" t="s">
        <v>464</v>
      </c>
      <c r="E6" s="134">
        <v>43282</v>
      </c>
      <c r="F6" s="422" t="s">
        <v>540</v>
      </c>
      <c r="G6" s="422"/>
      <c r="H6" s="132" t="s">
        <v>41</v>
      </c>
      <c r="I6" s="422"/>
      <c r="J6" s="354" t="s">
        <v>692</v>
      </c>
      <c r="K6" s="354"/>
      <c r="L6" s="354"/>
      <c r="M6" s="132" t="s">
        <v>40</v>
      </c>
      <c r="N6" s="354"/>
      <c r="O6" s="436" t="s">
        <v>827</v>
      </c>
      <c r="P6" s="436"/>
      <c r="Q6" s="436"/>
      <c r="R6" s="350" t="s">
        <v>40</v>
      </c>
      <c r="S6" s="437"/>
      <c r="T6" s="405" t="s">
        <v>871</v>
      </c>
      <c r="U6" s="405"/>
      <c r="V6" s="132" t="s">
        <v>40</v>
      </c>
      <c r="W6" s="409"/>
      <c r="X6" s="133" t="s">
        <v>189</v>
      </c>
      <c r="Y6" s="161" t="s">
        <v>77</v>
      </c>
      <c r="Z6" s="161" t="s">
        <v>324</v>
      </c>
      <c r="AA6" s="356" t="s">
        <v>394</v>
      </c>
      <c r="AB6" s="243">
        <v>3</v>
      </c>
    </row>
    <row r="7" spans="1:51" ht="120" x14ac:dyDescent="0.25">
      <c r="A7" s="184" t="s">
        <v>105</v>
      </c>
      <c r="B7" s="183" t="s">
        <v>96</v>
      </c>
      <c r="C7" s="163" t="s">
        <v>274</v>
      </c>
      <c r="D7" s="334" t="s">
        <v>465</v>
      </c>
      <c r="E7" s="134">
        <v>43525</v>
      </c>
      <c r="F7" s="422" t="s">
        <v>541</v>
      </c>
      <c r="G7" s="422"/>
      <c r="H7" s="132" t="s">
        <v>41</v>
      </c>
      <c r="I7" s="422"/>
      <c r="J7" s="354" t="s">
        <v>691</v>
      </c>
      <c r="K7" s="433"/>
      <c r="L7" s="354"/>
      <c r="M7" s="132" t="s">
        <v>41</v>
      </c>
      <c r="N7" s="354"/>
      <c r="O7" s="436" t="s">
        <v>748</v>
      </c>
      <c r="P7" s="436"/>
      <c r="Q7" s="436"/>
      <c r="R7" s="350" t="s">
        <v>41</v>
      </c>
      <c r="S7" s="437"/>
      <c r="T7" s="405" t="s">
        <v>870</v>
      </c>
      <c r="U7" s="405"/>
      <c r="V7" s="132" t="s">
        <v>40</v>
      </c>
      <c r="W7" s="409"/>
      <c r="X7" s="133" t="s">
        <v>189</v>
      </c>
      <c r="Y7" s="161" t="s">
        <v>77</v>
      </c>
      <c r="Z7" s="161" t="s">
        <v>324</v>
      </c>
      <c r="AA7" s="356" t="s">
        <v>394</v>
      </c>
      <c r="AB7" s="243">
        <v>4</v>
      </c>
    </row>
    <row r="8" spans="1:51" ht="105" customHeight="1" x14ac:dyDescent="0.25">
      <c r="A8" s="184" t="s">
        <v>106</v>
      </c>
      <c r="B8" s="183" t="s">
        <v>96</v>
      </c>
      <c r="C8" s="163" t="s">
        <v>275</v>
      </c>
      <c r="D8" s="334" t="s">
        <v>439</v>
      </c>
      <c r="E8" s="134">
        <v>43525</v>
      </c>
      <c r="F8" s="422" t="s">
        <v>542</v>
      </c>
      <c r="G8" s="422"/>
      <c r="H8" s="132" t="s">
        <v>41</v>
      </c>
      <c r="I8" s="422"/>
      <c r="J8" s="354" t="s">
        <v>693</v>
      </c>
      <c r="K8" s="354"/>
      <c r="L8" s="354"/>
      <c r="M8" s="132" t="s">
        <v>41</v>
      </c>
      <c r="N8" s="354"/>
      <c r="O8" s="436" t="s">
        <v>828</v>
      </c>
      <c r="P8" s="436"/>
      <c r="Q8" s="436"/>
      <c r="R8" s="350" t="s">
        <v>41</v>
      </c>
      <c r="S8" s="437"/>
      <c r="T8" s="405" t="s">
        <v>871</v>
      </c>
      <c r="U8" s="405"/>
      <c r="V8" s="132" t="s">
        <v>40</v>
      </c>
      <c r="W8" s="409"/>
      <c r="X8" s="133" t="s">
        <v>189</v>
      </c>
      <c r="Y8" s="161" t="s">
        <v>77</v>
      </c>
      <c r="Z8" s="161" t="s">
        <v>324</v>
      </c>
      <c r="AA8" s="356" t="s">
        <v>394</v>
      </c>
      <c r="AB8" s="243">
        <v>5</v>
      </c>
    </row>
    <row r="9" spans="1:51" ht="103.5" customHeight="1" x14ac:dyDescent="0.25">
      <c r="A9" s="184" t="s">
        <v>107</v>
      </c>
      <c r="B9" s="183" t="s">
        <v>96</v>
      </c>
      <c r="C9" s="163" t="s">
        <v>243</v>
      </c>
      <c r="D9" s="334" t="s">
        <v>466</v>
      </c>
      <c r="E9" s="134">
        <v>43525</v>
      </c>
      <c r="F9" s="422" t="s">
        <v>609</v>
      </c>
      <c r="G9" s="422"/>
      <c r="H9" s="132" t="s">
        <v>41</v>
      </c>
      <c r="I9" s="422"/>
      <c r="J9" s="354" t="s">
        <v>737</v>
      </c>
      <c r="K9" s="354"/>
      <c r="L9" s="354"/>
      <c r="M9" s="132" t="s">
        <v>41</v>
      </c>
      <c r="N9" s="354"/>
      <c r="O9" s="436" t="s">
        <v>829</v>
      </c>
      <c r="P9" s="436"/>
      <c r="Q9" s="436"/>
      <c r="R9" s="350" t="s">
        <v>44</v>
      </c>
      <c r="S9" s="436"/>
      <c r="T9" s="405" t="s">
        <v>871</v>
      </c>
      <c r="U9" s="405"/>
      <c r="V9" s="132" t="s">
        <v>40</v>
      </c>
      <c r="W9" s="409"/>
      <c r="X9" s="133" t="s">
        <v>189</v>
      </c>
      <c r="Y9" s="161" t="s">
        <v>77</v>
      </c>
      <c r="Z9" s="161" t="s">
        <v>324</v>
      </c>
      <c r="AA9" s="356" t="s">
        <v>394</v>
      </c>
      <c r="AB9" s="243">
        <v>6</v>
      </c>
    </row>
    <row r="10" spans="1:51" ht="103.5" customHeight="1" x14ac:dyDescent="0.25">
      <c r="A10" s="184" t="s">
        <v>108</v>
      </c>
      <c r="B10" s="183" t="s">
        <v>96</v>
      </c>
      <c r="C10" s="163" t="s">
        <v>243</v>
      </c>
      <c r="D10" s="334" t="s">
        <v>467</v>
      </c>
      <c r="E10" s="134">
        <v>43344</v>
      </c>
      <c r="F10" s="422" t="s">
        <v>543</v>
      </c>
      <c r="G10" s="422"/>
      <c r="H10" s="132" t="s">
        <v>41</v>
      </c>
      <c r="I10" s="422"/>
      <c r="J10" s="354" t="s">
        <v>696</v>
      </c>
      <c r="K10" s="354"/>
      <c r="L10" s="354"/>
      <c r="M10" s="410" t="s">
        <v>40</v>
      </c>
      <c r="N10" s="354" t="s">
        <v>695</v>
      </c>
      <c r="O10" s="436" t="s">
        <v>749</v>
      </c>
      <c r="P10" s="436"/>
      <c r="Q10" s="436"/>
      <c r="R10" s="350" t="s">
        <v>40</v>
      </c>
      <c r="S10" s="437"/>
      <c r="T10" s="405" t="s">
        <v>871</v>
      </c>
      <c r="U10" s="405"/>
      <c r="V10" s="132" t="s">
        <v>40</v>
      </c>
      <c r="W10" s="409"/>
      <c r="X10" s="133" t="s">
        <v>189</v>
      </c>
      <c r="Y10" s="161" t="s">
        <v>77</v>
      </c>
      <c r="Z10" s="161" t="s">
        <v>324</v>
      </c>
      <c r="AA10" s="356" t="s">
        <v>394</v>
      </c>
      <c r="AB10" s="243">
        <v>7</v>
      </c>
    </row>
    <row r="11" spans="1:51" ht="103.5" customHeight="1" x14ac:dyDescent="0.25">
      <c r="A11" s="184" t="s">
        <v>109</v>
      </c>
      <c r="B11" s="183" t="s">
        <v>95</v>
      </c>
      <c r="C11" s="163" t="s">
        <v>243</v>
      </c>
      <c r="D11" s="334" t="s">
        <v>456</v>
      </c>
      <c r="E11" s="134">
        <v>43525</v>
      </c>
      <c r="F11" s="422"/>
      <c r="G11" s="422"/>
      <c r="H11" s="132" t="s">
        <v>43</v>
      </c>
      <c r="I11" s="422"/>
      <c r="J11" s="354"/>
      <c r="K11" s="354"/>
      <c r="L11" s="354"/>
      <c r="M11" s="132" t="s">
        <v>43</v>
      </c>
      <c r="N11" s="354"/>
      <c r="O11" s="436" t="s">
        <v>830</v>
      </c>
      <c r="P11" s="436"/>
      <c r="Q11" s="436"/>
      <c r="R11" s="350" t="s">
        <v>41</v>
      </c>
      <c r="S11" s="437"/>
      <c r="T11" s="353" t="s">
        <v>851</v>
      </c>
      <c r="U11" s="405"/>
      <c r="V11" s="132" t="s">
        <v>40</v>
      </c>
      <c r="W11" s="409"/>
      <c r="X11" s="133" t="s">
        <v>189</v>
      </c>
      <c r="Y11" s="161" t="s">
        <v>77</v>
      </c>
      <c r="Z11" s="161" t="s">
        <v>324</v>
      </c>
      <c r="AA11" s="356" t="s">
        <v>395</v>
      </c>
      <c r="AB11" s="243">
        <v>8</v>
      </c>
    </row>
    <row r="12" spans="1:51" ht="94.5" x14ac:dyDescent="0.25">
      <c r="A12" s="184" t="s">
        <v>110</v>
      </c>
      <c r="B12" s="183" t="s">
        <v>95</v>
      </c>
      <c r="C12" s="163" t="s">
        <v>243</v>
      </c>
      <c r="D12" s="334" t="s">
        <v>498</v>
      </c>
      <c r="E12" s="134">
        <v>43525</v>
      </c>
      <c r="F12" s="422"/>
      <c r="G12" s="422"/>
      <c r="H12" s="132" t="s">
        <v>43</v>
      </c>
      <c r="I12" s="422"/>
      <c r="J12" s="354"/>
      <c r="K12" s="354"/>
      <c r="L12" s="354"/>
      <c r="M12" s="132" t="s">
        <v>43</v>
      </c>
      <c r="N12" s="354"/>
      <c r="O12" s="436"/>
      <c r="P12" s="436"/>
      <c r="Q12" s="436"/>
      <c r="R12" s="350" t="s">
        <v>43</v>
      </c>
      <c r="S12" s="437"/>
      <c r="T12" s="405" t="s">
        <v>924</v>
      </c>
      <c r="U12" s="408">
        <v>1</v>
      </c>
      <c r="V12" s="132" t="s">
        <v>40</v>
      </c>
      <c r="W12" s="409"/>
      <c r="X12" s="133" t="s">
        <v>189</v>
      </c>
      <c r="Y12" s="161" t="s">
        <v>77</v>
      </c>
      <c r="Z12" s="161" t="s">
        <v>324</v>
      </c>
      <c r="AA12" s="356" t="s">
        <v>396</v>
      </c>
      <c r="AB12" s="243">
        <v>9</v>
      </c>
    </row>
    <row r="13" spans="1:51" ht="103.5" customHeight="1" x14ac:dyDescent="0.25">
      <c r="A13" s="184" t="s">
        <v>111</v>
      </c>
      <c r="B13" s="183" t="s">
        <v>95</v>
      </c>
      <c r="C13" s="163" t="s">
        <v>243</v>
      </c>
      <c r="D13" s="334" t="s">
        <v>499</v>
      </c>
      <c r="E13" s="134">
        <v>43525</v>
      </c>
      <c r="F13" s="422"/>
      <c r="G13" s="422"/>
      <c r="H13" s="132" t="s">
        <v>43</v>
      </c>
      <c r="I13" s="422"/>
      <c r="J13" s="354"/>
      <c r="K13" s="354"/>
      <c r="L13" s="354"/>
      <c r="M13" s="132" t="s">
        <v>43</v>
      </c>
      <c r="N13" s="354"/>
      <c r="O13" s="436"/>
      <c r="P13" s="436"/>
      <c r="Q13" s="436"/>
      <c r="R13" s="350" t="s">
        <v>43</v>
      </c>
      <c r="S13" s="437"/>
      <c r="T13" s="405" t="s">
        <v>924</v>
      </c>
      <c r="U13" s="408">
        <v>1</v>
      </c>
      <c r="V13" s="132" t="s">
        <v>40</v>
      </c>
      <c r="W13" s="409"/>
      <c r="X13" s="133" t="s">
        <v>189</v>
      </c>
      <c r="Y13" s="161" t="s">
        <v>77</v>
      </c>
      <c r="Z13" s="161" t="s">
        <v>324</v>
      </c>
      <c r="AA13" s="356" t="s">
        <v>396</v>
      </c>
      <c r="AB13" s="243">
        <v>10</v>
      </c>
    </row>
    <row r="14" spans="1:51" ht="103.5" customHeight="1" x14ac:dyDescent="0.25">
      <c r="A14" s="184" t="s">
        <v>112</v>
      </c>
      <c r="B14" s="183" t="s">
        <v>98</v>
      </c>
      <c r="C14" s="163" t="s">
        <v>276</v>
      </c>
      <c r="D14" s="347" t="s">
        <v>462</v>
      </c>
      <c r="E14" s="134">
        <v>43525</v>
      </c>
      <c r="F14" s="422" t="s">
        <v>583</v>
      </c>
      <c r="G14" s="422"/>
      <c r="H14" s="132" t="s">
        <v>41</v>
      </c>
      <c r="I14" s="422"/>
      <c r="J14" s="354" t="s">
        <v>718</v>
      </c>
      <c r="K14" s="354"/>
      <c r="L14" s="354"/>
      <c r="M14" s="132" t="s">
        <v>41</v>
      </c>
      <c r="N14" s="354"/>
      <c r="O14" s="436" t="s">
        <v>831</v>
      </c>
      <c r="P14" s="436"/>
      <c r="Q14" s="436"/>
      <c r="R14" s="350" t="s">
        <v>41</v>
      </c>
      <c r="S14" s="437"/>
      <c r="T14" s="405" t="s">
        <v>855</v>
      </c>
      <c r="U14" s="354"/>
      <c r="V14" s="132" t="s">
        <v>40</v>
      </c>
      <c r="W14" s="409"/>
      <c r="X14" s="133" t="s">
        <v>189</v>
      </c>
      <c r="Y14" s="161" t="s">
        <v>77</v>
      </c>
      <c r="Z14" s="161" t="s">
        <v>324</v>
      </c>
      <c r="AA14" s="356" t="s">
        <v>397</v>
      </c>
      <c r="AB14" s="243">
        <v>11</v>
      </c>
    </row>
    <row r="15" spans="1:51" ht="103.5" customHeight="1" x14ac:dyDescent="0.25">
      <c r="A15" s="184" t="s">
        <v>113</v>
      </c>
      <c r="B15" s="183" t="s">
        <v>100</v>
      </c>
      <c r="C15" s="163" t="s">
        <v>244</v>
      </c>
      <c r="D15" s="334" t="s">
        <v>277</v>
      </c>
      <c r="E15" s="134">
        <v>43525</v>
      </c>
      <c r="F15" s="422">
        <v>0.37</v>
      </c>
      <c r="G15" s="422">
        <v>2.95</v>
      </c>
      <c r="H15" s="132" t="s">
        <v>41</v>
      </c>
      <c r="I15" s="422"/>
      <c r="J15" s="354">
        <v>0.57999999999999996</v>
      </c>
      <c r="K15" s="354">
        <v>1.01</v>
      </c>
      <c r="L15" s="354">
        <v>2.95</v>
      </c>
      <c r="M15" s="132" t="s">
        <v>41</v>
      </c>
      <c r="N15" s="354"/>
      <c r="O15" s="436">
        <v>0.79</v>
      </c>
      <c r="P15" s="438" t="s">
        <v>800</v>
      </c>
      <c r="Q15" s="438" t="s">
        <v>801</v>
      </c>
      <c r="R15" s="350" t="s">
        <v>41</v>
      </c>
      <c r="S15" s="437"/>
      <c r="T15" s="405">
        <v>1.08</v>
      </c>
      <c r="U15" s="405">
        <v>2.75</v>
      </c>
      <c r="V15" s="132" t="s">
        <v>40</v>
      </c>
      <c r="W15" s="409"/>
      <c r="X15" s="133" t="s">
        <v>189</v>
      </c>
      <c r="Y15" s="161" t="s">
        <v>77</v>
      </c>
      <c r="Z15" s="161" t="s">
        <v>393</v>
      </c>
      <c r="AA15" s="356" t="s">
        <v>398</v>
      </c>
      <c r="AB15" s="243">
        <v>12</v>
      </c>
    </row>
    <row r="16" spans="1:51" ht="103.5" customHeight="1" x14ac:dyDescent="0.25">
      <c r="A16" s="184" t="s">
        <v>114</v>
      </c>
      <c r="B16" s="183" t="s">
        <v>100</v>
      </c>
      <c r="C16" s="163" t="s">
        <v>278</v>
      </c>
      <c r="D16" s="334" t="s">
        <v>463</v>
      </c>
      <c r="E16" s="134">
        <v>43282</v>
      </c>
      <c r="F16" s="422" t="s">
        <v>572</v>
      </c>
      <c r="G16" s="422"/>
      <c r="H16" s="132" t="s">
        <v>41</v>
      </c>
      <c r="I16" s="422"/>
      <c r="J16" s="354" t="s">
        <v>719</v>
      </c>
      <c r="K16" s="354"/>
      <c r="L16" s="354"/>
      <c r="M16" s="132" t="s">
        <v>40</v>
      </c>
      <c r="N16" s="354" t="s">
        <v>694</v>
      </c>
      <c r="O16" s="436" t="s">
        <v>832</v>
      </c>
      <c r="P16" s="436"/>
      <c r="Q16" s="436"/>
      <c r="R16" s="350" t="s">
        <v>40</v>
      </c>
      <c r="S16" s="437"/>
      <c r="T16" s="405" t="s">
        <v>878</v>
      </c>
      <c r="U16" s="405"/>
      <c r="V16" s="132" t="s">
        <v>40</v>
      </c>
      <c r="W16" s="409"/>
      <c r="X16" s="133" t="s">
        <v>189</v>
      </c>
      <c r="Y16" s="161" t="s">
        <v>77</v>
      </c>
      <c r="Z16" s="161" t="s">
        <v>393</v>
      </c>
      <c r="AA16" s="356" t="s">
        <v>398</v>
      </c>
      <c r="AB16" s="243">
        <v>13</v>
      </c>
    </row>
    <row r="17" spans="1:28" ht="103.5" customHeight="1" x14ac:dyDescent="0.25">
      <c r="A17" s="184" t="s">
        <v>115</v>
      </c>
      <c r="B17" s="183" t="s">
        <v>100</v>
      </c>
      <c r="C17" s="163" t="s">
        <v>279</v>
      </c>
      <c r="D17" s="334" t="s">
        <v>280</v>
      </c>
      <c r="E17" s="134">
        <v>43525</v>
      </c>
      <c r="F17" s="422" t="s">
        <v>534</v>
      </c>
      <c r="G17" s="422" t="s">
        <v>534</v>
      </c>
      <c r="H17" s="132" t="s">
        <v>41</v>
      </c>
      <c r="I17" s="422"/>
      <c r="J17" s="354">
        <v>10.66</v>
      </c>
      <c r="K17" s="354">
        <v>12</v>
      </c>
      <c r="L17" s="354">
        <v>13</v>
      </c>
      <c r="M17" s="132" t="s">
        <v>41</v>
      </c>
      <c r="N17" s="354"/>
      <c r="O17" s="436" t="s">
        <v>802</v>
      </c>
      <c r="P17" s="436" t="s">
        <v>803</v>
      </c>
      <c r="Q17" s="436" t="s">
        <v>804</v>
      </c>
      <c r="R17" s="350" t="s">
        <v>41</v>
      </c>
      <c r="S17" s="437"/>
      <c r="T17" s="405" t="s">
        <v>803</v>
      </c>
      <c r="U17" s="405" t="s">
        <v>803</v>
      </c>
      <c r="V17" s="132" t="s">
        <v>40</v>
      </c>
      <c r="W17" s="409"/>
      <c r="X17" s="133" t="s">
        <v>189</v>
      </c>
      <c r="Y17" s="161" t="s">
        <v>77</v>
      </c>
      <c r="Z17" s="161" t="s">
        <v>393</v>
      </c>
      <c r="AA17" s="356" t="s">
        <v>398</v>
      </c>
      <c r="AB17" s="243">
        <v>14</v>
      </c>
    </row>
    <row r="18" spans="1:28" ht="121.5" customHeight="1" x14ac:dyDescent="0.25">
      <c r="A18" s="184" t="s">
        <v>116</v>
      </c>
      <c r="B18" s="183" t="s">
        <v>264</v>
      </c>
      <c r="C18" s="163" t="s">
        <v>281</v>
      </c>
      <c r="D18" s="334" t="s">
        <v>434</v>
      </c>
      <c r="E18" s="134">
        <v>43221</v>
      </c>
      <c r="F18" s="423" t="s">
        <v>578</v>
      </c>
      <c r="G18" s="423"/>
      <c r="H18" s="132" t="s">
        <v>40</v>
      </c>
      <c r="I18" s="422" t="s">
        <v>579</v>
      </c>
      <c r="J18" s="434" t="s">
        <v>685</v>
      </c>
      <c r="K18" s="434"/>
      <c r="L18" s="434"/>
      <c r="M18" s="132" t="s">
        <v>40</v>
      </c>
      <c r="N18" s="354"/>
      <c r="O18" s="438" t="s">
        <v>833</v>
      </c>
      <c r="P18" s="436"/>
      <c r="Q18" s="436"/>
      <c r="R18" s="350" t="s">
        <v>40</v>
      </c>
      <c r="S18" s="437"/>
      <c r="T18" s="408" t="s">
        <v>877</v>
      </c>
      <c r="U18" s="408"/>
      <c r="V18" s="132" t="s">
        <v>40</v>
      </c>
      <c r="W18" s="409"/>
      <c r="X18" s="133" t="s">
        <v>189</v>
      </c>
      <c r="Y18" s="161" t="s">
        <v>77</v>
      </c>
      <c r="Z18" s="161" t="s">
        <v>393</v>
      </c>
      <c r="AA18" s="356" t="s">
        <v>399</v>
      </c>
      <c r="AB18" s="243">
        <v>15</v>
      </c>
    </row>
    <row r="19" spans="1:28" ht="103.5" customHeight="1" x14ac:dyDescent="0.25">
      <c r="A19" s="184" t="s">
        <v>117</v>
      </c>
      <c r="B19" s="183" t="s">
        <v>264</v>
      </c>
      <c r="C19" s="163" t="s">
        <v>281</v>
      </c>
      <c r="D19" s="334" t="s">
        <v>435</v>
      </c>
      <c r="E19" s="134">
        <v>43374</v>
      </c>
      <c r="F19" s="423" t="s">
        <v>574</v>
      </c>
      <c r="G19" s="423"/>
      <c r="H19" s="132" t="s">
        <v>41</v>
      </c>
      <c r="I19" s="422"/>
      <c r="J19" s="434" t="s">
        <v>708</v>
      </c>
      <c r="K19" s="434"/>
      <c r="L19" s="434"/>
      <c r="M19" s="132" t="s">
        <v>40</v>
      </c>
      <c r="N19" s="354"/>
      <c r="O19" s="438" t="s">
        <v>832</v>
      </c>
      <c r="P19" s="436"/>
      <c r="Q19" s="436"/>
      <c r="R19" s="350" t="s">
        <v>40</v>
      </c>
      <c r="S19" s="437"/>
      <c r="T19" s="405" t="s">
        <v>878</v>
      </c>
      <c r="U19" s="408"/>
      <c r="V19" s="132" t="s">
        <v>40</v>
      </c>
      <c r="W19" s="409"/>
      <c r="X19" s="133" t="s">
        <v>189</v>
      </c>
      <c r="Y19" s="161" t="s">
        <v>77</v>
      </c>
      <c r="Z19" s="161" t="s">
        <v>393</v>
      </c>
      <c r="AA19" s="356" t="s">
        <v>400</v>
      </c>
      <c r="AB19" s="243">
        <v>16</v>
      </c>
    </row>
    <row r="20" spans="1:28" ht="354" customHeight="1" x14ac:dyDescent="0.25">
      <c r="A20" s="184" t="s">
        <v>118</v>
      </c>
      <c r="B20" s="183" t="s">
        <v>850</v>
      </c>
      <c r="C20" s="163" t="s">
        <v>282</v>
      </c>
      <c r="D20" s="334" t="s">
        <v>508</v>
      </c>
      <c r="E20" s="134">
        <v>43525</v>
      </c>
      <c r="F20" s="422" t="s">
        <v>535</v>
      </c>
      <c r="G20" s="422"/>
      <c r="H20" s="132" t="s">
        <v>41</v>
      </c>
      <c r="I20" s="422"/>
      <c r="J20" s="354" t="s">
        <v>702</v>
      </c>
      <c r="K20" s="354"/>
      <c r="L20" s="354"/>
      <c r="M20" s="132" t="s">
        <v>41</v>
      </c>
      <c r="N20" s="354"/>
      <c r="O20" s="436" t="s">
        <v>750</v>
      </c>
      <c r="P20" s="436"/>
      <c r="Q20" s="436"/>
      <c r="R20" s="350" t="s">
        <v>41</v>
      </c>
      <c r="S20" s="437"/>
      <c r="T20" s="354" t="s">
        <v>925</v>
      </c>
      <c r="U20" s="354"/>
      <c r="V20" s="132" t="s">
        <v>40</v>
      </c>
      <c r="W20" s="354"/>
      <c r="X20" s="133" t="s">
        <v>189</v>
      </c>
      <c r="Y20" s="161" t="s">
        <v>85</v>
      </c>
      <c r="Z20" s="161" t="s">
        <v>325</v>
      </c>
      <c r="AA20" s="356" t="s">
        <v>401</v>
      </c>
      <c r="AB20" s="243">
        <v>17</v>
      </c>
    </row>
    <row r="21" spans="1:28" ht="195" x14ac:dyDescent="0.25">
      <c r="A21" s="184" t="s">
        <v>119</v>
      </c>
      <c r="B21" s="183" t="s">
        <v>325</v>
      </c>
      <c r="C21" s="163" t="s">
        <v>282</v>
      </c>
      <c r="D21" s="334" t="s">
        <v>468</v>
      </c>
      <c r="E21" s="134">
        <v>43282</v>
      </c>
      <c r="F21" s="422"/>
      <c r="G21" s="422"/>
      <c r="H21" s="132" t="s">
        <v>43</v>
      </c>
      <c r="I21" s="422"/>
      <c r="J21" s="354" t="s">
        <v>740</v>
      </c>
      <c r="K21" s="354"/>
      <c r="L21" s="354"/>
      <c r="M21" s="132" t="s">
        <v>27</v>
      </c>
      <c r="N21" s="354"/>
      <c r="O21" s="436" t="s">
        <v>791</v>
      </c>
      <c r="P21" s="436"/>
      <c r="Q21" s="436"/>
      <c r="R21" s="350" t="s">
        <v>42</v>
      </c>
      <c r="S21" s="437"/>
      <c r="T21" s="405" t="s">
        <v>931</v>
      </c>
      <c r="U21" s="405"/>
      <c r="V21" s="132" t="s">
        <v>82</v>
      </c>
      <c r="W21" s="409"/>
      <c r="X21" s="133" t="s">
        <v>189</v>
      </c>
      <c r="Y21" s="161" t="s">
        <v>85</v>
      </c>
      <c r="Z21" s="161" t="s">
        <v>325</v>
      </c>
      <c r="AA21" s="356" t="s">
        <v>401</v>
      </c>
      <c r="AB21" s="243">
        <v>18</v>
      </c>
    </row>
    <row r="22" spans="1:28" ht="103.5" customHeight="1" x14ac:dyDescent="0.25">
      <c r="A22" s="184" t="s">
        <v>120</v>
      </c>
      <c r="B22" s="183" t="s">
        <v>325</v>
      </c>
      <c r="C22" s="163" t="s">
        <v>282</v>
      </c>
      <c r="D22" s="334" t="s">
        <v>469</v>
      </c>
      <c r="E22" s="134">
        <v>43435</v>
      </c>
      <c r="F22" s="422"/>
      <c r="G22" s="422"/>
      <c r="H22" s="132" t="s">
        <v>43</v>
      </c>
      <c r="I22" s="422"/>
      <c r="J22" s="354" t="s">
        <v>732</v>
      </c>
      <c r="K22" s="354"/>
      <c r="L22" s="354"/>
      <c r="M22" s="410" t="s">
        <v>41</v>
      </c>
      <c r="N22" s="354" t="s">
        <v>648</v>
      </c>
      <c r="O22" s="436" t="s">
        <v>790</v>
      </c>
      <c r="P22" s="436"/>
      <c r="Q22" s="436" t="s">
        <v>792</v>
      </c>
      <c r="R22" s="350" t="s">
        <v>40</v>
      </c>
      <c r="S22" s="437"/>
      <c r="T22" s="405" t="s">
        <v>931</v>
      </c>
      <c r="U22" s="405"/>
      <c r="V22" s="132" t="s">
        <v>40</v>
      </c>
      <c r="W22" s="409"/>
      <c r="X22" s="133" t="s">
        <v>189</v>
      </c>
      <c r="Y22" s="161" t="s">
        <v>85</v>
      </c>
      <c r="Z22" s="161" t="s">
        <v>325</v>
      </c>
      <c r="AA22" s="356" t="s">
        <v>401</v>
      </c>
      <c r="AB22" s="243">
        <v>19</v>
      </c>
    </row>
    <row r="23" spans="1:28" ht="103.5" customHeight="1" x14ac:dyDescent="0.25">
      <c r="A23" s="184" t="s">
        <v>121</v>
      </c>
      <c r="B23" s="183" t="s">
        <v>97</v>
      </c>
      <c r="C23" s="163" t="s">
        <v>283</v>
      </c>
      <c r="D23" s="334" t="s">
        <v>480</v>
      </c>
      <c r="E23" s="134">
        <v>43374</v>
      </c>
      <c r="F23" s="423" t="s">
        <v>531</v>
      </c>
      <c r="G23" s="423"/>
      <c r="H23" s="132" t="s">
        <v>41</v>
      </c>
      <c r="I23" s="422"/>
      <c r="J23" s="434" t="s">
        <v>647</v>
      </c>
      <c r="K23" s="435">
        <v>2</v>
      </c>
      <c r="L23" s="434"/>
      <c r="M23" s="132" t="s">
        <v>40</v>
      </c>
      <c r="N23" s="354"/>
      <c r="O23" s="438" t="s">
        <v>772</v>
      </c>
      <c r="P23" s="438"/>
      <c r="Q23" s="438"/>
      <c r="R23" s="350" t="s">
        <v>40</v>
      </c>
      <c r="S23" s="437"/>
      <c r="T23" s="408" t="s">
        <v>883</v>
      </c>
      <c r="U23" s="408"/>
      <c r="V23" s="410" t="s">
        <v>40</v>
      </c>
      <c r="W23" s="409"/>
      <c r="X23" s="133" t="s">
        <v>189</v>
      </c>
      <c r="Y23" s="161" t="s">
        <v>85</v>
      </c>
      <c r="Z23" s="161" t="s">
        <v>325</v>
      </c>
      <c r="AA23" s="356" t="s">
        <v>402</v>
      </c>
      <c r="AB23" s="243">
        <v>20</v>
      </c>
    </row>
    <row r="24" spans="1:28" ht="103.5" customHeight="1" x14ac:dyDescent="0.25">
      <c r="A24" s="184" t="s">
        <v>122</v>
      </c>
      <c r="B24" s="183" t="s">
        <v>97</v>
      </c>
      <c r="C24" s="163" t="s">
        <v>284</v>
      </c>
      <c r="D24" s="334" t="s">
        <v>285</v>
      </c>
      <c r="E24" s="134">
        <v>43525</v>
      </c>
      <c r="F24" s="423" t="s">
        <v>530</v>
      </c>
      <c r="G24" s="423"/>
      <c r="H24" s="132" t="s">
        <v>41</v>
      </c>
      <c r="I24" s="422"/>
      <c r="J24" s="434" t="s">
        <v>646</v>
      </c>
      <c r="K24" s="435">
        <v>4</v>
      </c>
      <c r="L24" s="434"/>
      <c r="M24" s="132" t="s">
        <v>41</v>
      </c>
      <c r="N24" s="354"/>
      <c r="O24" s="438" t="s">
        <v>773</v>
      </c>
      <c r="P24" s="438"/>
      <c r="Q24" s="438"/>
      <c r="R24" s="350" t="s">
        <v>41</v>
      </c>
      <c r="S24" s="437"/>
      <c r="T24" s="408" t="s">
        <v>882</v>
      </c>
      <c r="U24" s="408"/>
      <c r="V24" s="132" t="s">
        <v>40</v>
      </c>
      <c r="W24" s="409"/>
      <c r="X24" s="133" t="s">
        <v>189</v>
      </c>
      <c r="Y24" s="161" t="s">
        <v>85</v>
      </c>
      <c r="Z24" s="161" t="s">
        <v>325</v>
      </c>
      <c r="AA24" s="356" t="s">
        <v>402</v>
      </c>
      <c r="AB24" s="243">
        <v>21</v>
      </c>
    </row>
    <row r="25" spans="1:28" ht="195" customHeight="1" x14ac:dyDescent="0.25">
      <c r="A25" s="184" t="s">
        <v>123</v>
      </c>
      <c r="B25" s="183" t="s">
        <v>262</v>
      </c>
      <c r="C25" s="163" t="s">
        <v>286</v>
      </c>
      <c r="D25" s="334" t="s">
        <v>482</v>
      </c>
      <c r="E25" s="134">
        <v>43282</v>
      </c>
      <c r="F25" s="422" t="s">
        <v>617</v>
      </c>
      <c r="G25" s="422"/>
      <c r="H25" s="132" t="s">
        <v>41</v>
      </c>
      <c r="I25" s="422" t="s">
        <v>618</v>
      </c>
      <c r="J25" s="354" t="s">
        <v>728</v>
      </c>
      <c r="K25" s="354"/>
      <c r="L25" s="354"/>
      <c r="M25" s="132" t="s">
        <v>40</v>
      </c>
      <c r="N25" s="354" t="s">
        <v>729</v>
      </c>
      <c r="O25" s="436" t="s">
        <v>823</v>
      </c>
      <c r="P25" s="436"/>
      <c r="Q25" s="436"/>
      <c r="R25" s="350" t="s">
        <v>40</v>
      </c>
      <c r="S25" s="436"/>
      <c r="T25" s="405" t="s">
        <v>932</v>
      </c>
      <c r="U25" s="405"/>
      <c r="V25" s="132" t="s">
        <v>40</v>
      </c>
      <c r="W25" s="409" t="s">
        <v>867</v>
      </c>
      <c r="X25" s="133" t="s">
        <v>189</v>
      </c>
      <c r="Y25" s="161" t="s">
        <v>85</v>
      </c>
      <c r="Z25" s="161" t="s">
        <v>325</v>
      </c>
      <c r="AA25" s="356" t="s">
        <v>403</v>
      </c>
      <c r="AB25" s="243">
        <v>22</v>
      </c>
    </row>
    <row r="26" spans="1:28" ht="103.5" customHeight="1" x14ac:dyDescent="0.25">
      <c r="A26" s="184" t="s">
        <v>124</v>
      </c>
      <c r="B26" s="183" t="s">
        <v>326</v>
      </c>
      <c r="C26" s="163" t="s">
        <v>287</v>
      </c>
      <c r="D26" s="334" t="s">
        <v>471</v>
      </c>
      <c r="E26" s="134">
        <v>43252</v>
      </c>
      <c r="F26" s="422" t="s">
        <v>565</v>
      </c>
      <c r="G26" s="422"/>
      <c r="H26" s="132" t="s">
        <v>40</v>
      </c>
      <c r="I26" s="422"/>
      <c r="J26" s="354" t="s">
        <v>685</v>
      </c>
      <c r="K26" s="354"/>
      <c r="L26" s="354"/>
      <c r="M26" s="132" t="s">
        <v>40</v>
      </c>
      <c r="N26" s="354"/>
      <c r="O26" s="436" t="s">
        <v>796</v>
      </c>
      <c r="P26" s="436"/>
      <c r="Q26" s="436"/>
      <c r="R26" s="350" t="s">
        <v>40</v>
      </c>
      <c r="S26" s="437"/>
      <c r="T26" s="408" t="s">
        <v>877</v>
      </c>
      <c r="U26" s="405"/>
      <c r="V26" s="132" t="s">
        <v>40</v>
      </c>
      <c r="W26" s="409"/>
      <c r="X26" s="133" t="s">
        <v>189</v>
      </c>
      <c r="Y26" s="161" t="s">
        <v>85</v>
      </c>
      <c r="Z26" s="161" t="s">
        <v>325</v>
      </c>
      <c r="AA26" s="356" t="s">
        <v>404</v>
      </c>
      <c r="AB26" s="243">
        <v>23</v>
      </c>
    </row>
    <row r="27" spans="1:28" ht="103.5" customHeight="1" x14ac:dyDescent="0.25">
      <c r="A27" s="184" t="s">
        <v>125</v>
      </c>
      <c r="B27" s="183" t="s">
        <v>93</v>
      </c>
      <c r="C27" s="163" t="s">
        <v>288</v>
      </c>
      <c r="D27" s="334" t="s">
        <v>289</v>
      </c>
      <c r="E27" s="134">
        <v>43525</v>
      </c>
      <c r="F27" s="423">
        <v>0.97</v>
      </c>
      <c r="G27" s="422"/>
      <c r="H27" s="132" t="s">
        <v>41</v>
      </c>
      <c r="I27" s="422"/>
      <c r="J27" s="434">
        <v>0.97</v>
      </c>
      <c r="K27" s="434">
        <v>0.97</v>
      </c>
      <c r="L27" s="434">
        <v>0.97</v>
      </c>
      <c r="M27" s="132" t="s">
        <v>41</v>
      </c>
      <c r="N27" s="354"/>
      <c r="O27" s="438">
        <v>0.97</v>
      </c>
      <c r="P27" s="436"/>
      <c r="Q27" s="438">
        <v>0.97</v>
      </c>
      <c r="R27" s="350" t="s">
        <v>41</v>
      </c>
      <c r="S27" s="437"/>
      <c r="T27" s="408">
        <v>0.95</v>
      </c>
      <c r="U27" s="408">
        <v>0.97</v>
      </c>
      <c r="V27" s="132" t="s">
        <v>40</v>
      </c>
      <c r="W27" s="409"/>
      <c r="X27" s="133" t="s">
        <v>189</v>
      </c>
      <c r="Y27" s="161" t="s">
        <v>90</v>
      </c>
      <c r="Z27" s="161" t="s">
        <v>324</v>
      </c>
      <c r="AA27" s="356" t="s">
        <v>405</v>
      </c>
      <c r="AB27" s="243">
        <v>24</v>
      </c>
    </row>
    <row r="28" spans="1:28" ht="103.5" customHeight="1" x14ac:dyDescent="0.25">
      <c r="A28" s="184" t="s">
        <v>126</v>
      </c>
      <c r="B28" s="183" t="s">
        <v>93</v>
      </c>
      <c r="C28" s="163" t="s">
        <v>290</v>
      </c>
      <c r="D28" s="334" t="s">
        <v>484</v>
      </c>
      <c r="E28" s="134">
        <v>43525</v>
      </c>
      <c r="F28" s="422" t="s">
        <v>536</v>
      </c>
      <c r="G28" s="422"/>
      <c r="H28" s="132" t="s">
        <v>41</v>
      </c>
      <c r="I28" s="422"/>
      <c r="J28" s="354" t="s">
        <v>661</v>
      </c>
      <c r="K28" s="354"/>
      <c r="L28" s="354"/>
      <c r="M28" s="132" t="s">
        <v>41</v>
      </c>
      <c r="N28" s="354"/>
      <c r="O28" s="436" t="s">
        <v>764</v>
      </c>
      <c r="P28" s="436"/>
      <c r="Q28" s="436"/>
      <c r="R28" s="350" t="s">
        <v>41</v>
      </c>
      <c r="S28" s="437"/>
      <c r="T28" s="405" t="s">
        <v>874</v>
      </c>
      <c r="U28" s="354"/>
      <c r="V28" s="132" t="s">
        <v>40</v>
      </c>
      <c r="W28" s="409"/>
      <c r="X28" s="133" t="s">
        <v>189</v>
      </c>
      <c r="Y28" s="161" t="s">
        <v>90</v>
      </c>
      <c r="Z28" s="161" t="s">
        <v>324</v>
      </c>
      <c r="AA28" s="356" t="s">
        <v>405</v>
      </c>
      <c r="AB28" s="243">
        <v>25</v>
      </c>
    </row>
    <row r="29" spans="1:28" ht="103.5" customHeight="1" x14ac:dyDescent="0.25">
      <c r="A29" s="184" t="s">
        <v>127</v>
      </c>
      <c r="B29" s="183" t="s">
        <v>93</v>
      </c>
      <c r="C29" s="163" t="s">
        <v>291</v>
      </c>
      <c r="D29" s="334" t="s">
        <v>485</v>
      </c>
      <c r="E29" s="134">
        <v>43405</v>
      </c>
      <c r="F29" s="422" t="s">
        <v>538</v>
      </c>
      <c r="G29" s="422"/>
      <c r="H29" s="132" t="s">
        <v>41</v>
      </c>
      <c r="I29" s="422"/>
      <c r="J29" s="354" t="s">
        <v>662</v>
      </c>
      <c r="K29" s="354"/>
      <c r="L29" s="354"/>
      <c r="M29" s="132" t="s">
        <v>41</v>
      </c>
      <c r="N29" s="354"/>
      <c r="O29" s="426" t="s">
        <v>762</v>
      </c>
      <c r="P29" s="436"/>
      <c r="Q29" s="436"/>
      <c r="R29" s="350" t="s">
        <v>40</v>
      </c>
      <c r="S29" s="437"/>
      <c r="T29" s="405" t="s">
        <v>873</v>
      </c>
      <c r="U29" s="405"/>
      <c r="V29" s="132" t="s">
        <v>40</v>
      </c>
      <c r="W29" s="409"/>
      <c r="X29" s="133" t="s">
        <v>189</v>
      </c>
      <c r="Y29" s="161" t="s">
        <v>90</v>
      </c>
      <c r="Z29" s="161" t="s">
        <v>324</v>
      </c>
      <c r="AA29" s="356" t="s">
        <v>90</v>
      </c>
      <c r="AB29" s="243">
        <v>26</v>
      </c>
    </row>
    <row r="30" spans="1:28" ht="103.5" customHeight="1" x14ac:dyDescent="0.25">
      <c r="A30" s="184" t="s">
        <v>128</v>
      </c>
      <c r="B30" s="183" t="s">
        <v>93</v>
      </c>
      <c r="C30" s="163" t="s">
        <v>292</v>
      </c>
      <c r="D30" s="334" t="s">
        <v>486</v>
      </c>
      <c r="E30" s="134">
        <v>43466</v>
      </c>
      <c r="F30" s="422"/>
      <c r="G30" s="422"/>
      <c r="H30" s="132" t="s">
        <v>43</v>
      </c>
      <c r="I30" s="422"/>
      <c r="J30" s="354"/>
      <c r="K30" s="354"/>
      <c r="L30" s="354"/>
      <c r="M30" s="132" t="s">
        <v>43</v>
      </c>
      <c r="N30" s="354"/>
      <c r="O30" s="436" t="s">
        <v>763</v>
      </c>
      <c r="P30" s="436"/>
      <c r="Q30" s="436"/>
      <c r="R30" s="350" t="s">
        <v>41</v>
      </c>
      <c r="S30" s="437"/>
      <c r="T30" s="405" t="s">
        <v>872</v>
      </c>
      <c r="U30" s="405"/>
      <c r="V30" s="132" t="s">
        <v>40</v>
      </c>
      <c r="W30" s="409"/>
      <c r="X30" s="133" t="s">
        <v>189</v>
      </c>
      <c r="Y30" s="161" t="s">
        <v>90</v>
      </c>
      <c r="Z30" s="161" t="s">
        <v>324</v>
      </c>
      <c r="AA30" s="356" t="s">
        <v>90</v>
      </c>
      <c r="AB30" s="243">
        <v>27</v>
      </c>
    </row>
    <row r="31" spans="1:28" ht="103.5" customHeight="1" x14ac:dyDescent="0.25">
      <c r="A31" s="184" t="s">
        <v>129</v>
      </c>
      <c r="B31" s="183" t="s">
        <v>93</v>
      </c>
      <c r="C31" s="163" t="s">
        <v>292</v>
      </c>
      <c r="D31" s="334" t="s">
        <v>487</v>
      </c>
      <c r="E31" s="134">
        <v>43191</v>
      </c>
      <c r="F31" s="422" t="s">
        <v>608</v>
      </c>
      <c r="G31" s="422"/>
      <c r="H31" s="410" t="s">
        <v>40</v>
      </c>
      <c r="I31" s="422"/>
      <c r="J31" s="354" t="s">
        <v>686</v>
      </c>
      <c r="K31" s="354"/>
      <c r="L31" s="354"/>
      <c r="M31" s="132" t="s">
        <v>40</v>
      </c>
      <c r="N31" s="354"/>
      <c r="O31" s="436" t="s">
        <v>765</v>
      </c>
      <c r="P31" s="436"/>
      <c r="Q31" s="436"/>
      <c r="R31" s="350" t="s">
        <v>40</v>
      </c>
      <c r="S31" s="437"/>
      <c r="T31" s="436" t="s">
        <v>765</v>
      </c>
      <c r="U31" s="354"/>
      <c r="V31" s="132" t="s">
        <v>40</v>
      </c>
      <c r="W31" s="413"/>
      <c r="X31" s="133" t="s">
        <v>189</v>
      </c>
      <c r="Y31" s="161" t="s">
        <v>90</v>
      </c>
      <c r="Z31" s="161" t="s">
        <v>324</v>
      </c>
      <c r="AA31" s="356" t="s">
        <v>90</v>
      </c>
      <c r="AB31" s="243">
        <v>28</v>
      </c>
    </row>
    <row r="32" spans="1:28" ht="150" x14ac:dyDescent="0.25">
      <c r="A32" s="184" t="s">
        <v>130</v>
      </c>
      <c r="B32" s="183" t="s">
        <v>93</v>
      </c>
      <c r="C32" s="163" t="s">
        <v>293</v>
      </c>
      <c r="D32" s="334" t="s">
        <v>233</v>
      </c>
      <c r="E32" s="134">
        <v>43525</v>
      </c>
      <c r="F32" s="422" t="s">
        <v>622</v>
      </c>
      <c r="G32" s="422"/>
      <c r="H32" s="132" t="s">
        <v>27</v>
      </c>
      <c r="I32" s="422" t="s">
        <v>621</v>
      </c>
      <c r="J32" s="354" t="s">
        <v>663</v>
      </c>
      <c r="K32" s="354" t="s">
        <v>711</v>
      </c>
      <c r="L32" s="354"/>
      <c r="M32" s="132" t="s">
        <v>27</v>
      </c>
      <c r="N32" s="354" t="s">
        <v>664</v>
      </c>
      <c r="O32" s="436" t="s">
        <v>769</v>
      </c>
      <c r="P32" s="436" t="s">
        <v>770</v>
      </c>
      <c r="Q32" s="436"/>
      <c r="R32" s="350" t="s">
        <v>27</v>
      </c>
      <c r="S32" s="426" t="s">
        <v>771</v>
      </c>
      <c r="T32" s="436" t="s">
        <v>891</v>
      </c>
      <c r="U32" s="354" t="s">
        <v>892</v>
      </c>
      <c r="V32" s="132" t="s">
        <v>27</v>
      </c>
      <c r="W32" s="353"/>
      <c r="X32" s="133" t="s">
        <v>189</v>
      </c>
      <c r="Y32" s="161" t="s">
        <v>90</v>
      </c>
      <c r="Z32" s="161" t="s">
        <v>324</v>
      </c>
      <c r="AA32" s="356" t="s">
        <v>90</v>
      </c>
      <c r="AB32" s="243">
        <v>29</v>
      </c>
    </row>
    <row r="33" spans="1:28" ht="103.5" customHeight="1" x14ac:dyDescent="0.25">
      <c r="A33" s="184" t="s">
        <v>131</v>
      </c>
      <c r="B33" s="183" t="s">
        <v>93</v>
      </c>
      <c r="C33" s="163" t="s">
        <v>294</v>
      </c>
      <c r="D33" s="334" t="s">
        <v>488</v>
      </c>
      <c r="E33" s="134">
        <v>43525</v>
      </c>
      <c r="F33" s="422" t="s">
        <v>584</v>
      </c>
      <c r="G33" s="422"/>
      <c r="H33" s="132" t="s">
        <v>41</v>
      </c>
      <c r="I33" s="422"/>
      <c r="J33" s="354" t="s">
        <v>712</v>
      </c>
      <c r="K33" s="434">
        <v>1</v>
      </c>
      <c r="L33" s="434">
        <v>1</v>
      </c>
      <c r="M33" s="132" t="s">
        <v>41</v>
      </c>
      <c r="N33" s="354"/>
      <c r="O33" s="436" t="s">
        <v>774</v>
      </c>
      <c r="P33" s="436" t="s">
        <v>834</v>
      </c>
      <c r="Q33" s="438">
        <v>1</v>
      </c>
      <c r="R33" s="350" t="s">
        <v>41</v>
      </c>
      <c r="S33" s="437"/>
      <c r="T33" s="405" t="s">
        <v>876</v>
      </c>
      <c r="U33" s="408">
        <v>1</v>
      </c>
      <c r="V33" s="132" t="s">
        <v>40</v>
      </c>
      <c r="W33" s="409"/>
      <c r="X33" s="133" t="s">
        <v>189</v>
      </c>
      <c r="Y33" s="161" t="s">
        <v>90</v>
      </c>
      <c r="Z33" s="161" t="s">
        <v>324</v>
      </c>
      <c r="AA33" s="356" t="s">
        <v>90</v>
      </c>
      <c r="AB33" s="243">
        <v>30</v>
      </c>
    </row>
    <row r="34" spans="1:28" ht="103.5" customHeight="1" x14ac:dyDescent="0.25">
      <c r="A34" s="184" t="s">
        <v>132</v>
      </c>
      <c r="B34" s="183" t="s">
        <v>93</v>
      </c>
      <c r="C34" s="163" t="s">
        <v>295</v>
      </c>
      <c r="D34" s="334" t="s">
        <v>296</v>
      </c>
      <c r="E34" s="134">
        <v>43525</v>
      </c>
      <c r="F34" s="422"/>
      <c r="G34" s="422"/>
      <c r="H34" s="132" t="s">
        <v>43</v>
      </c>
      <c r="I34" s="422"/>
      <c r="J34" s="354"/>
      <c r="K34" s="354"/>
      <c r="L34" s="354"/>
      <c r="M34" s="132" t="s">
        <v>43</v>
      </c>
      <c r="N34" s="354"/>
      <c r="O34" s="436" t="s">
        <v>766</v>
      </c>
      <c r="P34" s="436"/>
      <c r="Q34" s="436"/>
      <c r="R34" s="350" t="s">
        <v>41</v>
      </c>
      <c r="S34" s="437"/>
      <c r="T34" s="405" t="s">
        <v>875</v>
      </c>
      <c r="U34" s="405"/>
      <c r="V34" s="132" t="s">
        <v>40</v>
      </c>
      <c r="W34" s="409"/>
      <c r="X34" s="133" t="s">
        <v>189</v>
      </c>
      <c r="Y34" s="161" t="s">
        <v>90</v>
      </c>
      <c r="Z34" s="161" t="s">
        <v>324</v>
      </c>
      <c r="AA34" s="356" t="s">
        <v>90</v>
      </c>
      <c r="AB34" s="243">
        <v>31</v>
      </c>
    </row>
    <row r="35" spans="1:28" ht="103.5" customHeight="1" x14ac:dyDescent="0.25">
      <c r="A35" s="184" t="s">
        <v>133</v>
      </c>
      <c r="B35" s="183" t="s">
        <v>263</v>
      </c>
      <c r="C35" s="163" t="s">
        <v>297</v>
      </c>
      <c r="D35" s="334" t="s">
        <v>439</v>
      </c>
      <c r="E35" s="134">
        <v>43525</v>
      </c>
      <c r="F35" s="422" t="s">
        <v>594</v>
      </c>
      <c r="G35" s="422"/>
      <c r="H35" s="132" t="s">
        <v>41</v>
      </c>
      <c r="I35" s="422"/>
      <c r="J35" s="354" t="s">
        <v>709</v>
      </c>
      <c r="K35" s="354">
        <v>1</v>
      </c>
      <c r="L35" s="354">
        <v>2</v>
      </c>
      <c r="M35" s="132" t="s">
        <v>41</v>
      </c>
      <c r="N35" s="354"/>
      <c r="O35" s="436" t="s">
        <v>847</v>
      </c>
      <c r="P35" s="436"/>
      <c r="Q35" s="436"/>
      <c r="R35" s="350" t="s">
        <v>41</v>
      </c>
      <c r="S35" s="439"/>
      <c r="T35" s="405" t="s">
        <v>932</v>
      </c>
      <c r="U35" s="405"/>
      <c r="V35" s="132" t="s">
        <v>40</v>
      </c>
      <c r="W35" s="409"/>
      <c r="X35" s="133" t="s">
        <v>189</v>
      </c>
      <c r="Y35" s="161" t="s">
        <v>92</v>
      </c>
      <c r="Z35" s="161" t="s">
        <v>324</v>
      </c>
      <c r="AA35" s="356" t="s">
        <v>92</v>
      </c>
      <c r="AB35" s="243">
        <v>32</v>
      </c>
    </row>
    <row r="36" spans="1:28" ht="103.5" customHeight="1" x14ac:dyDescent="0.25">
      <c r="A36" s="184" t="s">
        <v>134</v>
      </c>
      <c r="B36" s="183" t="s">
        <v>263</v>
      </c>
      <c r="C36" s="163" t="s">
        <v>298</v>
      </c>
      <c r="D36" s="334" t="s">
        <v>440</v>
      </c>
      <c r="E36" s="134">
        <v>43191</v>
      </c>
      <c r="F36" s="422" t="s">
        <v>586</v>
      </c>
      <c r="G36" s="422"/>
      <c r="H36" s="132" t="s">
        <v>40</v>
      </c>
      <c r="I36" s="422"/>
      <c r="J36" s="434" t="s">
        <v>685</v>
      </c>
      <c r="K36" s="354"/>
      <c r="L36" s="354"/>
      <c r="M36" s="132" t="s">
        <v>40</v>
      </c>
      <c r="N36" s="354"/>
      <c r="O36" s="436" t="s">
        <v>833</v>
      </c>
      <c r="P36" s="436"/>
      <c r="Q36" s="436"/>
      <c r="R36" s="350" t="s">
        <v>40</v>
      </c>
      <c r="S36" s="439"/>
      <c r="T36" s="405" t="s">
        <v>932</v>
      </c>
      <c r="U36" s="405"/>
      <c r="V36" s="132" t="s">
        <v>40</v>
      </c>
      <c r="W36" s="409"/>
      <c r="X36" s="133" t="s">
        <v>189</v>
      </c>
      <c r="Y36" s="161" t="s">
        <v>92</v>
      </c>
      <c r="Z36" s="161" t="s">
        <v>324</v>
      </c>
      <c r="AA36" s="356" t="s">
        <v>92</v>
      </c>
      <c r="AB36" s="243">
        <v>33</v>
      </c>
    </row>
    <row r="37" spans="1:28" ht="103.5" customHeight="1" x14ac:dyDescent="0.25">
      <c r="A37" s="184" t="s">
        <v>135</v>
      </c>
      <c r="B37" s="183" t="s">
        <v>263</v>
      </c>
      <c r="C37" s="163" t="s">
        <v>298</v>
      </c>
      <c r="D37" s="334" t="s">
        <v>441</v>
      </c>
      <c r="E37" s="134">
        <v>43435</v>
      </c>
      <c r="F37" s="422"/>
      <c r="G37" s="422"/>
      <c r="H37" s="132" t="s">
        <v>43</v>
      </c>
      <c r="I37" s="422"/>
      <c r="J37" s="354" t="s">
        <v>704</v>
      </c>
      <c r="K37" s="354"/>
      <c r="L37" s="354"/>
      <c r="M37" s="132" t="s">
        <v>41</v>
      </c>
      <c r="N37" s="354"/>
      <c r="O37" s="436" t="s">
        <v>743</v>
      </c>
      <c r="P37" s="436"/>
      <c r="Q37" s="436"/>
      <c r="R37" s="350" t="s">
        <v>40</v>
      </c>
      <c r="S37" s="439"/>
      <c r="T37" s="405" t="s">
        <v>932</v>
      </c>
      <c r="U37" s="405"/>
      <c r="V37" s="132" t="s">
        <v>40</v>
      </c>
      <c r="W37" s="409"/>
      <c r="X37" s="133" t="s">
        <v>189</v>
      </c>
      <c r="Y37" s="161" t="s">
        <v>92</v>
      </c>
      <c r="Z37" s="161" t="s">
        <v>324</v>
      </c>
      <c r="AA37" s="356" t="s">
        <v>92</v>
      </c>
      <c r="AB37" s="243">
        <v>34</v>
      </c>
    </row>
    <row r="38" spans="1:28" ht="103.5" customHeight="1" x14ac:dyDescent="0.25">
      <c r="A38" s="184" t="s">
        <v>136</v>
      </c>
      <c r="B38" s="183" t="s">
        <v>263</v>
      </c>
      <c r="C38" s="163" t="s">
        <v>298</v>
      </c>
      <c r="D38" s="334" t="s">
        <v>442</v>
      </c>
      <c r="E38" s="134">
        <v>43344</v>
      </c>
      <c r="F38" s="422" t="s">
        <v>587</v>
      </c>
      <c r="G38" s="422"/>
      <c r="H38" s="132" t="s">
        <v>41</v>
      </c>
      <c r="I38" s="422"/>
      <c r="J38" s="354" t="s">
        <v>710</v>
      </c>
      <c r="K38" s="354"/>
      <c r="L38" s="354"/>
      <c r="M38" s="132" t="s">
        <v>40</v>
      </c>
      <c r="N38" s="354"/>
      <c r="O38" s="436" t="s">
        <v>832</v>
      </c>
      <c r="P38" s="436"/>
      <c r="Q38" s="436"/>
      <c r="R38" s="350" t="s">
        <v>40</v>
      </c>
      <c r="S38" s="439"/>
      <c r="T38" s="405" t="s">
        <v>932</v>
      </c>
      <c r="U38" s="405"/>
      <c r="V38" s="132" t="s">
        <v>40</v>
      </c>
      <c r="W38" s="409"/>
      <c r="X38" s="133" t="s">
        <v>189</v>
      </c>
      <c r="Y38" s="161" t="s">
        <v>92</v>
      </c>
      <c r="Z38" s="161" t="s">
        <v>324</v>
      </c>
      <c r="AA38" s="356" t="s">
        <v>92</v>
      </c>
      <c r="AB38" s="243">
        <v>35</v>
      </c>
    </row>
    <row r="39" spans="1:28" ht="103.5" customHeight="1" x14ac:dyDescent="0.25">
      <c r="A39" s="184" t="s">
        <v>137</v>
      </c>
      <c r="B39" s="183" t="s">
        <v>263</v>
      </c>
      <c r="C39" s="163" t="s">
        <v>298</v>
      </c>
      <c r="D39" s="334" t="s">
        <v>443</v>
      </c>
      <c r="E39" s="134">
        <v>43525</v>
      </c>
      <c r="F39" s="422"/>
      <c r="G39" s="422"/>
      <c r="H39" s="132" t="s">
        <v>43</v>
      </c>
      <c r="I39" s="422"/>
      <c r="J39" s="354" t="s">
        <v>705</v>
      </c>
      <c r="K39" s="354"/>
      <c r="L39" s="354"/>
      <c r="M39" s="132" t="s">
        <v>41</v>
      </c>
      <c r="N39" s="354"/>
      <c r="O39" s="436" t="s">
        <v>835</v>
      </c>
      <c r="P39" s="436"/>
      <c r="Q39" s="436"/>
      <c r="R39" s="350" t="s">
        <v>41</v>
      </c>
      <c r="S39" s="439"/>
      <c r="T39" s="405" t="s">
        <v>932</v>
      </c>
      <c r="U39" s="405"/>
      <c r="V39" s="132" t="s">
        <v>40</v>
      </c>
      <c r="W39" s="409"/>
      <c r="X39" s="133" t="s">
        <v>189</v>
      </c>
      <c r="Y39" s="161" t="s">
        <v>92</v>
      </c>
      <c r="Z39" s="161" t="s">
        <v>324</v>
      </c>
      <c r="AA39" s="356" t="s">
        <v>92</v>
      </c>
      <c r="AB39" s="243">
        <v>36</v>
      </c>
    </row>
    <row r="40" spans="1:28" ht="123" customHeight="1" x14ac:dyDescent="0.25">
      <c r="A40" s="184" t="s">
        <v>138</v>
      </c>
      <c r="B40" s="183" t="s">
        <v>232</v>
      </c>
      <c r="C40" s="163" t="s">
        <v>299</v>
      </c>
      <c r="D40" s="334" t="s">
        <v>490</v>
      </c>
      <c r="E40" s="134">
        <v>43252</v>
      </c>
      <c r="F40" s="422" t="s">
        <v>595</v>
      </c>
      <c r="G40" s="422"/>
      <c r="H40" s="132" t="s">
        <v>40</v>
      </c>
      <c r="I40" s="422" t="s">
        <v>596</v>
      </c>
      <c r="J40" s="354" t="s">
        <v>677</v>
      </c>
      <c r="K40" s="354"/>
      <c r="L40" s="354"/>
      <c r="M40" s="132" t="s">
        <v>40</v>
      </c>
      <c r="N40" s="354"/>
      <c r="O40" s="436" t="s">
        <v>833</v>
      </c>
      <c r="P40" s="436"/>
      <c r="Q40" s="436"/>
      <c r="R40" s="350" t="s">
        <v>40</v>
      </c>
      <c r="S40" s="437"/>
      <c r="T40" s="405" t="s">
        <v>859</v>
      </c>
      <c r="U40" s="405"/>
      <c r="V40" s="132" t="s">
        <v>40</v>
      </c>
      <c r="W40" s="409"/>
      <c r="X40" s="133" t="s">
        <v>189</v>
      </c>
      <c r="Y40" s="161" t="s">
        <v>5</v>
      </c>
      <c r="Z40" s="161" t="s">
        <v>325</v>
      </c>
      <c r="AA40" s="356" t="s">
        <v>406</v>
      </c>
      <c r="AB40" s="243">
        <v>37</v>
      </c>
    </row>
    <row r="41" spans="1:28" ht="103.5" customHeight="1" x14ac:dyDescent="0.25">
      <c r="A41" s="184" t="s">
        <v>139</v>
      </c>
      <c r="B41" s="183" t="s">
        <v>232</v>
      </c>
      <c r="C41" s="163" t="s">
        <v>299</v>
      </c>
      <c r="D41" s="334" t="s">
        <v>300</v>
      </c>
      <c r="E41" s="134" t="s">
        <v>301</v>
      </c>
      <c r="F41" s="422"/>
      <c r="G41" s="422"/>
      <c r="H41" s="132" t="s">
        <v>43</v>
      </c>
      <c r="I41" s="422" t="s">
        <v>522</v>
      </c>
      <c r="J41" s="354" t="s">
        <v>713</v>
      </c>
      <c r="K41" s="354"/>
      <c r="L41" s="354"/>
      <c r="M41" s="132" t="s">
        <v>41</v>
      </c>
      <c r="N41" s="354"/>
      <c r="O41" s="436" t="s">
        <v>521</v>
      </c>
      <c r="P41" s="436"/>
      <c r="Q41" s="436"/>
      <c r="R41" s="350" t="s">
        <v>40</v>
      </c>
      <c r="S41" s="437"/>
      <c r="T41" s="405" t="s">
        <v>860</v>
      </c>
      <c r="U41" s="405"/>
      <c r="V41" s="132" t="s">
        <v>40</v>
      </c>
      <c r="W41" s="409"/>
      <c r="X41" s="133" t="s">
        <v>189</v>
      </c>
      <c r="Y41" s="161" t="s">
        <v>5</v>
      </c>
      <c r="Z41" s="161" t="s">
        <v>325</v>
      </c>
      <c r="AA41" s="356" t="s">
        <v>406</v>
      </c>
      <c r="AB41" s="243">
        <v>38</v>
      </c>
    </row>
    <row r="42" spans="1:28" ht="103.5" customHeight="1" x14ac:dyDescent="0.25">
      <c r="A42" s="184" t="s">
        <v>140</v>
      </c>
      <c r="B42" s="183" t="s">
        <v>232</v>
      </c>
      <c r="C42" s="163" t="s">
        <v>299</v>
      </c>
      <c r="D42" s="334" t="s">
        <v>492</v>
      </c>
      <c r="E42" s="134">
        <v>43344</v>
      </c>
      <c r="F42" s="422" t="s">
        <v>523</v>
      </c>
      <c r="G42" s="422"/>
      <c r="H42" s="132" t="s">
        <v>41</v>
      </c>
      <c r="I42" s="422"/>
      <c r="J42" s="354" t="s">
        <v>678</v>
      </c>
      <c r="K42" s="354"/>
      <c r="L42" s="354"/>
      <c r="M42" s="132" t="s">
        <v>40</v>
      </c>
      <c r="N42" s="354"/>
      <c r="O42" s="436" t="s">
        <v>836</v>
      </c>
      <c r="P42" s="436"/>
      <c r="Q42" s="436"/>
      <c r="R42" s="350" t="s">
        <v>40</v>
      </c>
      <c r="S42" s="437"/>
      <c r="T42" s="405" t="s">
        <v>861</v>
      </c>
      <c r="U42" s="405"/>
      <c r="V42" s="132" t="s">
        <v>40</v>
      </c>
      <c r="W42" s="409"/>
      <c r="X42" s="133" t="s">
        <v>189</v>
      </c>
      <c r="Y42" s="161" t="s">
        <v>5</v>
      </c>
      <c r="Z42" s="161" t="s">
        <v>325</v>
      </c>
      <c r="AA42" s="356" t="s">
        <v>406</v>
      </c>
      <c r="AB42" s="243">
        <v>39</v>
      </c>
    </row>
    <row r="43" spans="1:28" ht="103.5" customHeight="1" x14ac:dyDescent="0.25">
      <c r="A43" s="184" t="s">
        <v>141</v>
      </c>
      <c r="B43" s="183" t="s">
        <v>232</v>
      </c>
      <c r="C43" s="163" t="s">
        <v>302</v>
      </c>
      <c r="D43" s="334" t="s">
        <v>491</v>
      </c>
      <c r="E43" s="134">
        <v>43191</v>
      </c>
      <c r="F43" s="422" t="s">
        <v>525</v>
      </c>
      <c r="G43" s="422"/>
      <c r="H43" s="132" t="s">
        <v>40</v>
      </c>
      <c r="I43" s="422"/>
      <c r="J43" s="354" t="s">
        <v>698</v>
      </c>
      <c r="K43" s="354"/>
      <c r="L43" s="354"/>
      <c r="M43" s="132" t="s">
        <v>40</v>
      </c>
      <c r="N43" s="354"/>
      <c r="O43" s="436" t="s">
        <v>833</v>
      </c>
      <c r="P43" s="436"/>
      <c r="Q43" s="436"/>
      <c r="R43" s="350" t="s">
        <v>40</v>
      </c>
      <c r="S43" s="437"/>
      <c r="T43" s="405" t="s">
        <v>862</v>
      </c>
      <c r="U43" s="405"/>
      <c r="V43" s="132" t="s">
        <v>40</v>
      </c>
      <c r="W43" s="409"/>
      <c r="X43" s="133" t="s">
        <v>189</v>
      </c>
      <c r="Y43" s="161" t="s">
        <v>5</v>
      </c>
      <c r="Z43" s="161" t="s">
        <v>325</v>
      </c>
      <c r="AA43" s="356" t="s">
        <v>406</v>
      </c>
      <c r="AB43" s="243">
        <v>40</v>
      </c>
    </row>
    <row r="44" spans="1:28" ht="103.5" customHeight="1" x14ac:dyDescent="0.25">
      <c r="A44" s="184" t="s">
        <v>142</v>
      </c>
      <c r="B44" s="183" t="s">
        <v>326</v>
      </c>
      <c r="C44" s="163" t="s">
        <v>303</v>
      </c>
      <c r="D44" s="334" t="s">
        <v>472</v>
      </c>
      <c r="E44" s="134">
        <v>43374</v>
      </c>
      <c r="F44" s="422"/>
      <c r="G44" s="422"/>
      <c r="H44" s="132" t="s">
        <v>43</v>
      </c>
      <c r="I44" s="422"/>
      <c r="J44" s="354" t="s">
        <v>669</v>
      </c>
      <c r="K44" s="354"/>
      <c r="L44" s="354"/>
      <c r="M44" s="132" t="s">
        <v>41</v>
      </c>
      <c r="N44" s="354"/>
      <c r="O44" s="436" t="s">
        <v>837</v>
      </c>
      <c r="P44" s="436"/>
      <c r="Q44" s="436"/>
      <c r="R44" s="350" t="s">
        <v>40</v>
      </c>
      <c r="S44" s="437"/>
      <c r="T44" s="436" t="s">
        <v>837</v>
      </c>
      <c r="U44" s="405"/>
      <c r="V44" s="132" t="s">
        <v>40</v>
      </c>
      <c r="W44" s="409"/>
      <c r="X44" s="133" t="s">
        <v>189</v>
      </c>
      <c r="Y44" s="161" t="s">
        <v>5</v>
      </c>
      <c r="Z44" s="161" t="s">
        <v>325</v>
      </c>
      <c r="AA44" s="356" t="s">
        <v>407</v>
      </c>
      <c r="AB44" s="243">
        <v>41</v>
      </c>
    </row>
    <row r="45" spans="1:28" ht="103.5" customHeight="1" x14ac:dyDescent="0.25">
      <c r="A45" s="184" t="s">
        <v>143</v>
      </c>
      <c r="B45" s="183" t="s">
        <v>641</v>
      </c>
      <c r="C45" s="163" t="s">
        <v>304</v>
      </c>
      <c r="D45" s="334" t="s">
        <v>436</v>
      </c>
      <c r="E45" s="134">
        <v>43466</v>
      </c>
      <c r="F45" s="422"/>
      <c r="G45" s="422"/>
      <c r="H45" s="132" t="s">
        <v>43</v>
      </c>
      <c r="I45" s="422" t="s">
        <v>575</v>
      </c>
      <c r="J45" s="354" t="s">
        <v>665</v>
      </c>
      <c r="K45" s="354"/>
      <c r="L45" s="354"/>
      <c r="M45" s="132" t="s">
        <v>41</v>
      </c>
      <c r="N45" s="354"/>
      <c r="O45" s="436" t="s">
        <v>825</v>
      </c>
      <c r="P45" s="436"/>
      <c r="Q45" s="436"/>
      <c r="R45" s="350" t="s">
        <v>41</v>
      </c>
      <c r="S45" s="437"/>
      <c r="T45" s="436" t="s">
        <v>825</v>
      </c>
      <c r="U45" s="405"/>
      <c r="V45" s="132" t="s">
        <v>40</v>
      </c>
      <c r="W45" s="409"/>
      <c r="X45" s="133" t="s">
        <v>189</v>
      </c>
      <c r="Y45" s="161" t="s">
        <v>5</v>
      </c>
      <c r="Z45" s="161" t="s">
        <v>325</v>
      </c>
      <c r="AA45" s="356" t="s">
        <v>408</v>
      </c>
      <c r="AB45" s="243">
        <v>42</v>
      </c>
    </row>
    <row r="46" spans="1:28" ht="103.5" customHeight="1" x14ac:dyDescent="0.25">
      <c r="A46" s="184" t="s">
        <v>144</v>
      </c>
      <c r="B46" s="183" t="s">
        <v>641</v>
      </c>
      <c r="C46" s="163" t="s">
        <v>304</v>
      </c>
      <c r="D46" s="334" t="s">
        <v>437</v>
      </c>
      <c r="E46" s="134">
        <v>43525</v>
      </c>
      <c r="F46" s="422"/>
      <c r="G46" s="422"/>
      <c r="H46" s="132" t="s">
        <v>43</v>
      </c>
      <c r="I46" s="422" t="s">
        <v>575</v>
      </c>
      <c r="J46" s="354"/>
      <c r="K46" s="354"/>
      <c r="L46" s="354"/>
      <c r="M46" s="132" t="s">
        <v>43</v>
      </c>
      <c r="N46" s="354"/>
      <c r="O46" s="436" t="s">
        <v>592</v>
      </c>
      <c r="P46" s="436"/>
      <c r="Q46" s="436"/>
      <c r="R46" s="350" t="s">
        <v>43</v>
      </c>
      <c r="S46" s="437"/>
      <c r="T46" s="405" t="s">
        <v>928</v>
      </c>
      <c r="U46" s="405"/>
      <c r="V46" s="132" t="s">
        <v>40</v>
      </c>
      <c r="W46" s="409"/>
      <c r="X46" s="133" t="s">
        <v>189</v>
      </c>
      <c r="Y46" s="161" t="s">
        <v>5</v>
      </c>
      <c r="Z46" s="161" t="s">
        <v>325</v>
      </c>
      <c r="AA46" s="356" t="s">
        <v>408</v>
      </c>
      <c r="AB46" s="243">
        <v>43</v>
      </c>
    </row>
    <row r="47" spans="1:28" ht="103.5" customHeight="1" x14ac:dyDescent="0.25">
      <c r="A47" s="184" t="s">
        <v>145</v>
      </c>
      <c r="B47" s="183" t="s">
        <v>94</v>
      </c>
      <c r="C47" s="163" t="s">
        <v>305</v>
      </c>
      <c r="D47" s="334" t="s">
        <v>306</v>
      </c>
      <c r="E47" s="134">
        <v>43525</v>
      </c>
      <c r="F47" s="422" t="s">
        <v>545</v>
      </c>
      <c r="G47" s="422" t="s">
        <v>546</v>
      </c>
      <c r="H47" s="132" t="s">
        <v>41</v>
      </c>
      <c r="I47" s="422"/>
      <c r="J47" s="354" t="s">
        <v>628</v>
      </c>
      <c r="K47" s="354" t="s">
        <v>629</v>
      </c>
      <c r="L47" s="354" t="s">
        <v>546</v>
      </c>
      <c r="M47" s="132" t="s">
        <v>41</v>
      </c>
      <c r="N47" s="354" t="s">
        <v>630</v>
      </c>
      <c r="O47" s="436" t="s">
        <v>805</v>
      </c>
      <c r="P47" s="436" t="s">
        <v>806</v>
      </c>
      <c r="Q47" s="436" t="s">
        <v>546</v>
      </c>
      <c r="R47" s="350" t="s">
        <v>41</v>
      </c>
      <c r="S47" s="437" t="s">
        <v>822</v>
      </c>
      <c r="T47" s="405" t="s">
        <v>913</v>
      </c>
      <c r="U47" s="405" t="s">
        <v>893</v>
      </c>
      <c r="V47" s="132" t="s">
        <v>40</v>
      </c>
      <c r="W47" s="409" t="s">
        <v>894</v>
      </c>
      <c r="X47" s="133" t="s">
        <v>189</v>
      </c>
      <c r="Y47" s="161" t="s">
        <v>268</v>
      </c>
      <c r="Z47" s="161" t="s">
        <v>324</v>
      </c>
      <c r="AA47" s="356" t="s">
        <v>409</v>
      </c>
      <c r="AB47" s="243">
        <v>44</v>
      </c>
    </row>
    <row r="48" spans="1:28" ht="103.5" customHeight="1" x14ac:dyDescent="0.25">
      <c r="A48" s="184" t="s">
        <v>146</v>
      </c>
      <c r="B48" s="183" t="s">
        <v>94</v>
      </c>
      <c r="C48" s="163" t="s">
        <v>307</v>
      </c>
      <c r="D48" s="334" t="s">
        <v>308</v>
      </c>
      <c r="E48" s="134">
        <v>43525</v>
      </c>
      <c r="F48" s="423">
        <v>0.99</v>
      </c>
      <c r="G48" s="423">
        <v>0.99</v>
      </c>
      <c r="H48" s="132" t="s">
        <v>41</v>
      </c>
      <c r="I48" s="422"/>
      <c r="J48" s="434">
        <v>1</v>
      </c>
      <c r="K48" s="434">
        <v>0.99</v>
      </c>
      <c r="L48" s="434">
        <v>0.99</v>
      </c>
      <c r="M48" s="132" t="s">
        <v>41</v>
      </c>
      <c r="N48" s="354"/>
      <c r="O48" s="438">
        <v>0.99</v>
      </c>
      <c r="P48" s="438">
        <v>0.99</v>
      </c>
      <c r="Q48" s="438">
        <v>0.99</v>
      </c>
      <c r="R48" s="350" t="s">
        <v>41</v>
      </c>
      <c r="S48" s="437"/>
      <c r="T48" s="408">
        <v>0.99</v>
      </c>
      <c r="U48" s="408">
        <v>0.99</v>
      </c>
      <c r="V48" s="132" t="s">
        <v>40</v>
      </c>
      <c r="W48" s="409" t="s">
        <v>914</v>
      </c>
      <c r="X48" s="133" t="s">
        <v>189</v>
      </c>
      <c r="Y48" s="161" t="s">
        <v>268</v>
      </c>
      <c r="Z48" s="161" t="s">
        <v>324</v>
      </c>
      <c r="AA48" s="356" t="s">
        <v>409</v>
      </c>
      <c r="AB48" s="243">
        <v>45</v>
      </c>
    </row>
    <row r="49" spans="1:47" ht="103.5" customHeight="1" x14ac:dyDescent="0.25">
      <c r="A49" s="184" t="s">
        <v>147</v>
      </c>
      <c r="B49" s="183" t="s">
        <v>94</v>
      </c>
      <c r="C49" s="163" t="s">
        <v>307</v>
      </c>
      <c r="D49" s="334" t="s">
        <v>309</v>
      </c>
      <c r="E49" s="134">
        <v>43525</v>
      </c>
      <c r="F49" s="423">
        <v>0.81</v>
      </c>
      <c r="G49" s="423">
        <v>0.75</v>
      </c>
      <c r="H49" s="132" t="s">
        <v>41</v>
      </c>
      <c r="I49" s="422"/>
      <c r="J49" s="434">
        <v>0.84</v>
      </c>
      <c r="K49" s="434">
        <v>0.85</v>
      </c>
      <c r="L49" s="434">
        <v>0.75</v>
      </c>
      <c r="M49" s="132" t="s">
        <v>41</v>
      </c>
      <c r="N49" s="354"/>
      <c r="O49" s="438">
        <v>0.85</v>
      </c>
      <c r="P49" s="438">
        <v>0.85</v>
      </c>
      <c r="Q49" s="438">
        <v>0.75</v>
      </c>
      <c r="R49" s="350" t="s">
        <v>41</v>
      </c>
      <c r="S49" s="437"/>
      <c r="T49" s="408">
        <v>0.87</v>
      </c>
      <c r="U49" s="408">
        <v>0.85</v>
      </c>
      <c r="V49" s="132" t="s">
        <v>40</v>
      </c>
      <c r="W49" s="412" t="s">
        <v>915</v>
      </c>
      <c r="X49" s="133" t="s">
        <v>189</v>
      </c>
      <c r="Y49" s="161" t="s">
        <v>268</v>
      </c>
      <c r="Z49" s="161" t="s">
        <v>324</v>
      </c>
      <c r="AA49" s="356" t="s">
        <v>409</v>
      </c>
      <c r="AB49" s="243">
        <v>46</v>
      </c>
    </row>
    <row r="50" spans="1:47" ht="138.75" customHeight="1" x14ac:dyDescent="0.25">
      <c r="A50" s="184" t="s">
        <v>148</v>
      </c>
      <c r="B50" s="183" t="s">
        <v>94</v>
      </c>
      <c r="C50" s="163" t="s">
        <v>310</v>
      </c>
      <c r="D50" s="419" t="s">
        <v>311</v>
      </c>
      <c r="E50" s="134">
        <v>43525</v>
      </c>
      <c r="F50" s="424" t="s">
        <v>603</v>
      </c>
      <c r="G50" s="424" t="s">
        <v>604</v>
      </c>
      <c r="H50" s="132" t="s">
        <v>41</v>
      </c>
      <c r="I50" s="422" t="s">
        <v>547</v>
      </c>
      <c r="J50" s="434" t="s">
        <v>642</v>
      </c>
      <c r="K50" s="434" t="s">
        <v>642</v>
      </c>
      <c r="L50" s="434" t="s">
        <v>643</v>
      </c>
      <c r="M50" s="132" t="s">
        <v>41</v>
      </c>
      <c r="N50" s="354" t="s">
        <v>687</v>
      </c>
      <c r="O50" s="436" t="s">
        <v>848</v>
      </c>
      <c r="P50" s="436" t="s">
        <v>807</v>
      </c>
      <c r="Q50" s="436" t="s">
        <v>808</v>
      </c>
      <c r="R50" s="350" t="s">
        <v>41</v>
      </c>
      <c r="S50" s="437" t="s">
        <v>809</v>
      </c>
      <c r="T50" s="405" t="s">
        <v>916</v>
      </c>
      <c r="U50" s="405" t="s">
        <v>917</v>
      </c>
      <c r="V50" s="132" t="s">
        <v>40</v>
      </c>
      <c r="W50" s="409" t="s">
        <v>918</v>
      </c>
      <c r="X50" s="133" t="s">
        <v>189</v>
      </c>
      <c r="Y50" s="161" t="s">
        <v>268</v>
      </c>
      <c r="Z50" s="161" t="s">
        <v>324</v>
      </c>
      <c r="AA50" s="356" t="s">
        <v>409</v>
      </c>
      <c r="AB50" s="243">
        <v>47</v>
      </c>
    </row>
    <row r="51" spans="1:47" ht="103.5" customHeight="1" x14ac:dyDescent="0.25">
      <c r="A51" s="184" t="s">
        <v>149</v>
      </c>
      <c r="B51" s="183" t="s">
        <v>94</v>
      </c>
      <c r="C51" s="163" t="s">
        <v>312</v>
      </c>
      <c r="D51" s="419" t="s">
        <v>600</v>
      </c>
      <c r="E51" s="134">
        <v>43525</v>
      </c>
      <c r="F51" s="425" t="s">
        <v>601</v>
      </c>
      <c r="G51" s="425" t="s">
        <v>602</v>
      </c>
      <c r="H51" s="132" t="s">
        <v>41</v>
      </c>
      <c r="I51" s="422" t="s">
        <v>548</v>
      </c>
      <c r="J51" s="354" t="s">
        <v>638</v>
      </c>
      <c r="K51" s="354" t="s">
        <v>638</v>
      </c>
      <c r="L51" s="354" t="s">
        <v>639</v>
      </c>
      <c r="M51" s="132" t="s">
        <v>41</v>
      </c>
      <c r="N51" s="354" t="s">
        <v>640</v>
      </c>
      <c r="O51" s="436" t="s">
        <v>810</v>
      </c>
      <c r="P51" s="436" t="s">
        <v>810</v>
      </c>
      <c r="Q51" s="436" t="s">
        <v>811</v>
      </c>
      <c r="R51" s="350" t="s">
        <v>41</v>
      </c>
      <c r="S51" s="437" t="s">
        <v>812</v>
      </c>
      <c r="T51" s="405" t="s">
        <v>919</v>
      </c>
      <c r="U51" s="405" t="s">
        <v>919</v>
      </c>
      <c r="V51" s="132" t="s">
        <v>79</v>
      </c>
      <c r="W51" s="409"/>
      <c r="X51" s="133" t="s">
        <v>189</v>
      </c>
      <c r="Y51" s="161" t="s">
        <v>268</v>
      </c>
      <c r="Z51" s="161" t="s">
        <v>324</v>
      </c>
      <c r="AA51" s="356" t="s">
        <v>409</v>
      </c>
      <c r="AB51" s="243">
        <v>48</v>
      </c>
    </row>
    <row r="52" spans="1:47" ht="270" x14ac:dyDescent="0.25">
      <c r="A52" s="184" t="s">
        <v>150</v>
      </c>
      <c r="B52" s="183" t="s">
        <v>94</v>
      </c>
      <c r="C52" s="163" t="s">
        <v>313</v>
      </c>
      <c r="D52" s="334" t="s">
        <v>314</v>
      </c>
      <c r="E52" s="134">
        <v>43525</v>
      </c>
      <c r="F52" s="425" t="s">
        <v>597</v>
      </c>
      <c r="G52" s="425" t="s">
        <v>599</v>
      </c>
      <c r="H52" s="132" t="s">
        <v>41</v>
      </c>
      <c r="I52" s="422" t="s">
        <v>598</v>
      </c>
      <c r="J52" s="354" t="s">
        <v>644</v>
      </c>
      <c r="K52" s="354" t="s">
        <v>644</v>
      </c>
      <c r="L52" s="354" t="s">
        <v>645</v>
      </c>
      <c r="M52" s="410" t="s">
        <v>41</v>
      </c>
      <c r="N52" s="354" t="s">
        <v>730</v>
      </c>
      <c r="O52" s="436" t="s">
        <v>813</v>
      </c>
      <c r="P52" s="436" t="s">
        <v>813</v>
      </c>
      <c r="Q52" s="436" t="s">
        <v>814</v>
      </c>
      <c r="R52" s="350" t="s">
        <v>41</v>
      </c>
      <c r="S52" s="426" t="s">
        <v>815</v>
      </c>
      <c r="T52" s="405" t="s">
        <v>920</v>
      </c>
      <c r="U52" s="405" t="s">
        <v>920</v>
      </c>
      <c r="V52" s="132" t="s">
        <v>81</v>
      </c>
      <c r="W52" s="409" t="s">
        <v>921</v>
      </c>
      <c r="X52" s="133" t="s">
        <v>189</v>
      </c>
      <c r="Y52" s="161" t="s">
        <v>268</v>
      </c>
      <c r="Z52" s="161" t="s">
        <v>324</v>
      </c>
      <c r="AA52" s="356" t="s">
        <v>409</v>
      </c>
      <c r="AB52" s="243">
        <v>49</v>
      </c>
    </row>
    <row r="53" spans="1:47" ht="103.5" customHeight="1" x14ac:dyDescent="0.25">
      <c r="A53" s="184" t="s">
        <v>151</v>
      </c>
      <c r="B53" s="183" t="s">
        <v>94</v>
      </c>
      <c r="C53" s="163" t="s">
        <v>315</v>
      </c>
      <c r="D53" s="334" t="s">
        <v>501</v>
      </c>
      <c r="E53" s="134">
        <v>43525</v>
      </c>
      <c r="F53" s="422"/>
      <c r="G53" s="422" t="s">
        <v>549</v>
      </c>
      <c r="H53" s="132" t="s">
        <v>43</v>
      </c>
      <c r="I53" s="422" t="s">
        <v>550</v>
      </c>
      <c r="J53" s="354" t="s">
        <v>631</v>
      </c>
      <c r="K53" s="354"/>
      <c r="L53" s="354"/>
      <c r="M53" s="132" t="s">
        <v>41</v>
      </c>
      <c r="N53" s="354" t="s">
        <v>632</v>
      </c>
      <c r="O53" s="436" t="s">
        <v>816</v>
      </c>
      <c r="P53" s="436"/>
      <c r="Q53" s="436"/>
      <c r="R53" s="350" t="s">
        <v>40</v>
      </c>
      <c r="T53" s="436" t="s">
        <v>816</v>
      </c>
      <c r="U53" s="446">
        <v>43525</v>
      </c>
      <c r="V53" s="132" t="s">
        <v>40</v>
      </c>
      <c r="W53" s="409" t="s">
        <v>899</v>
      </c>
      <c r="X53" s="133" t="s">
        <v>189</v>
      </c>
      <c r="Y53" s="161" t="s">
        <v>268</v>
      </c>
      <c r="Z53" s="161" t="s">
        <v>324</v>
      </c>
      <c r="AA53" s="356" t="s">
        <v>409</v>
      </c>
      <c r="AB53" s="243">
        <v>50</v>
      </c>
    </row>
    <row r="54" spans="1:47" ht="103.5" customHeight="1" x14ac:dyDescent="0.25">
      <c r="A54" s="184" t="s">
        <v>152</v>
      </c>
      <c r="B54" s="183" t="s">
        <v>94</v>
      </c>
      <c r="C54" s="163" t="s">
        <v>316</v>
      </c>
      <c r="D54" s="334" t="s">
        <v>502</v>
      </c>
      <c r="E54" s="134">
        <v>43344</v>
      </c>
      <c r="F54" s="422"/>
      <c r="G54" s="422"/>
      <c r="H54" s="132" t="s">
        <v>43</v>
      </c>
      <c r="I54" s="422" t="s">
        <v>610</v>
      </c>
      <c r="J54" s="354" t="s">
        <v>633</v>
      </c>
      <c r="K54" s="354"/>
      <c r="L54" s="354"/>
      <c r="M54" s="132" t="s">
        <v>40</v>
      </c>
      <c r="N54" s="354"/>
      <c r="O54" s="436" t="s">
        <v>817</v>
      </c>
      <c r="P54" s="436"/>
      <c r="Q54" s="436"/>
      <c r="R54" s="350" t="s">
        <v>40</v>
      </c>
      <c r="S54" s="437"/>
      <c r="T54" s="354" t="s">
        <v>633</v>
      </c>
      <c r="U54" s="446">
        <v>43344</v>
      </c>
      <c r="V54" s="132" t="s">
        <v>40</v>
      </c>
      <c r="W54" s="409" t="s">
        <v>895</v>
      </c>
      <c r="X54" s="133" t="s">
        <v>189</v>
      </c>
      <c r="Y54" s="161" t="s">
        <v>268</v>
      </c>
      <c r="Z54" s="161" t="s">
        <v>324</v>
      </c>
      <c r="AA54" s="356" t="s">
        <v>409</v>
      </c>
      <c r="AB54" s="243">
        <v>51</v>
      </c>
    </row>
    <row r="55" spans="1:47" ht="103.5" customHeight="1" x14ac:dyDescent="0.25">
      <c r="A55" s="184" t="s">
        <v>188</v>
      </c>
      <c r="B55" s="183" t="s">
        <v>94</v>
      </c>
      <c r="C55" s="163" t="s">
        <v>317</v>
      </c>
      <c r="D55" s="334" t="s">
        <v>503</v>
      </c>
      <c r="E55" s="134">
        <v>43191</v>
      </c>
      <c r="F55" s="422" t="s">
        <v>521</v>
      </c>
      <c r="G55" s="422"/>
      <c r="H55" s="132" t="s">
        <v>40</v>
      </c>
      <c r="I55" s="422" t="s">
        <v>551</v>
      </c>
      <c r="J55" s="434" t="s">
        <v>685</v>
      </c>
      <c r="K55" s="354"/>
      <c r="L55" s="354"/>
      <c r="M55" s="132" t="s">
        <v>40</v>
      </c>
      <c r="N55" s="354" t="s">
        <v>521</v>
      </c>
      <c r="O55" s="436" t="s">
        <v>818</v>
      </c>
      <c r="P55" s="436"/>
      <c r="Q55" s="436"/>
      <c r="R55" s="350" t="s">
        <v>40</v>
      </c>
      <c r="S55" s="437"/>
      <c r="T55" s="408" t="s">
        <v>877</v>
      </c>
      <c r="U55" s="446">
        <v>43191</v>
      </c>
      <c r="V55" s="132" t="s">
        <v>40</v>
      </c>
      <c r="W55" s="409" t="s">
        <v>896</v>
      </c>
      <c r="X55" s="133" t="s">
        <v>189</v>
      </c>
      <c r="Y55" s="161" t="s">
        <v>268</v>
      </c>
      <c r="Z55" s="161" t="s">
        <v>324</v>
      </c>
      <c r="AA55" s="356" t="s">
        <v>409</v>
      </c>
      <c r="AB55" s="243">
        <v>52</v>
      </c>
    </row>
    <row r="56" spans="1:47" ht="103.5" customHeight="1" x14ac:dyDescent="0.25">
      <c r="A56" s="184" t="s">
        <v>245</v>
      </c>
      <c r="B56" s="183" t="s">
        <v>94</v>
      </c>
      <c r="C56" s="163" t="s">
        <v>318</v>
      </c>
      <c r="D56" s="334" t="s">
        <v>504</v>
      </c>
      <c r="E56" s="134">
        <v>43344</v>
      </c>
      <c r="F56" s="422"/>
      <c r="G56" s="422"/>
      <c r="H56" s="132" t="s">
        <v>43</v>
      </c>
      <c r="I56" s="422" t="s">
        <v>610</v>
      </c>
      <c r="J56" s="354" t="s">
        <v>634</v>
      </c>
      <c r="K56" s="354"/>
      <c r="L56" s="354"/>
      <c r="M56" s="132" t="s">
        <v>40</v>
      </c>
      <c r="N56" s="354" t="s">
        <v>635</v>
      </c>
      <c r="O56" s="436" t="s">
        <v>817</v>
      </c>
      <c r="P56" s="436"/>
      <c r="Q56" s="436"/>
      <c r="R56" s="350" t="s">
        <v>40</v>
      </c>
      <c r="T56" s="436" t="s">
        <v>819</v>
      </c>
      <c r="U56" s="446">
        <v>43344</v>
      </c>
      <c r="V56" s="132" t="s">
        <v>40</v>
      </c>
      <c r="W56" s="409"/>
      <c r="X56" s="133" t="s">
        <v>189</v>
      </c>
      <c r="Y56" s="161" t="s">
        <v>268</v>
      </c>
      <c r="Z56" s="161" t="s">
        <v>324</v>
      </c>
      <c r="AA56" s="356" t="s">
        <v>409</v>
      </c>
      <c r="AB56" s="243">
        <v>53</v>
      </c>
    </row>
    <row r="57" spans="1:47" ht="150" x14ac:dyDescent="0.25">
      <c r="A57" s="184" t="s">
        <v>246</v>
      </c>
      <c r="B57" s="183" t="s">
        <v>94</v>
      </c>
      <c r="C57" s="163" t="s">
        <v>307</v>
      </c>
      <c r="D57" s="334" t="s">
        <v>505</v>
      </c>
      <c r="E57" s="134">
        <v>43252</v>
      </c>
      <c r="F57" s="422" t="s">
        <v>623</v>
      </c>
      <c r="G57" s="422"/>
      <c r="H57" s="410" t="s">
        <v>27</v>
      </c>
      <c r="I57" s="422"/>
      <c r="J57" s="354" t="s">
        <v>700</v>
      </c>
      <c r="K57" s="354"/>
      <c r="L57" s="354"/>
      <c r="M57" s="132" t="s">
        <v>42</v>
      </c>
      <c r="N57" s="354" t="s">
        <v>701</v>
      </c>
      <c r="O57" s="436" t="s">
        <v>817</v>
      </c>
      <c r="P57" s="436"/>
      <c r="Q57" s="436"/>
      <c r="R57" s="350" t="s">
        <v>42</v>
      </c>
      <c r="S57" s="437" t="s">
        <v>820</v>
      </c>
      <c r="T57" s="437" t="s">
        <v>820</v>
      </c>
      <c r="U57" s="446">
        <v>43252</v>
      </c>
      <c r="V57" s="132" t="s">
        <v>82</v>
      </c>
      <c r="W57" s="409" t="s">
        <v>897</v>
      </c>
      <c r="X57" s="133" t="s">
        <v>189</v>
      </c>
      <c r="Y57" s="161" t="s">
        <v>268</v>
      </c>
      <c r="Z57" s="161" t="s">
        <v>324</v>
      </c>
      <c r="AA57" s="356" t="s">
        <v>409</v>
      </c>
      <c r="AB57" s="243">
        <v>54</v>
      </c>
    </row>
    <row r="58" spans="1:47" ht="135" x14ac:dyDescent="0.25">
      <c r="A58" s="184" t="s">
        <v>247</v>
      </c>
      <c r="B58" s="183" t="s">
        <v>94</v>
      </c>
      <c r="C58" s="163" t="s">
        <v>307</v>
      </c>
      <c r="D58" s="334" t="s">
        <v>506</v>
      </c>
      <c r="E58" s="134">
        <v>43313</v>
      </c>
      <c r="F58" s="422" t="s">
        <v>552</v>
      </c>
      <c r="G58" s="422"/>
      <c r="H58" s="132" t="s">
        <v>41</v>
      </c>
      <c r="I58" s="422"/>
      <c r="J58" s="354" t="s">
        <v>636</v>
      </c>
      <c r="K58" s="354"/>
      <c r="L58" s="354"/>
      <c r="M58" s="132" t="s">
        <v>40</v>
      </c>
      <c r="N58" s="354" t="s">
        <v>637</v>
      </c>
      <c r="O58" s="436" t="s">
        <v>821</v>
      </c>
      <c r="P58" s="436"/>
      <c r="Q58" s="436"/>
      <c r="R58" s="350" t="s">
        <v>40</v>
      </c>
      <c r="T58" s="436" t="s">
        <v>821</v>
      </c>
      <c r="U58" s="446">
        <v>43313</v>
      </c>
      <c r="V58" s="132" t="s">
        <v>40</v>
      </c>
      <c r="W58" s="409" t="s">
        <v>898</v>
      </c>
      <c r="X58" s="133" t="s">
        <v>189</v>
      </c>
      <c r="Y58" s="161" t="s">
        <v>268</v>
      </c>
      <c r="Z58" s="161" t="s">
        <v>324</v>
      </c>
      <c r="AA58" s="356" t="s">
        <v>409</v>
      </c>
      <c r="AB58" s="243">
        <v>55</v>
      </c>
    </row>
    <row r="59" spans="1:47" ht="103.5" customHeight="1" x14ac:dyDescent="0.25">
      <c r="A59" s="184" t="s">
        <v>248</v>
      </c>
      <c r="B59" s="183" t="s">
        <v>324</v>
      </c>
      <c r="C59" s="163" t="s">
        <v>319</v>
      </c>
      <c r="D59" s="334" t="s">
        <v>500</v>
      </c>
      <c r="E59" s="134">
        <v>43525</v>
      </c>
      <c r="F59" s="422"/>
      <c r="G59" s="422"/>
      <c r="H59" s="132" t="s">
        <v>43</v>
      </c>
      <c r="I59" s="422"/>
      <c r="J59" s="354"/>
      <c r="K59" s="354"/>
      <c r="L59" s="354"/>
      <c r="M59" s="132" t="s">
        <v>43</v>
      </c>
      <c r="N59" s="354"/>
      <c r="O59" s="436"/>
      <c r="P59" s="436"/>
      <c r="Q59" s="436"/>
      <c r="R59" s="350" t="s">
        <v>43</v>
      </c>
      <c r="S59" s="437"/>
      <c r="T59" s="405" t="s">
        <v>930</v>
      </c>
      <c r="U59" s="405"/>
      <c r="V59" s="132" t="s">
        <v>40</v>
      </c>
      <c r="W59" s="409"/>
      <c r="X59" s="133" t="s">
        <v>189</v>
      </c>
      <c r="Y59" s="161" t="s">
        <v>268</v>
      </c>
      <c r="Z59" s="161" t="s">
        <v>324</v>
      </c>
      <c r="AA59" s="356" t="s">
        <v>410</v>
      </c>
      <c r="AB59" s="243">
        <v>56</v>
      </c>
    </row>
    <row r="60" spans="1:47" ht="105.75" customHeight="1" x14ac:dyDescent="0.25">
      <c r="A60" s="184" t="s">
        <v>249</v>
      </c>
      <c r="B60" s="183" t="s">
        <v>258</v>
      </c>
      <c r="C60" s="163" t="s">
        <v>320</v>
      </c>
      <c r="D60" s="334" t="s">
        <v>321</v>
      </c>
      <c r="E60" s="134">
        <v>43525</v>
      </c>
      <c r="F60" s="422" t="s">
        <v>555</v>
      </c>
      <c r="G60" s="422"/>
      <c r="H60" s="132" t="s">
        <v>41</v>
      </c>
      <c r="I60" s="422"/>
      <c r="J60" s="354" t="s">
        <v>703</v>
      </c>
      <c r="K60" s="354" t="s">
        <v>653</v>
      </c>
      <c r="L60" s="354" t="s">
        <v>321</v>
      </c>
      <c r="M60" s="132" t="s">
        <v>41</v>
      </c>
      <c r="N60" s="354"/>
      <c r="O60" s="436" t="s">
        <v>879</v>
      </c>
      <c r="P60" s="436"/>
      <c r="Q60" s="436"/>
      <c r="R60" s="350" t="s">
        <v>40</v>
      </c>
      <c r="T60" s="436" t="s">
        <v>879</v>
      </c>
      <c r="U60" s="405" t="s">
        <v>884</v>
      </c>
      <c r="V60" s="132" t="s">
        <v>40</v>
      </c>
      <c r="W60" s="409"/>
      <c r="X60" s="133" t="s">
        <v>189</v>
      </c>
      <c r="Y60" s="161" t="s">
        <v>267</v>
      </c>
      <c r="Z60" s="161" t="s">
        <v>325</v>
      </c>
      <c r="AA60" s="356" t="s">
        <v>411</v>
      </c>
      <c r="AB60" s="243">
        <v>57</v>
      </c>
    </row>
    <row r="61" spans="1:47" ht="103.5" customHeight="1" x14ac:dyDescent="0.25">
      <c r="A61" s="184" t="s">
        <v>250</v>
      </c>
      <c r="B61" s="183" t="s">
        <v>258</v>
      </c>
      <c r="C61" s="163" t="s">
        <v>322</v>
      </c>
      <c r="D61" s="334" t="s">
        <v>509</v>
      </c>
      <c r="E61" s="134">
        <v>43525</v>
      </c>
      <c r="F61" s="422"/>
      <c r="G61" s="422"/>
      <c r="H61" s="132" t="s">
        <v>43</v>
      </c>
      <c r="I61" s="422"/>
      <c r="J61" s="354"/>
      <c r="K61" s="354"/>
      <c r="L61" s="354"/>
      <c r="M61" s="132" t="s">
        <v>43</v>
      </c>
      <c r="N61" s="354"/>
      <c r="O61" s="436"/>
      <c r="P61" s="436"/>
      <c r="Q61" s="436"/>
      <c r="R61" s="350" t="s">
        <v>43</v>
      </c>
      <c r="S61" s="437"/>
      <c r="T61" s="405" t="s">
        <v>885</v>
      </c>
      <c r="U61" s="405"/>
      <c r="V61" s="132" t="s">
        <v>40</v>
      </c>
      <c r="W61" s="409"/>
      <c r="X61" s="133" t="s">
        <v>189</v>
      </c>
      <c r="Y61" s="161" t="s">
        <v>267</v>
      </c>
      <c r="Z61" s="161" t="s">
        <v>325</v>
      </c>
      <c r="AA61" s="356" t="s">
        <v>411</v>
      </c>
      <c r="AB61" s="243">
        <v>58</v>
      </c>
    </row>
    <row r="62" spans="1:47" ht="78.75" x14ac:dyDescent="0.25">
      <c r="A62" s="184" t="s">
        <v>251</v>
      </c>
      <c r="B62" s="183" t="s">
        <v>258</v>
      </c>
      <c r="C62" s="163" t="s">
        <v>323</v>
      </c>
      <c r="D62" s="334" t="s">
        <v>510</v>
      </c>
      <c r="E62" s="134">
        <v>43282</v>
      </c>
      <c r="F62" s="422" t="s">
        <v>554</v>
      </c>
      <c r="G62" s="422"/>
      <c r="H62" s="132" t="s">
        <v>41</v>
      </c>
      <c r="I62" s="422"/>
      <c r="J62" s="354" t="s">
        <v>651</v>
      </c>
      <c r="K62" s="354"/>
      <c r="L62" s="354"/>
      <c r="M62" s="132" t="s">
        <v>40</v>
      </c>
      <c r="N62" s="354"/>
      <c r="O62" s="354" t="s">
        <v>651</v>
      </c>
      <c r="P62" s="436"/>
      <c r="Q62" s="436"/>
      <c r="R62" s="350" t="s">
        <v>40</v>
      </c>
      <c r="T62" s="354" t="s">
        <v>651</v>
      </c>
      <c r="U62" s="405"/>
      <c r="V62" s="132" t="s">
        <v>40</v>
      </c>
      <c r="W62" s="409"/>
      <c r="X62" s="133" t="s">
        <v>189</v>
      </c>
      <c r="Y62" s="161" t="s">
        <v>267</v>
      </c>
      <c r="Z62" s="161" t="s">
        <v>325</v>
      </c>
      <c r="AA62" s="356" t="s">
        <v>411</v>
      </c>
      <c r="AB62" s="243">
        <v>59</v>
      </c>
    </row>
    <row r="63" spans="1:47" s="244" customFormat="1" ht="21" x14ac:dyDescent="0.35">
      <c r="A63" s="329" t="s">
        <v>414</v>
      </c>
      <c r="B63" s="330"/>
      <c r="C63" s="375"/>
      <c r="D63" s="331"/>
      <c r="E63" s="331"/>
      <c r="F63" s="331"/>
      <c r="G63" s="331"/>
      <c r="H63" s="331"/>
      <c r="I63" s="331"/>
      <c r="J63" s="331"/>
      <c r="K63" s="331"/>
      <c r="L63" s="331"/>
      <c r="M63" s="331"/>
      <c r="N63" s="331"/>
      <c r="O63" s="427"/>
      <c r="P63" s="427"/>
      <c r="Q63" s="427"/>
      <c r="R63" s="427"/>
      <c r="S63" s="427"/>
      <c r="T63" s="331"/>
      <c r="U63" s="331"/>
      <c r="V63" s="331"/>
      <c r="W63" s="331"/>
      <c r="X63" s="331"/>
      <c r="Y63" s="331"/>
      <c r="Z63" s="331"/>
      <c r="AA63" s="331"/>
      <c r="AB63" s="331">
        <v>60</v>
      </c>
      <c r="AC63" s="379"/>
      <c r="AD63" s="379"/>
      <c r="AE63" s="379"/>
      <c r="AF63" s="379"/>
      <c r="AG63" s="379"/>
      <c r="AH63" s="379"/>
      <c r="AI63" s="379"/>
      <c r="AJ63" s="379"/>
      <c r="AK63" s="379"/>
      <c r="AL63" s="379"/>
      <c r="AM63" s="379"/>
      <c r="AN63" s="379"/>
      <c r="AO63" s="379"/>
      <c r="AP63" s="379"/>
      <c r="AQ63" s="379"/>
      <c r="AR63" s="379"/>
      <c r="AS63" s="379"/>
      <c r="AT63" s="379"/>
      <c r="AU63" s="379"/>
    </row>
    <row r="64" spans="1:47" ht="103.5" customHeight="1" x14ac:dyDescent="0.25">
      <c r="A64" s="184" t="s">
        <v>192</v>
      </c>
      <c r="B64" s="183" t="s">
        <v>325</v>
      </c>
      <c r="C64" s="162" t="s">
        <v>327</v>
      </c>
      <c r="D64" s="334" t="s">
        <v>470</v>
      </c>
      <c r="E64" s="134">
        <v>43525</v>
      </c>
      <c r="F64" s="422"/>
      <c r="G64" s="422"/>
      <c r="H64" s="132" t="s">
        <v>43</v>
      </c>
      <c r="I64" s="422"/>
      <c r="J64" s="354" t="s">
        <v>739</v>
      </c>
      <c r="K64" s="354"/>
      <c r="L64" s="354"/>
      <c r="M64" s="410" t="s">
        <v>22</v>
      </c>
      <c r="N64" s="354" t="s">
        <v>738</v>
      </c>
      <c r="O64" s="436" t="s">
        <v>789</v>
      </c>
      <c r="P64" s="436"/>
      <c r="Q64" s="436"/>
      <c r="R64" s="350" t="s">
        <v>22</v>
      </c>
      <c r="S64" s="437"/>
      <c r="T64" s="405" t="s">
        <v>929</v>
      </c>
      <c r="U64" s="405"/>
      <c r="V64" s="132" t="s">
        <v>22</v>
      </c>
      <c r="W64" s="406"/>
      <c r="X64" s="133" t="s">
        <v>190</v>
      </c>
      <c r="Y64" s="161" t="s">
        <v>85</v>
      </c>
      <c r="Z64" s="161" t="s">
        <v>325</v>
      </c>
      <c r="AA64" s="132" t="s">
        <v>412</v>
      </c>
      <c r="AB64" s="243">
        <v>61</v>
      </c>
    </row>
    <row r="65" spans="1:47" ht="103.5" customHeight="1" x14ac:dyDescent="0.25">
      <c r="A65" s="184" t="s">
        <v>193</v>
      </c>
      <c r="B65" s="183" t="s">
        <v>261</v>
      </c>
      <c r="C65" s="162" t="s">
        <v>252</v>
      </c>
      <c r="D65" s="334" t="s">
        <v>328</v>
      </c>
      <c r="E65" s="134">
        <v>43525</v>
      </c>
      <c r="F65" s="421" t="s">
        <v>605</v>
      </c>
      <c r="G65" s="422"/>
      <c r="H65" s="132" t="s">
        <v>41</v>
      </c>
      <c r="I65" s="422"/>
      <c r="J65" s="354" t="s">
        <v>674</v>
      </c>
      <c r="K65" s="354" t="s">
        <v>673</v>
      </c>
      <c r="L65" s="354" t="s">
        <v>736</v>
      </c>
      <c r="M65" s="132" t="s">
        <v>41</v>
      </c>
      <c r="N65" s="354"/>
      <c r="O65" s="436" t="s">
        <v>783</v>
      </c>
      <c r="P65" s="436" t="s">
        <v>786</v>
      </c>
      <c r="Q65" s="436" t="s">
        <v>736</v>
      </c>
      <c r="R65" s="350" t="s">
        <v>41</v>
      </c>
      <c r="S65" s="437"/>
      <c r="T65" s="405" t="s">
        <v>906</v>
      </c>
      <c r="U65" s="405" t="s">
        <v>909</v>
      </c>
      <c r="V65" s="132" t="s">
        <v>40</v>
      </c>
      <c r="W65" s="406" t="s">
        <v>912</v>
      </c>
      <c r="X65" s="133" t="s">
        <v>190</v>
      </c>
      <c r="Y65" s="161" t="s">
        <v>92</v>
      </c>
      <c r="Z65" s="161" t="s">
        <v>324</v>
      </c>
      <c r="AA65" s="132" t="s">
        <v>413</v>
      </c>
      <c r="AB65" s="243">
        <v>62</v>
      </c>
    </row>
    <row r="66" spans="1:47" ht="103.5" customHeight="1" x14ac:dyDescent="0.25">
      <c r="A66" s="184" t="s">
        <v>194</v>
      </c>
      <c r="B66" s="183" t="s">
        <v>261</v>
      </c>
      <c r="C66" s="162" t="s">
        <v>253</v>
      </c>
      <c r="D66" s="334" t="s">
        <v>328</v>
      </c>
      <c r="E66" s="134">
        <v>43525</v>
      </c>
      <c r="F66" s="421" t="s">
        <v>606</v>
      </c>
      <c r="G66" s="422"/>
      <c r="H66" s="132" t="s">
        <v>41</v>
      </c>
      <c r="I66" s="422"/>
      <c r="J66" s="354" t="s">
        <v>675</v>
      </c>
      <c r="K66" s="354" t="s">
        <v>654</v>
      </c>
      <c r="L66" s="354" t="s">
        <v>736</v>
      </c>
      <c r="M66" s="132" t="s">
        <v>41</v>
      </c>
      <c r="N66" s="354"/>
      <c r="O66" s="436" t="s">
        <v>784</v>
      </c>
      <c r="P66" s="436" t="s">
        <v>788</v>
      </c>
      <c r="Q66" s="436" t="s">
        <v>736</v>
      </c>
      <c r="R66" s="350" t="s">
        <v>41</v>
      </c>
      <c r="S66" s="437"/>
      <c r="T66" s="354" t="s">
        <v>907</v>
      </c>
      <c r="U66" s="354" t="s">
        <v>910</v>
      </c>
      <c r="V66" s="132" t="s">
        <v>40</v>
      </c>
      <c r="W66" s="407" t="s">
        <v>912</v>
      </c>
      <c r="X66" s="133" t="s">
        <v>190</v>
      </c>
      <c r="Y66" s="161" t="s">
        <v>92</v>
      </c>
      <c r="Z66" s="161" t="s">
        <v>324</v>
      </c>
      <c r="AA66" s="132" t="s">
        <v>413</v>
      </c>
      <c r="AB66" s="243">
        <v>63</v>
      </c>
    </row>
    <row r="67" spans="1:47" ht="97.5" customHeight="1" x14ac:dyDescent="0.25">
      <c r="A67" s="184" t="s">
        <v>195</v>
      </c>
      <c r="B67" s="183" t="s">
        <v>261</v>
      </c>
      <c r="C67" s="162" t="s">
        <v>329</v>
      </c>
      <c r="D67" s="334" t="s">
        <v>328</v>
      </c>
      <c r="E67" s="134">
        <v>43525</v>
      </c>
      <c r="F67" s="421" t="s">
        <v>607</v>
      </c>
      <c r="G67" s="422"/>
      <c r="H67" s="132" t="s">
        <v>41</v>
      </c>
      <c r="I67" s="422"/>
      <c r="J67" s="434" t="s">
        <v>676</v>
      </c>
      <c r="K67" s="434" t="s">
        <v>655</v>
      </c>
      <c r="L67" s="434" t="s">
        <v>736</v>
      </c>
      <c r="M67" s="132" t="s">
        <v>41</v>
      </c>
      <c r="N67" s="354"/>
      <c r="O67" s="438" t="s">
        <v>785</v>
      </c>
      <c r="P67" s="438" t="s">
        <v>787</v>
      </c>
      <c r="Q67" s="436" t="s">
        <v>736</v>
      </c>
      <c r="R67" s="350" t="s">
        <v>41</v>
      </c>
      <c r="S67" s="437"/>
      <c r="T67" s="408" t="s">
        <v>908</v>
      </c>
      <c r="U67" s="408" t="s">
        <v>911</v>
      </c>
      <c r="V67" s="132" t="s">
        <v>40</v>
      </c>
      <c r="W67" s="406" t="s">
        <v>912</v>
      </c>
      <c r="X67" s="133" t="s">
        <v>190</v>
      </c>
      <c r="Y67" s="161" t="s">
        <v>92</v>
      </c>
      <c r="Z67" s="161" t="s">
        <v>324</v>
      </c>
      <c r="AA67" s="132" t="s">
        <v>413</v>
      </c>
      <c r="AB67" s="243">
        <v>64</v>
      </c>
    </row>
    <row r="68" spans="1:47" ht="103.5" customHeight="1" x14ac:dyDescent="0.25">
      <c r="A68" s="184" t="s">
        <v>196</v>
      </c>
      <c r="B68" s="183" t="s">
        <v>261</v>
      </c>
      <c r="C68" s="162" t="s">
        <v>255</v>
      </c>
      <c r="D68" s="334" t="s">
        <v>433</v>
      </c>
      <c r="E68" s="134">
        <v>43525</v>
      </c>
      <c r="F68" s="422" t="s">
        <v>571</v>
      </c>
      <c r="G68" s="422"/>
      <c r="H68" s="132" t="s">
        <v>41</v>
      </c>
      <c r="I68" s="422"/>
      <c r="J68" s="354" t="s">
        <v>592</v>
      </c>
      <c r="K68" s="354"/>
      <c r="L68" s="354"/>
      <c r="M68" s="132" t="s">
        <v>41</v>
      </c>
      <c r="N68" s="354"/>
      <c r="O68" s="436" t="s">
        <v>835</v>
      </c>
      <c r="P68" s="436"/>
      <c r="Q68" s="436"/>
      <c r="R68" s="350" t="s">
        <v>41</v>
      </c>
      <c r="S68" s="439"/>
      <c r="T68" s="405" t="s">
        <v>932</v>
      </c>
      <c r="U68" s="405"/>
      <c r="V68" s="132" t="s">
        <v>40</v>
      </c>
      <c r="W68" s="406"/>
      <c r="X68" s="133" t="s">
        <v>190</v>
      </c>
      <c r="Y68" s="161" t="s">
        <v>92</v>
      </c>
      <c r="Z68" s="161" t="s">
        <v>324</v>
      </c>
      <c r="AA68" s="132" t="s">
        <v>413</v>
      </c>
      <c r="AB68" s="243">
        <v>65</v>
      </c>
    </row>
    <row r="69" spans="1:47" ht="103.5" customHeight="1" x14ac:dyDescent="0.25">
      <c r="A69" s="184" t="s">
        <v>197</v>
      </c>
      <c r="B69" s="183" t="s">
        <v>263</v>
      </c>
      <c r="C69" s="162" t="s">
        <v>330</v>
      </c>
      <c r="D69" s="334" t="s">
        <v>444</v>
      </c>
      <c r="E69" s="134">
        <v>43525</v>
      </c>
      <c r="F69" s="422" t="s">
        <v>592</v>
      </c>
      <c r="G69" s="422"/>
      <c r="H69" s="132" t="s">
        <v>41</v>
      </c>
      <c r="I69" s="422"/>
      <c r="J69" s="354" t="s">
        <v>592</v>
      </c>
      <c r="K69" s="354"/>
      <c r="L69" s="354"/>
      <c r="M69" s="132" t="s">
        <v>41</v>
      </c>
      <c r="N69" s="354"/>
      <c r="O69" s="437" t="s">
        <v>744</v>
      </c>
      <c r="P69" s="436"/>
      <c r="Q69" s="436"/>
      <c r="R69" s="350" t="s">
        <v>40</v>
      </c>
      <c r="S69" s="439"/>
      <c r="T69" s="405" t="s">
        <v>932</v>
      </c>
      <c r="U69" s="405"/>
      <c r="V69" s="132" t="s">
        <v>40</v>
      </c>
      <c r="W69" s="406"/>
      <c r="X69" s="133" t="s">
        <v>190</v>
      </c>
      <c r="Y69" s="161" t="s">
        <v>92</v>
      </c>
      <c r="Z69" s="161" t="s">
        <v>324</v>
      </c>
      <c r="AA69" s="132" t="s">
        <v>92</v>
      </c>
      <c r="AB69" s="243">
        <v>66</v>
      </c>
    </row>
    <row r="70" spans="1:47" ht="103.5" customHeight="1" x14ac:dyDescent="0.25">
      <c r="A70" s="184" t="s">
        <v>198</v>
      </c>
      <c r="B70" s="183" t="s">
        <v>258</v>
      </c>
      <c r="C70" s="162" t="s">
        <v>335</v>
      </c>
      <c r="D70" s="334" t="s">
        <v>511</v>
      </c>
      <c r="E70" s="134">
        <v>43525</v>
      </c>
      <c r="F70" s="422" t="s">
        <v>556</v>
      </c>
      <c r="G70" s="422"/>
      <c r="H70" s="132" t="s">
        <v>41</v>
      </c>
      <c r="I70" s="422"/>
      <c r="J70" s="354" t="s">
        <v>681</v>
      </c>
      <c r="K70" s="354"/>
      <c r="L70" s="354"/>
      <c r="M70" s="132" t="s">
        <v>41</v>
      </c>
      <c r="N70" s="354"/>
      <c r="O70" s="436" t="s">
        <v>799</v>
      </c>
      <c r="P70" s="436"/>
      <c r="Q70" s="436"/>
      <c r="R70" s="350" t="s">
        <v>41</v>
      </c>
      <c r="S70" s="437"/>
      <c r="T70" s="405" t="s">
        <v>900</v>
      </c>
      <c r="U70" s="405"/>
      <c r="V70" s="132" t="s">
        <v>40</v>
      </c>
      <c r="W70" s="406"/>
      <c r="X70" s="133" t="s">
        <v>190</v>
      </c>
      <c r="Y70" s="161" t="s">
        <v>92</v>
      </c>
      <c r="Z70" s="161" t="s">
        <v>324</v>
      </c>
      <c r="AA70" s="132" t="s">
        <v>91</v>
      </c>
      <c r="AB70" s="243">
        <v>67</v>
      </c>
    </row>
    <row r="71" spans="1:47" ht="103.5" customHeight="1" x14ac:dyDescent="0.25">
      <c r="A71" s="184" t="s">
        <v>199</v>
      </c>
      <c r="B71" s="183" t="s">
        <v>263</v>
      </c>
      <c r="C71" s="162" t="s">
        <v>254</v>
      </c>
      <c r="D71" s="334" t="s">
        <v>445</v>
      </c>
      <c r="E71" s="134">
        <v>43525</v>
      </c>
      <c r="F71" s="422" t="s">
        <v>588</v>
      </c>
      <c r="G71" s="422"/>
      <c r="H71" s="132" t="s">
        <v>41</v>
      </c>
      <c r="I71" s="422"/>
      <c r="J71" s="354" t="s">
        <v>720</v>
      </c>
      <c r="K71" s="354"/>
      <c r="L71" s="354"/>
      <c r="M71" s="132" t="s">
        <v>41</v>
      </c>
      <c r="N71" s="354"/>
      <c r="O71" s="436" t="s">
        <v>745</v>
      </c>
      <c r="P71" s="436"/>
      <c r="Q71" s="436"/>
      <c r="R71" s="350" t="s">
        <v>41</v>
      </c>
      <c r="S71" s="439"/>
      <c r="T71" s="405" t="s">
        <v>932</v>
      </c>
      <c r="U71" s="405"/>
      <c r="V71" s="132" t="s">
        <v>40</v>
      </c>
      <c r="W71" s="405"/>
      <c r="X71" s="133" t="s">
        <v>190</v>
      </c>
      <c r="Y71" s="161" t="s">
        <v>92</v>
      </c>
      <c r="Z71" s="161" t="s">
        <v>324</v>
      </c>
      <c r="AA71" s="132" t="s">
        <v>92</v>
      </c>
      <c r="AB71" s="243">
        <v>68</v>
      </c>
    </row>
    <row r="72" spans="1:47" ht="103.5" customHeight="1" x14ac:dyDescent="0.25">
      <c r="A72" s="184" t="s">
        <v>200</v>
      </c>
      <c r="B72" s="183" t="s">
        <v>258</v>
      </c>
      <c r="C72" s="162" t="s">
        <v>331</v>
      </c>
      <c r="D72" s="334" t="s">
        <v>512</v>
      </c>
      <c r="E72" s="134">
        <v>43282</v>
      </c>
      <c r="F72" s="422" t="s">
        <v>557</v>
      </c>
      <c r="G72" s="422"/>
      <c r="H72" s="410" t="s">
        <v>41</v>
      </c>
      <c r="I72" s="422"/>
      <c r="J72" s="354" t="s">
        <v>721</v>
      </c>
      <c r="K72" s="354"/>
      <c r="L72" s="354"/>
      <c r="M72" s="132" t="s">
        <v>40</v>
      </c>
      <c r="N72" s="354" t="s">
        <v>722</v>
      </c>
      <c r="O72" s="354" t="s">
        <v>721</v>
      </c>
      <c r="P72" s="436"/>
      <c r="Q72" s="436"/>
      <c r="R72" s="350" t="s">
        <v>40</v>
      </c>
      <c r="T72" s="354" t="s">
        <v>721</v>
      </c>
      <c r="U72" s="405"/>
      <c r="V72" s="132" t="s">
        <v>40</v>
      </c>
      <c r="W72" s="406"/>
      <c r="X72" s="133" t="s">
        <v>190</v>
      </c>
      <c r="Y72" s="161" t="s">
        <v>267</v>
      </c>
      <c r="Z72" s="161" t="s">
        <v>393</v>
      </c>
      <c r="AA72" s="132" t="s">
        <v>91</v>
      </c>
      <c r="AB72" s="243">
        <v>69</v>
      </c>
    </row>
    <row r="73" spans="1:47" ht="105.75" customHeight="1" x14ac:dyDescent="0.25">
      <c r="A73" s="184" t="s">
        <v>201</v>
      </c>
      <c r="B73" s="183" t="s">
        <v>258</v>
      </c>
      <c r="C73" s="162" t="s">
        <v>332</v>
      </c>
      <c r="D73" s="334" t="s">
        <v>513</v>
      </c>
      <c r="E73" s="134">
        <v>43282</v>
      </c>
      <c r="F73" s="422" t="s">
        <v>620</v>
      </c>
      <c r="G73" s="422"/>
      <c r="H73" s="410" t="s">
        <v>27</v>
      </c>
      <c r="I73" s="422"/>
      <c r="J73" s="354" t="s">
        <v>620</v>
      </c>
      <c r="K73" s="354"/>
      <c r="L73" s="354"/>
      <c r="M73" s="132" t="s">
        <v>27</v>
      </c>
      <c r="N73" s="354"/>
      <c r="O73" s="354" t="s">
        <v>620</v>
      </c>
      <c r="P73" s="436"/>
      <c r="Q73" s="436"/>
      <c r="R73" s="350" t="s">
        <v>751</v>
      </c>
      <c r="S73" s="437"/>
      <c r="T73" s="354" t="s">
        <v>620</v>
      </c>
      <c r="U73" s="354"/>
      <c r="V73" s="132" t="s">
        <v>27</v>
      </c>
      <c r="W73" s="414"/>
      <c r="X73" s="133" t="s">
        <v>190</v>
      </c>
      <c r="Y73" s="161" t="s">
        <v>267</v>
      </c>
      <c r="Z73" s="161" t="s">
        <v>393</v>
      </c>
      <c r="AA73" s="132" t="s">
        <v>91</v>
      </c>
      <c r="AB73" s="243">
        <v>70</v>
      </c>
    </row>
    <row r="74" spans="1:47" ht="110.25" x14ac:dyDescent="0.25">
      <c r="A74" s="184" t="s">
        <v>205</v>
      </c>
      <c r="B74" s="183" t="s">
        <v>258</v>
      </c>
      <c r="C74" s="162" t="s">
        <v>336</v>
      </c>
      <c r="D74" s="334" t="s">
        <v>838</v>
      </c>
      <c r="E74" s="134" t="s">
        <v>839</v>
      </c>
      <c r="F74" s="422" t="s">
        <v>558</v>
      </c>
      <c r="G74" s="422"/>
      <c r="H74" s="132" t="s">
        <v>41</v>
      </c>
      <c r="I74" s="422"/>
      <c r="J74" s="354" t="s">
        <v>682</v>
      </c>
      <c r="K74" s="354"/>
      <c r="L74" s="354"/>
      <c r="M74" s="132" t="s">
        <v>41</v>
      </c>
      <c r="N74" s="354"/>
      <c r="O74" s="436" t="s">
        <v>840</v>
      </c>
      <c r="P74" s="436"/>
      <c r="Q74" s="436"/>
      <c r="R74" s="350" t="s">
        <v>41</v>
      </c>
      <c r="S74" s="437"/>
      <c r="T74" s="405" t="s">
        <v>886</v>
      </c>
      <c r="U74" s="405"/>
      <c r="V74" s="132" t="s">
        <v>40</v>
      </c>
      <c r="W74" s="406"/>
      <c r="X74" s="133" t="s">
        <v>190</v>
      </c>
      <c r="Y74" s="161" t="s">
        <v>267</v>
      </c>
      <c r="Z74" s="161" t="s">
        <v>393</v>
      </c>
      <c r="AA74" s="132" t="s">
        <v>91</v>
      </c>
      <c r="AB74" s="243">
        <v>71</v>
      </c>
    </row>
    <row r="75" spans="1:47" ht="110.25" x14ac:dyDescent="0.25">
      <c r="A75" s="184" t="s">
        <v>206</v>
      </c>
      <c r="B75" s="183" t="s">
        <v>258</v>
      </c>
      <c r="C75" s="162" t="s">
        <v>336</v>
      </c>
      <c r="D75" s="334" t="s">
        <v>514</v>
      </c>
      <c r="E75" s="134">
        <v>43525</v>
      </c>
      <c r="F75" s="422"/>
      <c r="G75" s="422"/>
      <c r="H75" s="132" t="s">
        <v>43</v>
      </c>
      <c r="I75" s="422"/>
      <c r="J75" s="354"/>
      <c r="K75" s="354"/>
      <c r="L75" s="354"/>
      <c r="M75" s="132" t="s">
        <v>43</v>
      </c>
      <c r="N75" s="354"/>
      <c r="O75" s="436"/>
      <c r="P75" s="436"/>
      <c r="Q75" s="436"/>
      <c r="R75" s="350" t="s">
        <v>43</v>
      </c>
      <c r="S75" s="437"/>
      <c r="T75" s="405" t="s">
        <v>887</v>
      </c>
      <c r="U75" s="405"/>
      <c r="V75" s="132" t="s">
        <v>40</v>
      </c>
      <c r="W75" s="406"/>
      <c r="X75" s="133" t="s">
        <v>190</v>
      </c>
      <c r="Y75" s="161" t="s">
        <v>267</v>
      </c>
      <c r="Z75" s="161" t="s">
        <v>393</v>
      </c>
      <c r="AA75" s="132" t="s">
        <v>91</v>
      </c>
      <c r="AB75" s="243">
        <v>72</v>
      </c>
    </row>
    <row r="76" spans="1:47" ht="103.5" customHeight="1" x14ac:dyDescent="0.25">
      <c r="A76" s="184" t="s">
        <v>202</v>
      </c>
      <c r="B76" s="183" t="s">
        <v>258</v>
      </c>
      <c r="C76" s="162" t="s">
        <v>333</v>
      </c>
      <c r="D76" s="334" t="s">
        <v>515</v>
      </c>
      <c r="E76" s="134">
        <v>43525</v>
      </c>
      <c r="F76" s="422" t="s">
        <v>559</v>
      </c>
      <c r="G76" s="422"/>
      <c r="H76" s="132" t="s">
        <v>41</v>
      </c>
      <c r="I76" s="422"/>
      <c r="J76" s="354" t="s">
        <v>652</v>
      </c>
      <c r="K76" s="354" t="s">
        <v>688</v>
      </c>
      <c r="L76" s="354"/>
      <c r="M76" s="132" t="s">
        <v>40</v>
      </c>
      <c r="N76" s="354"/>
      <c r="O76" s="436" t="s">
        <v>752</v>
      </c>
      <c r="P76" s="436">
        <v>3</v>
      </c>
      <c r="Q76" s="436">
        <v>4</v>
      </c>
      <c r="R76" s="350" t="s">
        <v>40</v>
      </c>
      <c r="S76" s="445"/>
      <c r="T76" s="436" t="s">
        <v>888</v>
      </c>
      <c r="U76" s="405">
        <v>4</v>
      </c>
      <c r="V76" s="132" t="s">
        <v>40</v>
      </c>
      <c r="W76" s="406"/>
      <c r="X76" s="133" t="s">
        <v>190</v>
      </c>
      <c r="Y76" s="161" t="s">
        <v>267</v>
      </c>
      <c r="Z76" s="161" t="s">
        <v>393</v>
      </c>
      <c r="AA76" s="132" t="s">
        <v>91</v>
      </c>
      <c r="AB76" s="243">
        <v>73</v>
      </c>
    </row>
    <row r="77" spans="1:47" ht="210" x14ac:dyDescent="0.25">
      <c r="A77" s="184" t="s">
        <v>203</v>
      </c>
      <c r="B77" s="183" t="s">
        <v>258</v>
      </c>
      <c r="C77" s="162" t="s">
        <v>334</v>
      </c>
      <c r="D77" s="334" t="s">
        <v>516</v>
      </c>
      <c r="E77" s="134">
        <v>43344</v>
      </c>
      <c r="F77" s="422" t="s">
        <v>560</v>
      </c>
      <c r="G77" s="422"/>
      <c r="H77" s="132" t="s">
        <v>41</v>
      </c>
      <c r="I77" s="422"/>
      <c r="J77" s="354" t="s">
        <v>689</v>
      </c>
      <c r="K77" s="354"/>
      <c r="L77" s="354"/>
      <c r="M77" s="410" t="s">
        <v>40</v>
      </c>
      <c r="N77" s="354" t="s">
        <v>734</v>
      </c>
      <c r="O77" s="436" t="s">
        <v>753</v>
      </c>
      <c r="P77" s="436"/>
      <c r="Q77" s="436"/>
      <c r="R77" s="350" t="s">
        <v>40</v>
      </c>
      <c r="S77" s="445"/>
      <c r="T77" s="436" t="s">
        <v>753</v>
      </c>
      <c r="U77" s="405"/>
      <c r="V77" s="132" t="s">
        <v>40</v>
      </c>
      <c r="W77" s="405"/>
      <c r="X77" s="133" t="s">
        <v>190</v>
      </c>
      <c r="Y77" s="161" t="s">
        <v>267</v>
      </c>
      <c r="Z77" s="161" t="s">
        <v>393</v>
      </c>
      <c r="AA77" s="132" t="s">
        <v>91</v>
      </c>
      <c r="AB77" s="243">
        <v>74</v>
      </c>
    </row>
    <row r="78" spans="1:47" s="244" customFormat="1" ht="21" x14ac:dyDescent="0.35">
      <c r="A78" s="329" t="s">
        <v>415</v>
      </c>
      <c r="B78" s="330"/>
      <c r="C78" s="332"/>
      <c r="D78" s="333"/>
      <c r="E78" s="333"/>
      <c r="F78" s="333"/>
      <c r="G78" s="333"/>
      <c r="H78" s="333"/>
      <c r="I78" s="333"/>
      <c r="J78" s="333"/>
      <c r="K78" s="333"/>
      <c r="L78" s="333"/>
      <c r="M78" s="333"/>
      <c r="N78" s="333"/>
      <c r="O78" s="428"/>
      <c r="P78" s="428"/>
      <c r="Q78" s="428"/>
      <c r="R78" s="428"/>
      <c r="S78" s="428"/>
      <c r="T78" s="333"/>
      <c r="U78" s="333"/>
      <c r="V78" s="333"/>
      <c r="W78" s="333"/>
      <c r="X78" s="333"/>
      <c r="Y78" s="333"/>
      <c r="Z78" s="333"/>
      <c r="AA78" s="333"/>
      <c r="AB78" s="331">
        <v>75</v>
      </c>
      <c r="AC78" s="379"/>
      <c r="AD78" s="379"/>
      <c r="AE78" s="379"/>
      <c r="AF78" s="379"/>
      <c r="AG78" s="379"/>
      <c r="AH78" s="379"/>
      <c r="AI78" s="379"/>
      <c r="AJ78" s="379"/>
      <c r="AK78" s="379"/>
      <c r="AL78" s="379"/>
      <c r="AM78" s="379"/>
      <c r="AN78" s="379"/>
      <c r="AO78" s="379"/>
      <c r="AP78" s="379"/>
      <c r="AQ78" s="379"/>
      <c r="AR78" s="379"/>
      <c r="AS78" s="379"/>
      <c r="AT78" s="379"/>
      <c r="AU78" s="379"/>
    </row>
    <row r="79" spans="1:47" ht="150" x14ac:dyDescent="0.25">
      <c r="A79" s="184" t="s">
        <v>153</v>
      </c>
      <c r="B79" s="183" t="s">
        <v>95</v>
      </c>
      <c r="C79" s="162" t="s">
        <v>351</v>
      </c>
      <c r="D79" s="334" t="s">
        <v>457</v>
      </c>
      <c r="E79" s="134">
        <v>43435</v>
      </c>
      <c r="F79" s="422" t="s">
        <v>582</v>
      </c>
      <c r="G79" s="422"/>
      <c r="H79" s="132" t="s">
        <v>41</v>
      </c>
      <c r="I79" s="422"/>
      <c r="J79" s="354" t="s">
        <v>582</v>
      </c>
      <c r="K79" s="354"/>
      <c r="L79" s="354"/>
      <c r="M79" s="132" t="s">
        <v>41</v>
      </c>
      <c r="N79" s="354"/>
      <c r="O79" s="436" t="s">
        <v>582</v>
      </c>
      <c r="P79" s="436"/>
      <c r="Q79" s="436"/>
      <c r="R79" s="350" t="s">
        <v>41</v>
      </c>
      <c r="S79" s="437"/>
      <c r="T79" s="436" t="s">
        <v>582</v>
      </c>
      <c r="U79" s="354"/>
      <c r="V79" s="410" t="s">
        <v>40</v>
      </c>
      <c r="W79" s="411"/>
      <c r="X79" s="133" t="s">
        <v>191</v>
      </c>
      <c r="Y79" s="161" t="s">
        <v>77</v>
      </c>
      <c r="Z79" s="161" t="s">
        <v>324</v>
      </c>
      <c r="AA79" s="132" t="s">
        <v>421</v>
      </c>
      <c r="AB79" s="243">
        <v>76</v>
      </c>
    </row>
    <row r="80" spans="1:47" ht="104.25" customHeight="1" x14ac:dyDescent="0.25">
      <c r="A80" s="184" t="s">
        <v>154</v>
      </c>
      <c r="B80" s="183" t="s">
        <v>95</v>
      </c>
      <c r="C80" s="162" t="s">
        <v>351</v>
      </c>
      <c r="D80" s="334" t="s">
        <v>458</v>
      </c>
      <c r="E80" s="134">
        <v>43525</v>
      </c>
      <c r="F80" s="422" t="s">
        <v>564</v>
      </c>
      <c r="G80" s="422"/>
      <c r="H80" s="132" t="s">
        <v>41</v>
      </c>
      <c r="I80" s="422"/>
      <c r="J80" s="354" t="s">
        <v>624</v>
      </c>
      <c r="K80" s="354"/>
      <c r="L80" s="354"/>
      <c r="M80" s="132" t="s">
        <v>41</v>
      </c>
      <c r="N80" s="354"/>
      <c r="O80" s="436" t="s">
        <v>741</v>
      </c>
      <c r="P80" s="436"/>
      <c r="Q80" s="436"/>
      <c r="R80" s="350" t="s">
        <v>41</v>
      </c>
      <c r="S80" s="437"/>
      <c r="T80" s="353" t="s">
        <v>851</v>
      </c>
      <c r="U80" s="354"/>
      <c r="V80" s="410" t="s">
        <v>40</v>
      </c>
      <c r="W80" s="353"/>
      <c r="X80" s="133" t="s">
        <v>191</v>
      </c>
      <c r="Y80" s="161" t="s">
        <v>77</v>
      </c>
      <c r="Z80" s="161" t="s">
        <v>324</v>
      </c>
      <c r="AA80" s="132" t="s">
        <v>421</v>
      </c>
      <c r="AB80" s="243">
        <v>77</v>
      </c>
    </row>
    <row r="81" spans="1:28" ht="104.25" customHeight="1" x14ac:dyDescent="0.25">
      <c r="A81" s="184" t="s">
        <v>155</v>
      </c>
      <c r="B81" s="183" t="s">
        <v>95</v>
      </c>
      <c r="C81" s="162" t="s">
        <v>352</v>
      </c>
      <c r="D81" s="334" t="s">
        <v>459</v>
      </c>
      <c r="E81" s="134">
        <v>43374</v>
      </c>
      <c r="F81" s="422"/>
      <c r="G81" s="422"/>
      <c r="H81" s="132" t="s">
        <v>43</v>
      </c>
      <c r="I81" s="422"/>
      <c r="J81" s="354" t="s">
        <v>625</v>
      </c>
      <c r="K81" s="354"/>
      <c r="L81" s="354"/>
      <c r="M81" s="132" t="s">
        <v>41</v>
      </c>
      <c r="N81" s="354"/>
      <c r="O81" s="436" t="s">
        <v>742</v>
      </c>
      <c r="P81" s="436"/>
      <c r="Q81" s="436"/>
      <c r="R81" s="350" t="s">
        <v>40</v>
      </c>
      <c r="T81" s="436" t="s">
        <v>742</v>
      </c>
      <c r="U81" s="405"/>
      <c r="V81" s="410" t="s">
        <v>40</v>
      </c>
      <c r="W81" s="406"/>
      <c r="X81" s="133" t="s">
        <v>191</v>
      </c>
      <c r="Y81" s="161" t="s">
        <v>77</v>
      </c>
      <c r="Z81" s="161" t="s">
        <v>324</v>
      </c>
      <c r="AA81" s="132" t="s">
        <v>422</v>
      </c>
      <c r="AB81" s="243">
        <v>78</v>
      </c>
    </row>
    <row r="82" spans="1:28" ht="104.25" customHeight="1" x14ac:dyDescent="0.25">
      <c r="A82" s="184" t="s">
        <v>156</v>
      </c>
      <c r="B82" s="183" t="s">
        <v>852</v>
      </c>
      <c r="C82" s="162" t="s">
        <v>352</v>
      </c>
      <c r="D82" s="334" t="s">
        <v>460</v>
      </c>
      <c r="E82" s="134">
        <v>43525</v>
      </c>
      <c r="F82" s="422"/>
      <c r="G82" s="422"/>
      <c r="H82" s="132" t="s">
        <v>43</v>
      </c>
      <c r="I82" s="422"/>
      <c r="J82" s="354"/>
      <c r="K82" s="354"/>
      <c r="L82" s="354"/>
      <c r="M82" s="132" t="s">
        <v>43</v>
      </c>
      <c r="N82" s="354"/>
      <c r="O82" s="436"/>
      <c r="P82" s="436"/>
      <c r="Q82" s="436"/>
      <c r="R82" s="350" t="s">
        <v>43</v>
      </c>
      <c r="S82" s="437"/>
      <c r="T82" s="405" t="s">
        <v>881</v>
      </c>
      <c r="U82" s="405"/>
      <c r="V82" s="410" t="s">
        <v>40</v>
      </c>
      <c r="W82" s="406"/>
      <c r="X82" s="133" t="s">
        <v>191</v>
      </c>
      <c r="Y82" s="161" t="s">
        <v>77</v>
      </c>
      <c r="Z82" s="161" t="s">
        <v>324</v>
      </c>
      <c r="AA82" s="132" t="s">
        <v>422</v>
      </c>
      <c r="AB82" s="243">
        <v>79</v>
      </c>
    </row>
    <row r="83" spans="1:28" ht="104.25" customHeight="1" x14ac:dyDescent="0.25">
      <c r="A83" s="184" t="s">
        <v>157</v>
      </c>
      <c r="B83" s="183" t="s">
        <v>852</v>
      </c>
      <c r="C83" s="162" t="s">
        <v>352</v>
      </c>
      <c r="D83" s="334" t="s">
        <v>461</v>
      </c>
      <c r="E83" s="134">
        <v>43525</v>
      </c>
      <c r="F83" s="422"/>
      <c r="G83" s="422"/>
      <c r="H83" s="132" t="s">
        <v>43</v>
      </c>
      <c r="I83" s="422"/>
      <c r="J83" s="354"/>
      <c r="K83" s="354"/>
      <c r="L83" s="354"/>
      <c r="M83" s="132" t="s">
        <v>43</v>
      </c>
      <c r="N83" s="354"/>
      <c r="O83" s="436" t="s">
        <v>826</v>
      </c>
      <c r="P83" s="436"/>
      <c r="Q83" s="436"/>
      <c r="R83" s="350" t="s">
        <v>41</v>
      </c>
      <c r="S83" s="437"/>
      <c r="T83" s="405" t="s">
        <v>880</v>
      </c>
      <c r="U83" s="405"/>
      <c r="V83" s="410" t="s">
        <v>40</v>
      </c>
      <c r="W83" s="406"/>
      <c r="X83" s="133" t="s">
        <v>191</v>
      </c>
      <c r="Y83" s="161" t="s">
        <v>77</v>
      </c>
      <c r="Z83" s="161" t="s">
        <v>324</v>
      </c>
      <c r="AA83" s="132" t="s">
        <v>422</v>
      </c>
      <c r="AB83" s="243">
        <v>80</v>
      </c>
    </row>
    <row r="84" spans="1:28" ht="150" customHeight="1" x14ac:dyDescent="0.25">
      <c r="A84" s="184" t="s">
        <v>158</v>
      </c>
      <c r="B84" s="183" t="s">
        <v>853</v>
      </c>
      <c r="C84" s="162" t="s">
        <v>353</v>
      </c>
      <c r="D84" s="334" t="s">
        <v>483</v>
      </c>
      <c r="E84" s="134">
        <v>43313</v>
      </c>
      <c r="F84" s="422" t="s">
        <v>577</v>
      </c>
      <c r="G84" s="422"/>
      <c r="H84" s="132" t="s">
        <v>41</v>
      </c>
      <c r="I84" s="422"/>
      <c r="J84" s="354" t="s">
        <v>723</v>
      </c>
      <c r="K84" s="354"/>
      <c r="L84" s="354"/>
      <c r="M84" s="132" t="s">
        <v>40</v>
      </c>
      <c r="N84" s="354" t="s">
        <v>724</v>
      </c>
      <c r="O84" s="436" t="s">
        <v>824</v>
      </c>
      <c r="P84" s="436"/>
      <c r="Q84" s="436"/>
      <c r="R84" s="350" t="s">
        <v>40</v>
      </c>
      <c r="S84" s="437"/>
      <c r="T84" s="405" t="s">
        <v>932</v>
      </c>
      <c r="U84" s="405"/>
      <c r="V84" s="410" t="s">
        <v>40</v>
      </c>
      <c r="W84" s="406" t="s">
        <v>868</v>
      </c>
      <c r="X84" s="133" t="s">
        <v>191</v>
      </c>
      <c r="Y84" s="161" t="s">
        <v>85</v>
      </c>
      <c r="Z84" s="161" t="s">
        <v>325</v>
      </c>
      <c r="AA84" s="132" t="s">
        <v>403</v>
      </c>
      <c r="AB84" s="243">
        <v>81</v>
      </c>
    </row>
    <row r="85" spans="1:28" ht="114" customHeight="1" x14ac:dyDescent="0.25">
      <c r="A85" s="184" t="s">
        <v>159</v>
      </c>
      <c r="B85" s="183" t="s">
        <v>850</v>
      </c>
      <c r="C85" s="162" t="s">
        <v>256</v>
      </c>
      <c r="D85" s="334" t="s">
        <v>481</v>
      </c>
      <c r="E85" s="134">
        <v>43282</v>
      </c>
      <c r="F85" s="422" t="s">
        <v>537</v>
      </c>
      <c r="G85" s="422"/>
      <c r="H85" s="132" t="s">
        <v>41</v>
      </c>
      <c r="I85" s="422"/>
      <c r="J85" s="354" t="s">
        <v>735</v>
      </c>
      <c r="K85" s="354"/>
      <c r="L85" s="354"/>
      <c r="M85" s="410" t="s">
        <v>40</v>
      </c>
      <c r="N85" s="354" t="s">
        <v>731</v>
      </c>
      <c r="O85" s="436" t="s">
        <v>836</v>
      </c>
      <c r="P85" s="436"/>
      <c r="Q85" s="436"/>
      <c r="R85" s="350" t="s">
        <v>40</v>
      </c>
      <c r="S85" s="437"/>
      <c r="T85" s="405" t="s">
        <v>854</v>
      </c>
      <c r="U85" s="405"/>
      <c r="V85" s="410" t="s">
        <v>40</v>
      </c>
      <c r="W85" s="406"/>
      <c r="X85" s="133" t="s">
        <v>191</v>
      </c>
      <c r="Y85" s="161" t="s">
        <v>85</v>
      </c>
      <c r="Z85" s="161" t="s">
        <v>325</v>
      </c>
      <c r="AA85" s="132" t="s">
        <v>423</v>
      </c>
      <c r="AB85" s="243">
        <v>82</v>
      </c>
    </row>
    <row r="86" spans="1:28" ht="146.25" customHeight="1" x14ac:dyDescent="0.25">
      <c r="A86" s="184" t="s">
        <v>160</v>
      </c>
      <c r="B86" s="183" t="s">
        <v>326</v>
      </c>
      <c r="C86" s="162" t="s">
        <v>354</v>
      </c>
      <c r="D86" s="334" t="s">
        <v>473</v>
      </c>
      <c r="E86" s="134">
        <v>43466</v>
      </c>
      <c r="F86" s="422"/>
      <c r="G86" s="422"/>
      <c r="H86" s="132" t="s">
        <v>43</v>
      </c>
      <c r="I86" s="422" t="s">
        <v>611</v>
      </c>
      <c r="J86" s="354"/>
      <c r="K86" s="354"/>
      <c r="L86" s="354"/>
      <c r="M86" s="132" t="s">
        <v>43</v>
      </c>
      <c r="N86" s="354"/>
      <c r="O86" s="436" t="s">
        <v>798</v>
      </c>
      <c r="P86" s="436"/>
      <c r="Q86" s="436"/>
      <c r="R86" s="350" t="s">
        <v>41</v>
      </c>
      <c r="S86" s="437"/>
      <c r="T86" s="405" t="s">
        <v>932</v>
      </c>
      <c r="U86" s="405" t="s">
        <v>927</v>
      </c>
      <c r="V86" s="410" t="s">
        <v>40</v>
      </c>
      <c r="W86" s="406"/>
      <c r="X86" s="133" t="s">
        <v>191</v>
      </c>
      <c r="Y86" s="161" t="s">
        <v>85</v>
      </c>
      <c r="Z86" s="161" t="s">
        <v>325</v>
      </c>
      <c r="AA86" s="132" t="s">
        <v>424</v>
      </c>
      <c r="AB86" s="243">
        <v>83</v>
      </c>
    </row>
    <row r="87" spans="1:28" ht="104.25" customHeight="1" x14ac:dyDescent="0.25">
      <c r="A87" s="184" t="s">
        <v>161</v>
      </c>
      <c r="B87" s="183" t="s">
        <v>326</v>
      </c>
      <c r="C87" s="162" t="s">
        <v>355</v>
      </c>
      <c r="D87" s="334" t="s">
        <v>474</v>
      </c>
      <c r="E87" s="134">
        <v>43252</v>
      </c>
      <c r="F87" s="422" t="s">
        <v>619</v>
      </c>
      <c r="G87" s="422"/>
      <c r="H87" s="132" t="s">
        <v>40</v>
      </c>
      <c r="I87" s="422"/>
      <c r="J87" s="434" t="s">
        <v>685</v>
      </c>
      <c r="K87" s="354"/>
      <c r="L87" s="354"/>
      <c r="M87" s="132" t="s">
        <v>40</v>
      </c>
      <c r="N87" s="354"/>
      <c r="O87" s="436" t="s">
        <v>833</v>
      </c>
      <c r="P87" s="436"/>
      <c r="Q87" s="436"/>
      <c r="R87" s="350" t="s">
        <v>40</v>
      </c>
      <c r="S87" s="437"/>
      <c r="T87" s="408" t="s">
        <v>877</v>
      </c>
      <c r="U87" s="405"/>
      <c r="V87" s="410" t="s">
        <v>40</v>
      </c>
      <c r="W87" s="406"/>
      <c r="X87" s="133" t="s">
        <v>191</v>
      </c>
      <c r="Y87" s="161" t="s">
        <v>85</v>
      </c>
      <c r="Z87" s="161" t="s">
        <v>325</v>
      </c>
      <c r="AA87" s="132" t="s">
        <v>424</v>
      </c>
      <c r="AB87" s="243">
        <v>84</v>
      </c>
    </row>
    <row r="88" spans="1:28" ht="104.25" customHeight="1" x14ac:dyDescent="0.25">
      <c r="A88" s="184" t="s">
        <v>162</v>
      </c>
      <c r="B88" s="183" t="s">
        <v>326</v>
      </c>
      <c r="C88" s="162" t="s">
        <v>354</v>
      </c>
      <c r="D88" s="334" t="s">
        <v>475</v>
      </c>
      <c r="E88" s="134">
        <v>43405</v>
      </c>
      <c r="F88" s="422"/>
      <c r="G88" s="422"/>
      <c r="H88" s="132" t="s">
        <v>43</v>
      </c>
      <c r="I88" s="422" t="s">
        <v>612</v>
      </c>
      <c r="J88" s="354" t="s">
        <v>725</v>
      </c>
      <c r="K88" s="354"/>
      <c r="L88" s="354"/>
      <c r="M88" s="132" t="s">
        <v>41</v>
      </c>
      <c r="N88" s="354"/>
      <c r="O88" s="436" t="s">
        <v>797</v>
      </c>
      <c r="P88" s="436"/>
      <c r="Q88" s="436"/>
      <c r="R88" s="350" t="s">
        <v>40</v>
      </c>
      <c r="S88" s="445"/>
      <c r="T88" s="436" t="s">
        <v>797</v>
      </c>
      <c r="U88" s="405"/>
      <c r="V88" s="410" t="s">
        <v>40</v>
      </c>
      <c r="W88" s="406"/>
      <c r="X88" s="133" t="s">
        <v>191</v>
      </c>
      <c r="Y88" s="161" t="s">
        <v>85</v>
      </c>
      <c r="Z88" s="161" t="s">
        <v>325</v>
      </c>
      <c r="AA88" s="132" t="s">
        <v>424</v>
      </c>
      <c r="AB88" s="243">
        <v>85</v>
      </c>
    </row>
    <row r="89" spans="1:28" ht="104.25" customHeight="1" x14ac:dyDescent="0.25">
      <c r="A89" s="184" t="s">
        <v>163</v>
      </c>
      <c r="B89" s="183" t="s">
        <v>326</v>
      </c>
      <c r="C89" s="162" t="s">
        <v>356</v>
      </c>
      <c r="D89" s="346" t="s">
        <v>476</v>
      </c>
      <c r="E89" s="134">
        <v>43374</v>
      </c>
      <c r="F89" s="422"/>
      <c r="G89" s="422"/>
      <c r="H89" s="132" t="s">
        <v>43</v>
      </c>
      <c r="I89" s="422"/>
      <c r="J89" s="354" t="s">
        <v>697</v>
      </c>
      <c r="K89" s="354"/>
      <c r="L89" s="354"/>
      <c r="M89" s="132" t="s">
        <v>41</v>
      </c>
      <c r="N89" s="354"/>
      <c r="O89" s="436" t="s">
        <v>841</v>
      </c>
      <c r="P89" s="436"/>
      <c r="Q89" s="436"/>
      <c r="R89" s="350" t="s">
        <v>40</v>
      </c>
      <c r="S89" s="445"/>
      <c r="T89" s="436" t="s">
        <v>841</v>
      </c>
      <c r="U89" s="408"/>
      <c r="V89" s="410" t="s">
        <v>40</v>
      </c>
      <c r="W89" s="406"/>
      <c r="X89" s="133" t="s">
        <v>191</v>
      </c>
      <c r="Y89" s="161" t="s">
        <v>85</v>
      </c>
      <c r="Z89" s="161" t="s">
        <v>325</v>
      </c>
      <c r="AA89" s="132" t="s">
        <v>424</v>
      </c>
      <c r="AB89" s="243">
        <v>86</v>
      </c>
    </row>
    <row r="90" spans="1:28" ht="122.25" customHeight="1" x14ac:dyDescent="0.25">
      <c r="A90" s="184" t="s">
        <v>164</v>
      </c>
      <c r="B90" s="183" t="s">
        <v>326</v>
      </c>
      <c r="C90" s="162" t="s">
        <v>357</v>
      </c>
      <c r="D90" s="346" t="s">
        <v>358</v>
      </c>
      <c r="E90" s="134">
        <v>43525</v>
      </c>
      <c r="F90" s="420"/>
      <c r="G90" s="422"/>
      <c r="H90" s="132" t="s">
        <v>43</v>
      </c>
      <c r="I90" s="422" t="s">
        <v>613</v>
      </c>
      <c r="J90" s="354" t="s">
        <v>670</v>
      </c>
      <c r="K90" s="354"/>
      <c r="L90" s="354"/>
      <c r="M90" s="132" t="s">
        <v>40</v>
      </c>
      <c r="N90" s="354"/>
      <c r="O90" s="436" t="s">
        <v>836</v>
      </c>
      <c r="P90" s="436"/>
      <c r="Q90" s="436"/>
      <c r="R90" s="350" t="s">
        <v>40</v>
      </c>
      <c r="S90" s="437"/>
      <c r="T90" s="405" t="s">
        <v>878</v>
      </c>
      <c r="U90" s="408"/>
      <c r="V90" s="410" t="s">
        <v>40</v>
      </c>
      <c r="W90" s="406"/>
      <c r="X90" s="133" t="s">
        <v>191</v>
      </c>
      <c r="Y90" s="161" t="s">
        <v>85</v>
      </c>
      <c r="Z90" s="161" t="s">
        <v>325</v>
      </c>
      <c r="AA90" s="132" t="s">
        <v>424</v>
      </c>
      <c r="AB90" s="243">
        <v>87</v>
      </c>
    </row>
    <row r="91" spans="1:28" ht="104.25" customHeight="1" x14ac:dyDescent="0.25">
      <c r="A91" s="184" t="s">
        <v>165</v>
      </c>
      <c r="B91" s="183" t="s">
        <v>326</v>
      </c>
      <c r="C91" s="162" t="s">
        <v>359</v>
      </c>
      <c r="D91" s="346" t="s">
        <v>360</v>
      </c>
      <c r="E91" s="134">
        <v>43525</v>
      </c>
      <c r="F91" s="420"/>
      <c r="G91" s="422"/>
      <c r="H91" s="132" t="s">
        <v>43</v>
      </c>
      <c r="I91" s="422" t="s">
        <v>613</v>
      </c>
      <c r="J91" s="354" t="s">
        <v>726</v>
      </c>
      <c r="K91" s="354"/>
      <c r="L91" s="354"/>
      <c r="M91" s="132" t="s">
        <v>40</v>
      </c>
      <c r="N91" s="354"/>
      <c r="O91" s="436" t="s">
        <v>836</v>
      </c>
      <c r="P91" s="436"/>
      <c r="Q91" s="436"/>
      <c r="R91" s="350" t="s">
        <v>40</v>
      </c>
      <c r="S91" s="437"/>
      <c r="T91" s="405" t="s">
        <v>878</v>
      </c>
      <c r="U91" s="408"/>
      <c r="V91" s="410" t="s">
        <v>40</v>
      </c>
      <c r="W91" s="406"/>
      <c r="X91" s="133" t="s">
        <v>191</v>
      </c>
      <c r="Y91" s="161" t="s">
        <v>85</v>
      </c>
      <c r="Z91" s="161" t="s">
        <v>325</v>
      </c>
      <c r="AA91" s="132" t="s">
        <v>424</v>
      </c>
      <c r="AB91" s="243">
        <v>88</v>
      </c>
    </row>
    <row r="92" spans="1:28" ht="323.25" customHeight="1" x14ac:dyDescent="0.25">
      <c r="A92" s="184" t="s">
        <v>166</v>
      </c>
      <c r="B92" s="183" t="s">
        <v>326</v>
      </c>
      <c r="C92" s="162" t="s">
        <v>361</v>
      </c>
      <c r="D92" s="346" t="s">
        <v>362</v>
      </c>
      <c r="E92" s="134">
        <v>43525</v>
      </c>
      <c r="F92" s="420"/>
      <c r="G92" s="422"/>
      <c r="H92" s="132" t="s">
        <v>43</v>
      </c>
      <c r="I92" s="422" t="s">
        <v>613</v>
      </c>
      <c r="J92" s="354" t="s">
        <v>733</v>
      </c>
      <c r="K92" s="354"/>
      <c r="L92" s="354"/>
      <c r="M92" s="410" t="s">
        <v>40</v>
      </c>
      <c r="N92" s="354"/>
      <c r="O92" s="436" t="s">
        <v>836</v>
      </c>
      <c r="P92" s="436"/>
      <c r="Q92" s="436"/>
      <c r="R92" s="350" t="s">
        <v>40</v>
      </c>
      <c r="S92" s="437"/>
      <c r="T92" s="405" t="s">
        <v>878</v>
      </c>
      <c r="U92" s="408"/>
      <c r="V92" s="410" t="s">
        <v>40</v>
      </c>
      <c r="W92" s="406"/>
      <c r="X92" s="133" t="s">
        <v>191</v>
      </c>
      <c r="Y92" s="161" t="s">
        <v>85</v>
      </c>
      <c r="Z92" s="161" t="s">
        <v>325</v>
      </c>
      <c r="AA92" s="132" t="s">
        <v>424</v>
      </c>
      <c r="AB92" s="243">
        <v>89</v>
      </c>
    </row>
    <row r="93" spans="1:28" ht="104.25" customHeight="1" x14ac:dyDescent="0.25">
      <c r="A93" s="184" t="s">
        <v>167</v>
      </c>
      <c r="B93" s="183" t="s">
        <v>326</v>
      </c>
      <c r="C93" s="162" t="s">
        <v>361</v>
      </c>
      <c r="D93" s="334" t="s">
        <v>392</v>
      </c>
      <c r="E93" s="134">
        <v>43525</v>
      </c>
      <c r="F93" s="422" t="s">
        <v>580</v>
      </c>
      <c r="G93" s="422"/>
      <c r="H93" s="132" t="s">
        <v>40</v>
      </c>
      <c r="I93" s="422"/>
      <c r="J93" s="434" t="s">
        <v>685</v>
      </c>
      <c r="K93" s="354"/>
      <c r="L93" s="354"/>
      <c r="M93" s="132" t="s">
        <v>40</v>
      </c>
      <c r="N93" s="354"/>
      <c r="O93" s="436" t="s">
        <v>833</v>
      </c>
      <c r="P93" s="436"/>
      <c r="Q93" s="436"/>
      <c r="R93" s="350" t="s">
        <v>40</v>
      </c>
      <c r="S93" s="437"/>
      <c r="T93" s="408" t="s">
        <v>877</v>
      </c>
      <c r="U93" s="406"/>
      <c r="V93" s="410" t="s">
        <v>40</v>
      </c>
      <c r="W93" s="406"/>
      <c r="X93" s="133" t="s">
        <v>191</v>
      </c>
      <c r="Y93" s="161" t="s">
        <v>85</v>
      </c>
      <c r="Z93" s="161" t="s">
        <v>325</v>
      </c>
      <c r="AA93" s="132" t="s">
        <v>424</v>
      </c>
      <c r="AB93" s="243">
        <v>90</v>
      </c>
    </row>
    <row r="94" spans="1:28" ht="129" customHeight="1" x14ac:dyDescent="0.25">
      <c r="A94" s="184" t="s">
        <v>168</v>
      </c>
      <c r="B94" s="183" t="s">
        <v>326</v>
      </c>
      <c r="C94" s="162" t="s">
        <v>363</v>
      </c>
      <c r="D94" s="347" t="s">
        <v>477</v>
      </c>
      <c r="E94" s="134">
        <v>43525</v>
      </c>
      <c r="F94" s="422"/>
      <c r="G94" s="422"/>
      <c r="H94" s="132" t="s">
        <v>43</v>
      </c>
      <c r="I94" s="422"/>
      <c r="J94" s="354" t="s">
        <v>671</v>
      </c>
      <c r="K94" s="354"/>
      <c r="L94" s="354"/>
      <c r="M94" s="132" t="s">
        <v>40</v>
      </c>
      <c r="N94" s="354"/>
      <c r="O94" s="436" t="s">
        <v>836</v>
      </c>
      <c r="P94" s="436"/>
      <c r="Q94" s="436"/>
      <c r="R94" s="350" t="s">
        <v>40</v>
      </c>
      <c r="S94" s="437"/>
      <c r="T94" s="405" t="s">
        <v>878</v>
      </c>
      <c r="U94" s="354"/>
      <c r="V94" s="410" t="s">
        <v>40</v>
      </c>
      <c r="W94" s="354"/>
      <c r="X94" s="133" t="s">
        <v>191</v>
      </c>
      <c r="Y94" s="161" t="s">
        <v>85</v>
      </c>
      <c r="Z94" s="161" t="s">
        <v>325</v>
      </c>
      <c r="AA94" s="132" t="s">
        <v>411</v>
      </c>
      <c r="AB94" s="243">
        <v>91</v>
      </c>
    </row>
    <row r="95" spans="1:28" ht="104.25" customHeight="1" x14ac:dyDescent="0.25">
      <c r="A95" s="184" t="s">
        <v>169</v>
      </c>
      <c r="B95" s="183" t="s">
        <v>326</v>
      </c>
      <c r="C95" s="162" t="s">
        <v>364</v>
      </c>
      <c r="D95" s="347" t="s">
        <v>478</v>
      </c>
      <c r="E95" s="134">
        <v>43374</v>
      </c>
      <c r="F95" s="422" t="s">
        <v>573</v>
      </c>
      <c r="G95" s="423"/>
      <c r="H95" s="132" t="s">
        <v>41</v>
      </c>
      <c r="I95" s="422"/>
      <c r="J95" s="354" t="s">
        <v>672</v>
      </c>
      <c r="K95" s="354"/>
      <c r="L95" s="434"/>
      <c r="M95" s="132" t="s">
        <v>41</v>
      </c>
      <c r="N95" s="354"/>
      <c r="O95" s="436" t="s">
        <v>795</v>
      </c>
      <c r="P95" s="436"/>
      <c r="Q95" s="438"/>
      <c r="R95" s="350" t="s">
        <v>40</v>
      </c>
      <c r="S95" s="445"/>
      <c r="T95" s="436" t="s">
        <v>795</v>
      </c>
      <c r="U95" s="405"/>
      <c r="V95" s="410" t="s">
        <v>40</v>
      </c>
      <c r="W95" s="405"/>
      <c r="X95" s="133" t="s">
        <v>191</v>
      </c>
      <c r="Y95" s="161" t="s">
        <v>85</v>
      </c>
      <c r="Z95" s="161" t="s">
        <v>325</v>
      </c>
      <c r="AA95" s="132" t="s">
        <v>424</v>
      </c>
      <c r="AB95" s="243">
        <v>92</v>
      </c>
    </row>
    <row r="96" spans="1:28" ht="104.25" customHeight="1" x14ac:dyDescent="0.25">
      <c r="A96" s="184" t="s">
        <v>170</v>
      </c>
      <c r="B96" s="183" t="s">
        <v>93</v>
      </c>
      <c r="C96" s="162" t="s">
        <v>365</v>
      </c>
      <c r="D96" s="360">
        <v>0</v>
      </c>
      <c r="E96" s="134">
        <v>43525</v>
      </c>
      <c r="F96" s="422"/>
      <c r="G96" s="422"/>
      <c r="H96" s="132" t="s">
        <v>43</v>
      </c>
      <c r="I96" s="422" t="s">
        <v>614</v>
      </c>
      <c r="J96" s="354" t="s">
        <v>649</v>
      </c>
      <c r="K96" s="434">
        <v>0.01</v>
      </c>
      <c r="L96" s="434">
        <v>0</v>
      </c>
      <c r="M96" s="132" t="s">
        <v>41</v>
      </c>
      <c r="N96" s="354"/>
      <c r="O96" s="436" t="s">
        <v>768</v>
      </c>
      <c r="P96" s="438">
        <v>0</v>
      </c>
      <c r="Q96" s="436" t="s">
        <v>736</v>
      </c>
      <c r="R96" s="350" t="s">
        <v>41</v>
      </c>
      <c r="S96" s="437"/>
      <c r="T96" s="408">
        <v>0</v>
      </c>
      <c r="U96" s="408">
        <v>0</v>
      </c>
      <c r="V96" s="410" t="s">
        <v>40</v>
      </c>
      <c r="W96" s="406"/>
      <c r="X96" s="133" t="s">
        <v>191</v>
      </c>
      <c r="Y96" s="161" t="s">
        <v>90</v>
      </c>
      <c r="Z96" s="161" t="s">
        <v>324</v>
      </c>
      <c r="AA96" s="132" t="s">
        <v>90</v>
      </c>
      <c r="AB96" s="243">
        <v>93</v>
      </c>
    </row>
    <row r="97" spans="1:28" ht="104.25" customHeight="1" x14ac:dyDescent="0.25">
      <c r="A97" s="184" t="s">
        <v>171</v>
      </c>
      <c r="B97" s="183" t="s">
        <v>93</v>
      </c>
      <c r="C97" s="162" t="s">
        <v>366</v>
      </c>
      <c r="D97" s="360">
        <v>0.01</v>
      </c>
      <c r="E97" s="134">
        <v>43525</v>
      </c>
      <c r="F97" s="422"/>
      <c r="G97" s="422"/>
      <c r="H97" s="132" t="s">
        <v>43</v>
      </c>
      <c r="I97" s="422" t="s">
        <v>614</v>
      </c>
      <c r="J97" s="354" t="s">
        <v>650</v>
      </c>
      <c r="K97" s="434">
        <v>0</v>
      </c>
      <c r="L97" s="434">
        <v>0</v>
      </c>
      <c r="M97" s="132" t="s">
        <v>41</v>
      </c>
      <c r="N97" s="354"/>
      <c r="O97" s="436" t="s">
        <v>768</v>
      </c>
      <c r="P97" s="438">
        <v>0</v>
      </c>
      <c r="Q97" s="436" t="s">
        <v>736</v>
      </c>
      <c r="R97" s="350" t="s">
        <v>41</v>
      </c>
      <c r="S97" s="437"/>
      <c r="T97" s="408">
        <v>0</v>
      </c>
      <c r="U97" s="408">
        <v>0</v>
      </c>
      <c r="V97" s="410" t="s">
        <v>40</v>
      </c>
      <c r="W97" s="406"/>
      <c r="X97" s="133" t="s">
        <v>191</v>
      </c>
      <c r="Y97" s="161" t="s">
        <v>90</v>
      </c>
      <c r="Z97" s="161" t="s">
        <v>324</v>
      </c>
      <c r="AA97" s="132" t="s">
        <v>90</v>
      </c>
      <c r="AB97" s="243">
        <v>94</v>
      </c>
    </row>
    <row r="98" spans="1:28" ht="128.25" customHeight="1" x14ac:dyDescent="0.25">
      <c r="A98" s="184" t="s">
        <v>172</v>
      </c>
      <c r="B98" s="183" t="s">
        <v>93</v>
      </c>
      <c r="C98" s="162" t="s">
        <v>367</v>
      </c>
      <c r="D98" s="360">
        <v>0</v>
      </c>
      <c r="E98" s="134">
        <v>43525</v>
      </c>
      <c r="F98" s="422"/>
      <c r="G98" s="422"/>
      <c r="H98" s="132" t="s">
        <v>43</v>
      </c>
      <c r="I98" s="422" t="s">
        <v>614</v>
      </c>
      <c r="J98" s="354" t="s">
        <v>650</v>
      </c>
      <c r="K98" s="434">
        <v>0</v>
      </c>
      <c r="L98" s="434">
        <v>0</v>
      </c>
      <c r="M98" s="132" t="s">
        <v>41</v>
      </c>
      <c r="N98" s="354"/>
      <c r="O98" s="436" t="s">
        <v>768</v>
      </c>
      <c r="P98" s="438">
        <v>0</v>
      </c>
      <c r="Q98" s="436" t="s">
        <v>736</v>
      </c>
      <c r="R98" s="350" t="s">
        <v>41</v>
      </c>
      <c r="S98" s="437"/>
      <c r="T98" s="408">
        <v>0</v>
      </c>
      <c r="U98" s="408">
        <v>0</v>
      </c>
      <c r="V98" s="410" t="s">
        <v>40</v>
      </c>
      <c r="W98" s="406"/>
      <c r="X98" s="133" t="s">
        <v>191</v>
      </c>
      <c r="Y98" s="161" t="s">
        <v>90</v>
      </c>
      <c r="Z98" s="161" t="s">
        <v>324</v>
      </c>
      <c r="AA98" s="132" t="s">
        <v>90</v>
      </c>
      <c r="AB98" s="243">
        <v>95</v>
      </c>
    </row>
    <row r="99" spans="1:28" ht="104.25" customHeight="1" x14ac:dyDescent="0.25">
      <c r="A99" s="184" t="s">
        <v>173</v>
      </c>
      <c r="B99" s="183" t="s">
        <v>93</v>
      </c>
      <c r="C99" s="162" t="s">
        <v>368</v>
      </c>
      <c r="D99" s="360">
        <v>0</v>
      </c>
      <c r="E99" s="134">
        <v>43525</v>
      </c>
      <c r="F99" s="422"/>
      <c r="G99" s="422"/>
      <c r="H99" s="132" t="s">
        <v>43</v>
      </c>
      <c r="I99" s="422" t="s">
        <v>614</v>
      </c>
      <c r="J99" s="354" t="s">
        <v>650</v>
      </c>
      <c r="K99" s="434">
        <v>0</v>
      </c>
      <c r="L99" s="434">
        <v>0</v>
      </c>
      <c r="M99" s="132" t="s">
        <v>41</v>
      </c>
      <c r="N99" s="354"/>
      <c r="O99" s="436" t="s">
        <v>768</v>
      </c>
      <c r="P99" s="438">
        <v>0</v>
      </c>
      <c r="Q99" s="436" t="s">
        <v>736</v>
      </c>
      <c r="R99" s="350" t="s">
        <v>41</v>
      </c>
      <c r="S99" s="437"/>
      <c r="T99" s="408">
        <v>0</v>
      </c>
      <c r="U99" s="408">
        <v>0</v>
      </c>
      <c r="V99" s="410" t="s">
        <v>40</v>
      </c>
      <c r="W99" s="405"/>
      <c r="X99" s="133" t="s">
        <v>191</v>
      </c>
      <c r="Y99" s="161" t="s">
        <v>90</v>
      </c>
      <c r="Z99" s="161" t="s">
        <v>324</v>
      </c>
      <c r="AA99" s="132" t="s">
        <v>90</v>
      </c>
      <c r="AB99" s="243">
        <v>96</v>
      </c>
    </row>
    <row r="100" spans="1:28" ht="96.75" customHeight="1" x14ac:dyDescent="0.25">
      <c r="A100" s="184" t="s">
        <v>174</v>
      </c>
      <c r="B100" s="183" t="s">
        <v>93</v>
      </c>
      <c r="C100" s="162" t="s">
        <v>369</v>
      </c>
      <c r="D100" s="334" t="s">
        <v>370</v>
      </c>
      <c r="E100" s="134">
        <v>43525</v>
      </c>
      <c r="F100" s="422" t="s">
        <v>615</v>
      </c>
      <c r="G100" s="423">
        <v>0.5</v>
      </c>
      <c r="H100" s="132" t="s">
        <v>41</v>
      </c>
      <c r="I100" s="422"/>
      <c r="J100" s="354" t="s">
        <v>656</v>
      </c>
      <c r="K100" s="354" t="s">
        <v>658</v>
      </c>
      <c r="L100" s="434">
        <v>0.5</v>
      </c>
      <c r="M100" s="132" t="s">
        <v>41</v>
      </c>
      <c r="N100" s="354"/>
      <c r="O100" s="436" t="s">
        <v>775</v>
      </c>
      <c r="P100" s="436" t="s">
        <v>778</v>
      </c>
      <c r="Q100" s="436" t="s">
        <v>782</v>
      </c>
      <c r="R100" s="350" t="s">
        <v>26</v>
      </c>
      <c r="S100" s="437" t="s">
        <v>780</v>
      </c>
      <c r="T100" s="405" t="s">
        <v>901</v>
      </c>
      <c r="U100" s="447" t="s">
        <v>904</v>
      </c>
      <c r="V100" s="410" t="s">
        <v>80</v>
      </c>
      <c r="W100" s="406"/>
      <c r="X100" s="133" t="s">
        <v>191</v>
      </c>
      <c r="Y100" s="161" t="s">
        <v>90</v>
      </c>
      <c r="Z100" s="161" t="s">
        <v>324</v>
      </c>
      <c r="AA100" s="132" t="s">
        <v>90</v>
      </c>
      <c r="AB100" s="243">
        <v>97</v>
      </c>
    </row>
    <row r="101" spans="1:28" ht="104.25" customHeight="1" x14ac:dyDescent="0.25">
      <c r="A101" s="184" t="s">
        <v>175</v>
      </c>
      <c r="B101" s="183" t="s">
        <v>93</v>
      </c>
      <c r="C101" s="162" t="s">
        <v>371</v>
      </c>
      <c r="D101" s="334" t="s">
        <v>372</v>
      </c>
      <c r="E101" s="134">
        <v>43525</v>
      </c>
      <c r="F101" s="422" t="s">
        <v>616</v>
      </c>
      <c r="G101" s="422" t="s">
        <v>544</v>
      </c>
      <c r="H101" s="132" t="s">
        <v>41</v>
      </c>
      <c r="I101" s="422"/>
      <c r="J101" s="354" t="s">
        <v>657</v>
      </c>
      <c r="K101" s="354" t="s">
        <v>659</v>
      </c>
      <c r="L101" s="354" t="s">
        <v>660</v>
      </c>
      <c r="M101" s="132" t="s">
        <v>41</v>
      </c>
      <c r="N101" s="354"/>
      <c r="O101" s="436" t="s">
        <v>776</v>
      </c>
      <c r="P101" s="436" t="s">
        <v>777</v>
      </c>
      <c r="Q101" s="436" t="s">
        <v>779</v>
      </c>
      <c r="R101" s="350" t="s">
        <v>41</v>
      </c>
      <c r="S101" s="437" t="s">
        <v>781</v>
      </c>
      <c r="T101" s="405" t="s">
        <v>902</v>
      </c>
      <c r="U101" s="405" t="s">
        <v>903</v>
      </c>
      <c r="V101" s="410" t="s">
        <v>79</v>
      </c>
      <c r="W101" s="406"/>
      <c r="X101" s="133" t="s">
        <v>191</v>
      </c>
      <c r="Y101" s="161" t="s">
        <v>90</v>
      </c>
      <c r="Z101" s="161" t="s">
        <v>324</v>
      </c>
      <c r="AA101" s="132" t="s">
        <v>90</v>
      </c>
      <c r="AB101" s="243">
        <v>98</v>
      </c>
    </row>
    <row r="102" spans="1:28" ht="104.25" customHeight="1" x14ac:dyDescent="0.25">
      <c r="A102" s="184" t="s">
        <v>176</v>
      </c>
      <c r="B102" s="183" t="s">
        <v>93</v>
      </c>
      <c r="C102" s="162" t="s">
        <v>373</v>
      </c>
      <c r="D102" s="334" t="s">
        <v>489</v>
      </c>
      <c r="E102" s="134">
        <v>43435</v>
      </c>
      <c r="F102" s="422"/>
      <c r="G102" s="422"/>
      <c r="H102" s="132" t="s">
        <v>43</v>
      </c>
      <c r="I102" s="422"/>
      <c r="J102" s="354"/>
      <c r="K102" s="354"/>
      <c r="L102" s="354"/>
      <c r="M102" s="132" t="s">
        <v>43</v>
      </c>
      <c r="N102" s="354"/>
      <c r="O102" s="436" t="s">
        <v>767</v>
      </c>
      <c r="P102" s="436"/>
      <c r="Q102" s="436"/>
      <c r="R102" s="350" t="s">
        <v>40</v>
      </c>
      <c r="S102" s="437"/>
      <c r="T102" s="436" t="s">
        <v>767</v>
      </c>
      <c r="U102" s="405"/>
      <c r="V102" s="410" t="s">
        <v>40</v>
      </c>
      <c r="W102" s="406"/>
      <c r="X102" s="133" t="s">
        <v>191</v>
      </c>
      <c r="Y102" s="161" t="s">
        <v>90</v>
      </c>
      <c r="Z102" s="161" t="s">
        <v>324</v>
      </c>
      <c r="AA102" s="132" t="s">
        <v>90</v>
      </c>
      <c r="AB102" s="243">
        <v>99</v>
      </c>
    </row>
    <row r="103" spans="1:28" ht="104.25" customHeight="1" x14ac:dyDescent="0.25">
      <c r="A103" s="184" t="s">
        <v>177</v>
      </c>
      <c r="B103" s="183" t="s">
        <v>263</v>
      </c>
      <c r="C103" s="162" t="s">
        <v>374</v>
      </c>
      <c r="D103" s="334" t="s">
        <v>446</v>
      </c>
      <c r="E103" s="134">
        <v>43191</v>
      </c>
      <c r="F103" s="422" t="s">
        <v>589</v>
      </c>
      <c r="G103" s="422"/>
      <c r="H103" s="132" t="s">
        <v>40</v>
      </c>
      <c r="I103" s="422"/>
      <c r="J103" s="434" t="s">
        <v>685</v>
      </c>
      <c r="K103" s="354"/>
      <c r="L103" s="354"/>
      <c r="M103" s="132" t="s">
        <v>40</v>
      </c>
      <c r="N103" s="354"/>
      <c r="O103" s="441" t="s">
        <v>833</v>
      </c>
      <c r="P103" s="436"/>
      <c r="Q103" s="436"/>
      <c r="R103" s="350" t="s">
        <v>40</v>
      </c>
      <c r="S103" s="439"/>
      <c r="T103" s="405" t="s">
        <v>932</v>
      </c>
      <c r="U103" s="354"/>
      <c r="V103" s="410" t="s">
        <v>40</v>
      </c>
      <c r="W103" s="354"/>
      <c r="X103" s="133" t="s">
        <v>191</v>
      </c>
      <c r="Y103" s="161" t="s">
        <v>92</v>
      </c>
      <c r="Z103" s="161" t="s">
        <v>324</v>
      </c>
      <c r="AA103" s="132" t="s">
        <v>92</v>
      </c>
      <c r="AB103" s="243">
        <v>100</v>
      </c>
    </row>
    <row r="104" spans="1:28" ht="104.25" customHeight="1" x14ac:dyDescent="0.25">
      <c r="A104" s="184" t="s">
        <v>178</v>
      </c>
      <c r="B104" s="183" t="s">
        <v>263</v>
      </c>
      <c r="C104" s="162" t="s">
        <v>374</v>
      </c>
      <c r="D104" s="334" t="s">
        <v>447</v>
      </c>
      <c r="E104" s="134">
        <v>43252</v>
      </c>
      <c r="F104" s="422" t="s">
        <v>553</v>
      </c>
      <c r="G104" s="422"/>
      <c r="H104" s="132" t="s">
        <v>40</v>
      </c>
      <c r="I104" s="422"/>
      <c r="J104" s="434" t="s">
        <v>685</v>
      </c>
      <c r="K104" s="354"/>
      <c r="L104" s="354"/>
      <c r="M104" s="132" t="s">
        <v>40</v>
      </c>
      <c r="N104" s="354"/>
      <c r="O104" s="441" t="s">
        <v>833</v>
      </c>
      <c r="P104" s="436"/>
      <c r="Q104" s="436"/>
      <c r="R104" s="350" t="s">
        <v>40</v>
      </c>
      <c r="S104" s="439"/>
      <c r="T104" s="405" t="s">
        <v>932</v>
      </c>
      <c r="U104" s="354"/>
      <c r="V104" s="410" t="s">
        <v>40</v>
      </c>
      <c r="W104" s="407"/>
      <c r="X104" s="133" t="s">
        <v>191</v>
      </c>
      <c r="Y104" s="161" t="s">
        <v>92</v>
      </c>
      <c r="Z104" s="161" t="s">
        <v>324</v>
      </c>
      <c r="AA104" s="132" t="s">
        <v>92</v>
      </c>
      <c r="AB104" s="243">
        <v>101</v>
      </c>
    </row>
    <row r="105" spans="1:28" ht="114.75" customHeight="1" x14ac:dyDescent="0.25">
      <c r="A105" s="184" t="s">
        <v>179</v>
      </c>
      <c r="B105" s="183" t="s">
        <v>263</v>
      </c>
      <c r="C105" s="162" t="s">
        <v>374</v>
      </c>
      <c r="D105" s="334" t="s">
        <v>448</v>
      </c>
      <c r="E105" s="134">
        <v>43191</v>
      </c>
      <c r="F105" s="422" t="s">
        <v>590</v>
      </c>
      <c r="G105" s="422"/>
      <c r="H105" s="132" t="s">
        <v>40</v>
      </c>
      <c r="I105" s="422"/>
      <c r="J105" s="434" t="s">
        <v>685</v>
      </c>
      <c r="K105" s="354"/>
      <c r="L105" s="354"/>
      <c r="M105" s="132" t="s">
        <v>40</v>
      </c>
      <c r="N105" s="354"/>
      <c r="O105" s="441" t="s">
        <v>833</v>
      </c>
      <c r="P105" s="436"/>
      <c r="Q105" s="436"/>
      <c r="R105" s="350" t="s">
        <v>40</v>
      </c>
      <c r="S105" s="439"/>
      <c r="T105" s="405" t="s">
        <v>932</v>
      </c>
      <c r="U105" s="354"/>
      <c r="V105" s="410" t="s">
        <v>40</v>
      </c>
      <c r="W105" s="354"/>
      <c r="X105" s="133" t="s">
        <v>191</v>
      </c>
      <c r="Y105" s="161" t="s">
        <v>92</v>
      </c>
      <c r="Z105" s="161" t="s">
        <v>324</v>
      </c>
      <c r="AA105" s="132" t="s">
        <v>92</v>
      </c>
      <c r="AB105" s="243">
        <v>102</v>
      </c>
    </row>
    <row r="106" spans="1:28" ht="104.25" customHeight="1" x14ac:dyDescent="0.25">
      <c r="A106" s="184" t="s">
        <v>180</v>
      </c>
      <c r="B106" s="183" t="s">
        <v>263</v>
      </c>
      <c r="C106" s="162" t="s">
        <v>375</v>
      </c>
      <c r="D106" s="334" t="s">
        <v>449</v>
      </c>
      <c r="E106" s="134">
        <v>43435</v>
      </c>
      <c r="F106" s="422"/>
      <c r="G106" s="422"/>
      <c r="H106" s="132" t="s">
        <v>43</v>
      </c>
      <c r="I106" s="422"/>
      <c r="J106" s="354" t="s">
        <v>706</v>
      </c>
      <c r="K106" s="354"/>
      <c r="L106" s="354"/>
      <c r="M106" s="132" t="s">
        <v>41</v>
      </c>
      <c r="N106" s="354"/>
      <c r="O106" s="436" t="s">
        <v>743</v>
      </c>
      <c r="P106" s="436"/>
      <c r="Q106" s="436"/>
      <c r="R106" s="350" t="s">
        <v>40</v>
      </c>
      <c r="S106" s="439"/>
      <c r="T106" s="405" t="s">
        <v>932</v>
      </c>
      <c r="U106" s="405"/>
      <c r="V106" s="410" t="s">
        <v>40</v>
      </c>
      <c r="W106" s="406"/>
      <c r="X106" s="133" t="s">
        <v>191</v>
      </c>
      <c r="Y106" s="161" t="s">
        <v>92</v>
      </c>
      <c r="Z106" s="161" t="s">
        <v>324</v>
      </c>
      <c r="AA106" s="132" t="s">
        <v>92</v>
      </c>
      <c r="AB106" s="243">
        <v>103</v>
      </c>
    </row>
    <row r="107" spans="1:28" ht="104.25" customHeight="1" x14ac:dyDescent="0.25">
      <c r="A107" s="184" t="s">
        <v>181</v>
      </c>
      <c r="B107" s="183" t="s">
        <v>263</v>
      </c>
      <c r="C107" s="162" t="s">
        <v>234</v>
      </c>
      <c r="D107" s="334" t="s">
        <v>450</v>
      </c>
      <c r="E107" s="134">
        <v>43405</v>
      </c>
      <c r="F107" s="422"/>
      <c r="G107" s="422"/>
      <c r="H107" s="132" t="s">
        <v>43</v>
      </c>
      <c r="I107" s="422"/>
      <c r="J107" s="354" t="s">
        <v>706</v>
      </c>
      <c r="K107" s="354"/>
      <c r="L107" s="354"/>
      <c r="M107" s="132" t="s">
        <v>41</v>
      </c>
      <c r="N107" s="354"/>
      <c r="O107" s="437" t="s">
        <v>743</v>
      </c>
      <c r="P107" s="436"/>
      <c r="Q107" s="436"/>
      <c r="R107" s="350" t="s">
        <v>40</v>
      </c>
      <c r="S107" s="439"/>
      <c r="T107" s="405" t="s">
        <v>932</v>
      </c>
      <c r="U107" s="354"/>
      <c r="V107" s="410" t="s">
        <v>40</v>
      </c>
      <c r="W107" s="354"/>
      <c r="X107" s="133" t="s">
        <v>191</v>
      </c>
      <c r="Y107" s="161" t="s">
        <v>92</v>
      </c>
      <c r="Z107" s="161" t="s">
        <v>324</v>
      </c>
      <c r="AA107" s="132" t="s">
        <v>92</v>
      </c>
      <c r="AB107" s="243">
        <v>104</v>
      </c>
    </row>
    <row r="108" spans="1:28" ht="104.25" customHeight="1" x14ac:dyDescent="0.25">
      <c r="A108" s="184" t="s">
        <v>182</v>
      </c>
      <c r="B108" s="183" t="s">
        <v>263</v>
      </c>
      <c r="C108" s="162" t="s">
        <v>374</v>
      </c>
      <c r="D108" s="334" t="s">
        <v>451</v>
      </c>
      <c r="E108" s="134">
        <v>43252</v>
      </c>
      <c r="F108" s="422" t="s">
        <v>591</v>
      </c>
      <c r="G108" s="422"/>
      <c r="H108" s="132" t="s">
        <v>40</v>
      </c>
      <c r="I108" s="422"/>
      <c r="J108" s="434" t="s">
        <v>685</v>
      </c>
      <c r="K108" s="354"/>
      <c r="L108" s="354"/>
      <c r="M108" s="132" t="s">
        <v>40</v>
      </c>
      <c r="N108" s="354"/>
      <c r="O108" s="441" t="s">
        <v>833</v>
      </c>
      <c r="P108" s="436"/>
      <c r="Q108" s="436"/>
      <c r="R108" s="350" t="s">
        <v>40</v>
      </c>
      <c r="S108" s="439"/>
      <c r="T108" s="405" t="s">
        <v>932</v>
      </c>
      <c r="U108" s="354"/>
      <c r="V108" s="410" t="s">
        <v>40</v>
      </c>
      <c r="W108" s="405"/>
      <c r="X108" s="133" t="s">
        <v>191</v>
      </c>
      <c r="Y108" s="161" t="s">
        <v>92</v>
      </c>
      <c r="Z108" s="161" t="s">
        <v>324</v>
      </c>
      <c r="AA108" s="132" t="s">
        <v>92</v>
      </c>
      <c r="AB108" s="243">
        <v>105</v>
      </c>
    </row>
    <row r="109" spans="1:28" ht="104.25" customHeight="1" x14ac:dyDescent="0.25">
      <c r="A109" s="184" t="s">
        <v>183</v>
      </c>
      <c r="B109" s="183" t="s">
        <v>263</v>
      </c>
      <c r="C109" s="162" t="s">
        <v>376</v>
      </c>
      <c r="D109" s="334" t="s">
        <v>452</v>
      </c>
      <c r="E109" s="134">
        <v>43344</v>
      </c>
      <c r="F109" s="422" t="s">
        <v>593</v>
      </c>
      <c r="G109" s="422"/>
      <c r="H109" s="132" t="s">
        <v>41</v>
      </c>
      <c r="I109" s="422"/>
      <c r="J109" s="354" t="s">
        <v>707</v>
      </c>
      <c r="K109" s="354"/>
      <c r="L109" s="354"/>
      <c r="M109" s="132" t="s">
        <v>41</v>
      </c>
      <c r="N109" s="354"/>
      <c r="O109" s="436" t="s">
        <v>842</v>
      </c>
      <c r="P109" s="436"/>
      <c r="Q109" s="436"/>
      <c r="R109" s="350" t="s">
        <v>40</v>
      </c>
      <c r="S109" s="439"/>
      <c r="T109" s="405" t="s">
        <v>932</v>
      </c>
      <c r="U109" s="405"/>
      <c r="V109" s="410" t="s">
        <v>40</v>
      </c>
      <c r="W109" s="406"/>
      <c r="X109" s="133" t="s">
        <v>191</v>
      </c>
      <c r="Y109" s="161" t="s">
        <v>92</v>
      </c>
      <c r="Z109" s="161" t="s">
        <v>324</v>
      </c>
      <c r="AA109" s="132" t="s">
        <v>92</v>
      </c>
      <c r="AB109" s="243">
        <v>106</v>
      </c>
    </row>
    <row r="110" spans="1:28" ht="141.75" customHeight="1" x14ac:dyDescent="0.25">
      <c r="A110" s="184" t="s">
        <v>184</v>
      </c>
      <c r="B110" s="183" t="s">
        <v>258</v>
      </c>
      <c r="C110" s="162" t="s">
        <v>376</v>
      </c>
      <c r="D110" s="334" t="s">
        <v>517</v>
      </c>
      <c r="E110" s="134">
        <v>43344</v>
      </c>
      <c r="F110" s="422" t="s">
        <v>561</v>
      </c>
      <c r="G110" s="422"/>
      <c r="H110" s="132" t="s">
        <v>41</v>
      </c>
      <c r="I110" s="422"/>
      <c r="J110" s="354" t="s">
        <v>727</v>
      </c>
      <c r="K110" s="354"/>
      <c r="L110" s="354"/>
      <c r="M110" s="132" t="s">
        <v>40</v>
      </c>
      <c r="N110" s="354"/>
      <c r="O110" s="354" t="s">
        <v>727</v>
      </c>
      <c r="P110" s="436"/>
      <c r="Q110" s="436"/>
      <c r="R110" s="350" t="s">
        <v>40</v>
      </c>
      <c r="S110" s="437"/>
      <c r="T110" s="354" t="s">
        <v>889</v>
      </c>
      <c r="U110" s="405"/>
      <c r="V110" s="410" t="s">
        <v>40</v>
      </c>
      <c r="W110" s="406"/>
      <c r="X110" s="133" t="s">
        <v>191</v>
      </c>
      <c r="Y110" s="161" t="s">
        <v>92</v>
      </c>
      <c r="Z110" s="161" t="s">
        <v>324</v>
      </c>
      <c r="AA110" s="132" t="s">
        <v>91</v>
      </c>
      <c r="AB110" s="243">
        <v>107</v>
      </c>
    </row>
    <row r="111" spans="1:28" ht="118.5" customHeight="1" x14ac:dyDescent="0.25">
      <c r="A111" s="184" t="s">
        <v>185</v>
      </c>
      <c r="B111" s="183" t="s">
        <v>641</v>
      </c>
      <c r="C111" s="162" t="s">
        <v>377</v>
      </c>
      <c r="D111" s="334" t="s">
        <v>438</v>
      </c>
      <c r="E111" s="134">
        <v>43525</v>
      </c>
      <c r="F111" s="422" t="s">
        <v>576</v>
      </c>
      <c r="G111" s="422"/>
      <c r="H111" s="132" t="s">
        <v>41</v>
      </c>
      <c r="I111" s="422"/>
      <c r="J111" s="354" t="s">
        <v>592</v>
      </c>
      <c r="K111" s="354"/>
      <c r="L111" s="354"/>
      <c r="M111" s="132" t="s">
        <v>41</v>
      </c>
      <c r="N111" s="354"/>
      <c r="O111" s="436" t="s">
        <v>592</v>
      </c>
      <c r="P111" s="436"/>
      <c r="Q111" s="436"/>
      <c r="R111" s="350" t="s">
        <v>41</v>
      </c>
      <c r="S111" s="437"/>
      <c r="T111" s="405" t="s">
        <v>926</v>
      </c>
      <c r="U111" s="405"/>
      <c r="V111" s="410" t="s">
        <v>40</v>
      </c>
      <c r="W111" s="406"/>
      <c r="X111" s="133" t="s">
        <v>191</v>
      </c>
      <c r="Y111" s="161" t="s">
        <v>5</v>
      </c>
      <c r="Z111" s="161" t="s">
        <v>325</v>
      </c>
      <c r="AA111" s="132" t="s">
        <v>425</v>
      </c>
      <c r="AB111" s="243">
        <v>108</v>
      </c>
    </row>
    <row r="112" spans="1:28" ht="300" customHeight="1" x14ac:dyDescent="0.25">
      <c r="A112" s="184" t="s">
        <v>186</v>
      </c>
      <c r="B112" s="183" t="s">
        <v>326</v>
      </c>
      <c r="C112" s="162" t="s">
        <v>378</v>
      </c>
      <c r="D112" s="334" t="s">
        <v>479</v>
      </c>
      <c r="E112" s="134">
        <v>43525</v>
      </c>
      <c r="F112" s="422" t="s">
        <v>566</v>
      </c>
      <c r="G112" s="422">
        <v>12</v>
      </c>
      <c r="H112" s="132" t="s">
        <v>41</v>
      </c>
      <c r="I112" s="422" t="s">
        <v>585</v>
      </c>
      <c r="J112" s="354" t="s">
        <v>715</v>
      </c>
      <c r="K112" s="354" t="s">
        <v>716</v>
      </c>
      <c r="L112" s="354"/>
      <c r="M112" s="132" t="s">
        <v>40</v>
      </c>
      <c r="N112" s="354" t="s">
        <v>714</v>
      </c>
      <c r="O112" s="426" t="s">
        <v>793</v>
      </c>
      <c r="P112" s="436" t="s">
        <v>794</v>
      </c>
      <c r="Q112" s="436"/>
      <c r="R112" s="350" t="s">
        <v>40</v>
      </c>
      <c r="S112" s="437"/>
      <c r="T112" s="405" t="s">
        <v>923</v>
      </c>
      <c r="U112" s="412" t="s">
        <v>922</v>
      </c>
      <c r="V112" s="410" t="s">
        <v>40</v>
      </c>
      <c r="W112" s="412"/>
      <c r="X112" s="133" t="s">
        <v>191</v>
      </c>
      <c r="Y112" s="161" t="s">
        <v>5</v>
      </c>
      <c r="Z112" s="161" t="s">
        <v>325</v>
      </c>
      <c r="AA112" s="132" t="s">
        <v>407</v>
      </c>
      <c r="AB112" s="243">
        <v>109</v>
      </c>
    </row>
    <row r="113" spans="1:28" ht="104.25" customHeight="1" x14ac:dyDescent="0.25">
      <c r="A113" s="184" t="s">
        <v>187</v>
      </c>
      <c r="B113" s="183" t="s">
        <v>232</v>
      </c>
      <c r="C113" s="162" t="s">
        <v>379</v>
      </c>
      <c r="D113" s="334" t="s">
        <v>493</v>
      </c>
      <c r="E113" s="134">
        <v>43252</v>
      </c>
      <c r="F113" s="422" t="s">
        <v>524</v>
      </c>
      <c r="G113" s="422"/>
      <c r="H113" s="132" t="s">
        <v>40</v>
      </c>
      <c r="I113" s="422"/>
      <c r="J113" s="434" t="s">
        <v>685</v>
      </c>
      <c r="K113" s="354"/>
      <c r="L113" s="354"/>
      <c r="M113" s="132" t="s">
        <v>40</v>
      </c>
      <c r="N113" s="354"/>
      <c r="O113" s="436" t="s">
        <v>772</v>
      </c>
      <c r="P113" s="436"/>
      <c r="Q113" s="436"/>
      <c r="R113" s="350" t="s">
        <v>40</v>
      </c>
      <c r="S113" s="437"/>
      <c r="T113" s="405" t="s">
        <v>858</v>
      </c>
      <c r="U113" s="405"/>
      <c r="V113" s="410" t="s">
        <v>40</v>
      </c>
      <c r="W113" s="406"/>
      <c r="X113" s="133" t="s">
        <v>191</v>
      </c>
      <c r="Y113" s="161" t="s">
        <v>5</v>
      </c>
      <c r="Z113" s="161" t="s">
        <v>325</v>
      </c>
      <c r="AA113" s="132" t="s">
        <v>406</v>
      </c>
      <c r="AB113" s="243">
        <v>110</v>
      </c>
    </row>
    <row r="114" spans="1:28" ht="104.25" customHeight="1" x14ac:dyDescent="0.25">
      <c r="A114" s="184" t="s">
        <v>257</v>
      </c>
      <c r="B114" s="183" t="s">
        <v>232</v>
      </c>
      <c r="C114" s="162" t="s">
        <v>379</v>
      </c>
      <c r="D114" s="334" t="s">
        <v>494</v>
      </c>
      <c r="E114" s="134">
        <v>43405</v>
      </c>
      <c r="F114" s="422"/>
      <c r="G114" s="422"/>
      <c r="H114" s="132" t="s">
        <v>43</v>
      </c>
      <c r="I114" s="422" t="s">
        <v>526</v>
      </c>
      <c r="J114" s="354" t="s">
        <v>679</v>
      </c>
      <c r="K114" s="354"/>
      <c r="L114" s="354"/>
      <c r="M114" s="132" t="s">
        <v>41</v>
      </c>
      <c r="N114" s="354"/>
      <c r="O114" s="436" t="s">
        <v>836</v>
      </c>
      <c r="P114" s="436"/>
      <c r="Q114" s="436"/>
      <c r="R114" s="350" t="s">
        <v>40</v>
      </c>
      <c r="S114" s="437"/>
      <c r="T114" s="405" t="s">
        <v>863</v>
      </c>
      <c r="U114" s="405"/>
      <c r="V114" s="410" t="s">
        <v>40</v>
      </c>
      <c r="W114" s="406"/>
      <c r="X114" s="133" t="s">
        <v>191</v>
      </c>
      <c r="Y114" s="161" t="s">
        <v>5</v>
      </c>
      <c r="Z114" s="161" t="s">
        <v>325</v>
      </c>
      <c r="AA114" s="132" t="s">
        <v>406</v>
      </c>
      <c r="AB114" s="243">
        <v>111</v>
      </c>
    </row>
    <row r="115" spans="1:28" ht="104.25" customHeight="1" x14ac:dyDescent="0.25">
      <c r="A115" s="184" t="s">
        <v>337</v>
      </c>
      <c r="B115" s="183" t="s">
        <v>232</v>
      </c>
      <c r="C115" s="162" t="s">
        <v>380</v>
      </c>
      <c r="D115" s="334" t="s">
        <v>495</v>
      </c>
      <c r="E115" s="134">
        <v>43525</v>
      </c>
      <c r="F115" s="422" t="s">
        <v>527</v>
      </c>
      <c r="G115" s="422"/>
      <c r="H115" s="132" t="s">
        <v>41</v>
      </c>
      <c r="I115" s="422"/>
      <c r="J115" s="354" t="s">
        <v>717</v>
      </c>
      <c r="K115" s="354"/>
      <c r="L115" s="354"/>
      <c r="M115" s="132" t="s">
        <v>40</v>
      </c>
      <c r="N115" s="354"/>
      <c r="O115" s="436" t="s">
        <v>843</v>
      </c>
      <c r="P115" s="436"/>
      <c r="Q115" s="436"/>
      <c r="R115" s="350" t="s">
        <v>40</v>
      </c>
      <c r="S115" s="437"/>
      <c r="T115" s="405" t="s">
        <v>864</v>
      </c>
      <c r="U115" s="405"/>
      <c r="V115" s="410" t="s">
        <v>40</v>
      </c>
      <c r="W115" s="406"/>
      <c r="X115" s="133" t="s">
        <v>191</v>
      </c>
      <c r="Y115" s="161" t="s">
        <v>5</v>
      </c>
      <c r="Z115" s="161" t="s">
        <v>325</v>
      </c>
      <c r="AA115" s="132" t="s">
        <v>406</v>
      </c>
      <c r="AB115" s="243">
        <v>112</v>
      </c>
    </row>
    <row r="116" spans="1:28" ht="131.25" customHeight="1" x14ac:dyDescent="0.25">
      <c r="A116" s="184" t="s">
        <v>338</v>
      </c>
      <c r="B116" s="183" t="s">
        <v>232</v>
      </c>
      <c r="C116" s="162" t="s">
        <v>380</v>
      </c>
      <c r="D116" s="334" t="s">
        <v>496</v>
      </c>
      <c r="E116" s="134">
        <v>43525</v>
      </c>
      <c r="F116" s="422"/>
      <c r="G116" s="422"/>
      <c r="H116" s="132" t="s">
        <v>43</v>
      </c>
      <c r="I116" s="422" t="s">
        <v>528</v>
      </c>
      <c r="J116" s="354" t="s">
        <v>699</v>
      </c>
      <c r="K116" s="354">
        <v>1</v>
      </c>
      <c r="L116" s="354">
        <v>4</v>
      </c>
      <c r="M116" s="132" t="s">
        <v>41</v>
      </c>
      <c r="N116" s="354"/>
      <c r="O116" s="436" t="s">
        <v>844</v>
      </c>
      <c r="P116" s="436"/>
      <c r="Q116" s="436"/>
      <c r="R116" s="350" t="s">
        <v>40</v>
      </c>
      <c r="S116" s="437"/>
      <c r="T116" s="405" t="s">
        <v>865</v>
      </c>
      <c r="U116" s="405"/>
      <c r="V116" s="410" t="s">
        <v>40</v>
      </c>
      <c r="W116" s="406"/>
      <c r="X116" s="133" t="s">
        <v>191</v>
      </c>
      <c r="Y116" s="161" t="s">
        <v>5</v>
      </c>
      <c r="Z116" s="161" t="s">
        <v>325</v>
      </c>
      <c r="AA116" s="132" t="s">
        <v>406</v>
      </c>
      <c r="AB116" s="243">
        <v>113</v>
      </c>
    </row>
    <row r="117" spans="1:28" ht="104.25" customHeight="1" x14ac:dyDescent="0.25">
      <c r="A117" s="184" t="s">
        <v>339</v>
      </c>
      <c r="B117" s="183" t="s">
        <v>232</v>
      </c>
      <c r="C117" s="162" t="s">
        <v>380</v>
      </c>
      <c r="D117" s="334" t="s">
        <v>497</v>
      </c>
      <c r="E117" s="134">
        <v>43525</v>
      </c>
      <c r="F117" s="422" t="s">
        <v>529</v>
      </c>
      <c r="G117" s="422"/>
      <c r="H117" s="132" t="s">
        <v>41</v>
      </c>
      <c r="I117" s="422"/>
      <c r="J117" s="354" t="s">
        <v>680</v>
      </c>
      <c r="K117" s="354"/>
      <c r="L117" s="354"/>
      <c r="M117" s="132" t="s">
        <v>41</v>
      </c>
      <c r="N117" s="354"/>
      <c r="O117" s="436" t="s">
        <v>761</v>
      </c>
      <c r="P117" s="436"/>
      <c r="Q117" s="436"/>
      <c r="R117" s="350" t="s">
        <v>41</v>
      </c>
      <c r="S117" s="437"/>
      <c r="T117" s="405" t="s">
        <v>866</v>
      </c>
      <c r="U117" s="405"/>
      <c r="V117" s="410" t="s">
        <v>40</v>
      </c>
      <c r="W117" s="406"/>
      <c r="X117" s="133" t="s">
        <v>191</v>
      </c>
      <c r="Y117" s="161" t="s">
        <v>5</v>
      </c>
      <c r="Z117" s="161" t="s">
        <v>325</v>
      </c>
      <c r="AA117" s="132" t="s">
        <v>406</v>
      </c>
      <c r="AB117" s="243">
        <v>114</v>
      </c>
    </row>
    <row r="118" spans="1:28" ht="97.5" customHeight="1" x14ac:dyDescent="0.25">
      <c r="A118" s="184" t="s">
        <v>340</v>
      </c>
      <c r="B118" s="183" t="s">
        <v>231</v>
      </c>
      <c r="C118" s="162" t="s">
        <v>381</v>
      </c>
      <c r="D118" s="334" t="s">
        <v>453</v>
      </c>
      <c r="E118" s="134">
        <v>43435</v>
      </c>
      <c r="F118" s="422"/>
      <c r="G118" s="422"/>
      <c r="H118" s="132" t="s">
        <v>43</v>
      </c>
      <c r="I118" s="422" t="s">
        <v>569</v>
      </c>
      <c r="J118" s="354" t="s">
        <v>666</v>
      </c>
      <c r="K118" s="354"/>
      <c r="L118" s="354"/>
      <c r="M118" s="132" t="s">
        <v>41</v>
      </c>
      <c r="N118" s="354"/>
      <c r="O118" s="436" t="s">
        <v>755</v>
      </c>
      <c r="P118" s="436"/>
      <c r="Q118" s="436"/>
      <c r="R118" s="350" t="s">
        <v>40</v>
      </c>
      <c r="S118" s="437"/>
      <c r="T118" s="436" t="s">
        <v>755</v>
      </c>
      <c r="U118" s="405"/>
      <c r="V118" s="410" t="s">
        <v>40</v>
      </c>
      <c r="W118" s="406"/>
      <c r="X118" s="133" t="s">
        <v>191</v>
      </c>
      <c r="Y118" s="161" t="s">
        <v>268</v>
      </c>
      <c r="Z118" s="161" t="s">
        <v>324</v>
      </c>
      <c r="AA118" s="132" t="s">
        <v>426</v>
      </c>
      <c r="AB118" s="243">
        <v>115</v>
      </c>
    </row>
    <row r="119" spans="1:28" ht="92.25" customHeight="1" x14ac:dyDescent="0.25">
      <c r="A119" s="184" t="s">
        <v>341</v>
      </c>
      <c r="B119" s="183" t="s">
        <v>231</v>
      </c>
      <c r="C119" s="162" t="s">
        <v>382</v>
      </c>
      <c r="D119" s="334" t="s">
        <v>383</v>
      </c>
      <c r="E119" s="134">
        <v>43525</v>
      </c>
      <c r="F119" s="423">
        <v>1</v>
      </c>
      <c r="G119" s="422"/>
      <c r="H119" s="132" t="s">
        <v>41</v>
      </c>
      <c r="I119" s="422" t="s">
        <v>570</v>
      </c>
      <c r="J119" s="434">
        <v>1</v>
      </c>
      <c r="K119" s="434">
        <v>1</v>
      </c>
      <c r="L119" s="434">
        <v>1</v>
      </c>
      <c r="M119" s="132" t="s">
        <v>41</v>
      </c>
      <c r="N119" s="354"/>
      <c r="O119" s="436" t="s">
        <v>845</v>
      </c>
      <c r="P119" s="438">
        <v>1</v>
      </c>
      <c r="Q119" s="438">
        <v>1</v>
      </c>
      <c r="R119" s="350" t="s">
        <v>41</v>
      </c>
      <c r="S119" s="437"/>
      <c r="T119" s="405" t="s">
        <v>905</v>
      </c>
      <c r="U119" s="408">
        <v>1</v>
      </c>
      <c r="V119" s="410" t="s">
        <v>40</v>
      </c>
      <c r="W119" s="406"/>
      <c r="X119" s="133" t="s">
        <v>191</v>
      </c>
      <c r="Y119" s="161" t="s">
        <v>268</v>
      </c>
      <c r="Z119" s="161" t="s">
        <v>324</v>
      </c>
      <c r="AA119" s="132" t="s">
        <v>426</v>
      </c>
      <c r="AB119" s="243">
        <v>116</v>
      </c>
    </row>
    <row r="120" spans="1:28" ht="104.25" customHeight="1" x14ac:dyDescent="0.25">
      <c r="A120" s="184" t="s">
        <v>342</v>
      </c>
      <c r="B120" s="183" t="s">
        <v>231</v>
      </c>
      <c r="C120" s="162" t="s">
        <v>382</v>
      </c>
      <c r="D120" s="334" t="s">
        <v>454</v>
      </c>
      <c r="E120" s="134">
        <v>43435</v>
      </c>
      <c r="F120" s="422" t="s">
        <v>567</v>
      </c>
      <c r="G120" s="422"/>
      <c r="H120" s="132" t="s">
        <v>41</v>
      </c>
      <c r="I120" s="420"/>
      <c r="J120" s="354" t="s">
        <v>668</v>
      </c>
      <c r="K120" s="354"/>
      <c r="L120" s="354"/>
      <c r="M120" s="132" t="s">
        <v>41</v>
      </c>
      <c r="N120" s="354"/>
      <c r="O120" s="436" t="s">
        <v>756</v>
      </c>
      <c r="P120" s="436"/>
      <c r="Q120" s="436"/>
      <c r="R120" s="350" t="s">
        <v>40</v>
      </c>
      <c r="S120" s="437"/>
      <c r="T120" s="436" t="s">
        <v>756</v>
      </c>
      <c r="U120" s="405"/>
      <c r="V120" s="410" t="s">
        <v>40</v>
      </c>
      <c r="W120" s="406"/>
      <c r="X120" s="133" t="s">
        <v>191</v>
      </c>
      <c r="Y120" s="161" t="s">
        <v>268</v>
      </c>
      <c r="Z120" s="161" t="s">
        <v>324</v>
      </c>
      <c r="AA120" s="132" t="s">
        <v>426</v>
      </c>
      <c r="AB120" s="243">
        <v>117</v>
      </c>
    </row>
    <row r="121" spans="1:28" ht="104.25" customHeight="1" x14ac:dyDescent="0.25">
      <c r="A121" s="184" t="s">
        <v>343</v>
      </c>
      <c r="B121" s="183" t="s">
        <v>231</v>
      </c>
      <c r="C121" s="162" t="s">
        <v>382</v>
      </c>
      <c r="D121" s="334" t="s">
        <v>455</v>
      </c>
      <c r="E121" s="134">
        <v>43344</v>
      </c>
      <c r="F121" s="422" t="s">
        <v>568</v>
      </c>
      <c r="G121" s="422"/>
      <c r="H121" s="132" t="s">
        <v>41</v>
      </c>
      <c r="I121" s="420"/>
      <c r="J121" s="354" t="s">
        <v>667</v>
      </c>
      <c r="K121" s="354"/>
      <c r="L121" s="354"/>
      <c r="M121" s="132" t="s">
        <v>40</v>
      </c>
      <c r="N121" s="354"/>
      <c r="O121" s="436" t="s">
        <v>757</v>
      </c>
      <c r="P121" s="436"/>
      <c r="Q121" s="436"/>
      <c r="R121" s="350" t="s">
        <v>40</v>
      </c>
      <c r="S121" s="437"/>
      <c r="T121" s="436" t="s">
        <v>757</v>
      </c>
      <c r="U121" s="405"/>
      <c r="V121" s="410" t="s">
        <v>40</v>
      </c>
      <c r="W121" s="406"/>
      <c r="X121" s="133" t="s">
        <v>191</v>
      </c>
      <c r="Y121" s="161" t="s">
        <v>268</v>
      </c>
      <c r="Z121" s="161" t="s">
        <v>324</v>
      </c>
      <c r="AA121" s="132" t="s">
        <v>426</v>
      </c>
      <c r="AB121" s="243">
        <v>118</v>
      </c>
    </row>
    <row r="122" spans="1:28" ht="63" x14ac:dyDescent="0.25">
      <c r="A122" s="184" t="s">
        <v>344</v>
      </c>
      <c r="B122" s="183" t="s">
        <v>258</v>
      </c>
      <c r="C122" s="162" t="s">
        <v>384</v>
      </c>
      <c r="D122" s="334" t="s">
        <v>518</v>
      </c>
      <c r="E122" s="134">
        <v>43221</v>
      </c>
      <c r="F122" s="422" t="s">
        <v>562</v>
      </c>
      <c r="G122" s="422"/>
      <c r="H122" s="132" t="s">
        <v>40</v>
      </c>
      <c r="I122" s="422"/>
      <c r="J122" s="434" t="s">
        <v>685</v>
      </c>
      <c r="K122" s="354"/>
      <c r="L122" s="354"/>
      <c r="M122" s="132" t="s">
        <v>40</v>
      </c>
      <c r="N122" s="354"/>
      <c r="O122" s="440" t="s">
        <v>833</v>
      </c>
      <c r="P122" s="436"/>
      <c r="Q122" s="436"/>
      <c r="R122" s="350" t="s">
        <v>40</v>
      </c>
      <c r="S122" s="437"/>
      <c r="T122" s="408" t="s">
        <v>877</v>
      </c>
      <c r="U122" s="405"/>
      <c r="V122" s="410" t="s">
        <v>40</v>
      </c>
      <c r="W122" s="406"/>
      <c r="X122" s="133" t="s">
        <v>191</v>
      </c>
      <c r="Y122" s="161" t="s">
        <v>267</v>
      </c>
      <c r="Z122" s="161" t="s">
        <v>325</v>
      </c>
      <c r="AA122" s="132" t="s">
        <v>411</v>
      </c>
      <c r="AB122" s="243">
        <v>119</v>
      </c>
    </row>
    <row r="123" spans="1:28" ht="104.25" customHeight="1" x14ac:dyDescent="0.25">
      <c r="A123" s="184" t="s">
        <v>345</v>
      </c>
      <c r="B123" s="183" t="s">
        <v>260</v>
      </c>
      <c r="C123" s="162" t="s">
        <v>385</v>
      </c>
      <c r="D123" s="334" t="s">
        <v>507</v>
      </c>
      <c r="E123" s="134">
        <v>43221</v>
      </c>
      <c r="F123" s="422" t="s">
        <v>533</v>
      </c>
      <c r="G123" s="422"/>
      <c r="H123" s="132" t="s">
        <v>40</v>
      </c>
      <c r="I123" s="422"/>
      <c r="J123" s="434" t="s">
        <v>685</v>
      </c>
      <c r="K123" s="354"/>
      <c r="L123" s="354"/>
      <c r="M123" s="132" t="s">
        <v>40</v>
      </c>
      <c r="N123" s="354"/>
      <c r="O123" s="440" t="s">
        <v>833</v>
      </c>
      <c r="P123" s="436"/>
      <c r="Q123" s="436"/>
      <c r="R123" s="350" t="s">
        <v>40</v>
      </c>
      <c r="S123" s="437"/>
      <c r="T123" s="405" t="s">
        <v>685</v>
      </c>
      <c r="U123" s="405"/>
      <c r="V123" s="410" t="s">
        <v>40</v>
      </c>
      <c r="W123" s="406"/>
      <c r="X123" s="133" t="s">
        <v>191</v>
      </c>
      <c r="Y123" s="161" t="s">
        <v>267</v>
      </c>
      <c r="Z123" s="161" t="s">
        <v>393</v>
      </c>
      <c r="AA123" s="132" t="s">
        <v>422</v>
      </c>
      <c r="AB123" s="243">
        <v>120</v>
      </c>
    </row>
    <row r="124" spans="1:28" ht="104.25" customHeight="1" x14ac:dyDescent="0.25">
      <c r="A124" s="184" t="s">
        <v>346</v>
      </c>
      <c r="B124" s="183" t="s">
        <v>260</v>
      </c>
      <c r="C124" s="162" t="s">
        <v>385</v>
      </c>
      <c r="D124" s="334" t="s">
        <v>386</v>
      </c>
      <c r="E124" s="134">
        <v>43525</v>
      </c>
      <c r="F124" s="422"/>
      <c r="G124" s="422"/>
      <c r="H124" s="132" t="s">
        <v>43</v>
      </c>
      <c r="I124" s="422"/>
      <c r="J124" s="354" t="s">
        <v>626</v>
      </c>
      <c r="K124" s="354" t="s">
        <v>626</v>
      </c>
      <c r="L124" s="354" t="s">
        <v>627</v>
      </c>
      <c r="M124" s="132" t="s">
        <v>41</v>
      </c>
      <c r="N124" s="354"/>
      <c r="O124" s="426" t="s">
        <v>760</v>
      </c>
      <c r="P124" s="426" t="s">
        <v>758</v>
      </c>
      <c r="Q124" s="426" t="s">
        <v>759</v>
      </c>
      <c r="R124" s="350" t="s">
        <v>40</v>
      </c>
      <c r="S124" s="437"/>
      <c r="T124" s="405" t="s">
        <v>856</v>
      </c>
      <c r="U124" s="405"/>
      <c r="V124" s="410" t="s">
        <v>40</v>
      </c>
      <c r="W124" s="406"/>
      <c r="X124" s="133" t="s">
        <v>191</v>
      </c>
      <c r="Y124" s="161" t="s">
        <v>267</v>
      </c>
      <c r="Z124" s="161" t="s">
        <v>393</v>
      </c>
      <c r="AA124" s="132" t="s">
        <v>422</v>
      </c>
      <c r="AB124" s="243">
        <v>121</v>
      </c>
    </row>
    <row r="125" spans="1:28" ht="104.25" customHeight="1" x14ac:dyDescent="0.25">
      <c r="A125" s="184" t="s">
        <v>347</v>
      </c>
      <c r="B125" s="183" t="s">
        <v>260</v>
      </c>
      <c r="C125" s="162" t="s">
        <v>387</v>
      </c>
      <c r="D125" s="334" t="s">
        <v>388</v>
      </c>
      <c r="E125" s="134">
        <v>43221</v>
      </c>
      <c r="F125" s="422" t="s">
        <v>581</v>
      </c>
      <c r="G125" s="422"/>
      <c r="H125" s="132" t="s">
        <v>40</v>
      </c>
      <c r="I125" s="422"/>
      <c r="J125" s="434" t="s">
        <v>685</v>
      </c>
      <c r="K125" s="354"/>
      <c r="L125" s="354"/>
      <c r="M125" s="132" t="s">
        <v>40</v>
      </c>
      <c r="N125" s="354"/>
      <c r="O125" s="440" t="s">
        <v>833</v>
      </c>
      <c r="P125" s="436"/>
      <c r="Q125" s="436"/>
      <c r="R125" s="350" t="s">
        <v>40</v>
      </c>
      <c r="S125" s="437"/>
      <c r="T125" s="405" t="s">
        <v>685</v>
      </c>
      <c r="U125" s="405"/>
      <c r="V125" s="410" t="s">
        <v>40</v>
      </c>
      <c r="W125" s="406"/>
      <c r="X125" s="133" t="s">
        <v>191</v>
      </c>
      <c r="Y125" s="161" t="s">
        <v>267</v>
      </c>
      <c r="Z125" s="161" t="s">
        <v>393</v>
      </c>
      <c r="AA125" s="132" t="s">
        <v>422</v>
      </c>
      <c r="AB125" s="243">
        <v>122</v>
      </c>
    </row>
    <row r="126" spans="1:28" ht="135" x14ac:dyDescent="0.25">
      <c r="A126" s="184" t="s">
        <v>348</v>
      </c>
      <c r="B126" s="183" t="s">
        <v>260</v>
      </c>
      <c r="C126" s="162" t="s">
        <v>387</v>
      </c>
      <c r="D126" s="334" t="s">
        <v>389</v>
      </c>
      <c r="E126" s="134" t="s">
        <v>849</v>
      </c>
      <c r="F126" s="422"/>
      <c r="G126" s="422"/>
      <c r="H126" s="429" t="s">
        <v>43</v>
      </c>
      <c r="I126" s="422" t="s">
        <v>532</v>
      </c>
      <c r="J126" s="354"/>
      <c r="K126" s="354"/>
      <c r="L126" s="354"/>
      <c r="M126" s="429" t="s">
        <v>43</v>
      </c>
      <c r="N126" s="354" t="s">
        <v>532</v>
      </c>
      <c r="O126" s="436" t="s">
        <v>846</v>
      </c>
      <c r="P126" s="436"/>
      <c r="Q126" s="436"/>
      <c r="R126" s="430" t="s">
        <v>41</v>
      </c>
      <c r="S126" s="426" t="s">
        <v>746</v>
      </c>
      <c r="T126" s="405" t="s">
        <v>857</v>
      </c>
      <c r="U126" s="405"/>
      <c r="V126" s="410" t="s">
        <v>40</v>
      </c>
      <c r="W126" s="406"/>
      <c r="X126" s="133" t="s">
        <v>191</v>
      </c>
      <c r="Y126" s="161" t="s">
        <v>267</v>
      </c>
      <c r="Z126" s="161" t="s">
        <v>393</v>
      </c>
      <c r="AA126" s="132" t="s">
        <v>422</v>
      </c>
      <c r="AB126" s="243">
        <v>123</v>
      </c>
    </row>
    <row r="127" spans="1:28" ht="104.25" customHeight="1" x14ac:dyDescent="0.25">
      <c r="A127" s="184" t="s">
        <v>349</v>
      </c>
      <c r="B127" s="183" t="s">
        <v>258</v>
      </c>
      <c r="C127" s="162" t="s">
        <v>390</v>
      </c>
      <c r="D127" s="334" t="s">
        <v>519</v>
      </c>
      <c r="E127" s="134">
        <v>43525</v>
      </c>
      <c r="F127" s="422" t="s">
        <v>563</v>
      </c>
      <c r="G127" s="422"/>
      <c r="H127" s="429" t="s">
        <v>41</v>
      </c>
      <c r="I127" s="422"/>
      <c r="J127" s="354" t="s">
        <v>683</v>
      </c>
      <c r="K127" s="354"/>
      <c r="L127" s="354"/>
      <c r="M127" s="429" t="s">
        <v>41</v>
      </c>
      <c r="N127" s="354"/>
      <c r="O127" s="436" t="s">
        <v>754</v>
      </c>
      <c r="P127" s="436"/>
      <c r="Q127" s="436"/>
      <c r="R127" s="430" t="s">
        <v>41</v>
      </c>
      <c r="S127" s="437"/>
      <c r="T127" s="436" t="s">
        <v>890</v>
      </c>
      <c r="U127" s="405"/>
      <c r="V127" s="410" t="s">
        <v>40</v>
      </c>
      <c r="W127" s="406"/>
      <c r="X127" s="133" t="s">
        <v>191</v>
      </c>
      <c r="Y127" s="161" t="s">
        <v>267</v>
      </c>
      <c r="Z127" s="161" t="s">
        <v>393</v>
      </c>
      <c r="AA127" s="132" t="s">
        <v>91</v>
      </c>
      <c r="AB127" s="243">
        <v>124</v>
      </c>
    </row>
    <row r="128" spans="1:28" ht="8.25" customHeight="1" x14ac:dyDescent="0.25">
      <c r="A128" s="184" t="s">
        <v>350</v>
      </c>
      <c r="B128" s="183" t="s">
        <v>258</v>
      </c>
      <c r="C128" s="162" t="s">
        <v>391</v>
      </c>
      <c r="D128" s="334" t="s">
        <v>520</v>
      </c>
      <c r="E128" s="134">
        <v>43344</v>
      </c>
      <c r="F128" s="422"/>
      <c r="G128" s="422"/>
      <c r="H128" s="429" t="s">
        <v>43</v>
      </c>
      <c r="I128" s="422"/>
      <c r="J128" s="354" t="s">
        <v>684</v>
      </c>
      <c r="K128" s="354"/>
      <c r="L128" s="354"/>
      <c r="M128" s="429" t="s">
        <v>40</v>
      </c>
      <c r="N128" s="354"/>
      <c r="O128" s="354" t="s">
        <v>684</v>
      </c>
      <c r="P128" s="436"/>
      <c r="Q128" s="436"/>
      <c r="R128" s="430" t="s">
        <v>40</v>
      </c>
      <c r="S128" s="437"/>
      <c r="T128" s="354" t="s">
        <v>684</v>
      </c>
      <c r="U128" s="405"/>
      <c r="V128" s="410" t="s">
        <v>40</v>
      </c>
      <c r="W128" s="406"/>
      <c r="X128" s="133" t="s">
        <v>191</v>
      </c>
      <c r="Y128" s="161" t="s">
        <v>267</v>
      </c>
      <c r="Z128" s="161" t="s">
        <v>393</v>
      </c>
      <c r="AA128" s="132" t="s">
        <v>91</v>
      </c>
      <c r="AB128" s="243">
        <v>125</v>
      </c>
    </row>
    <row r="129" spans="1:28" s="319" customFormat="1" x14ac:dyDescent="0.25">
      <c r="A129" s="382"/>
      <c r="C129" s="320"/>
      <c r="D129" s="321"/>
      <c r="F129" s="320"/>
      <c r="G129" s="320"/>
      <c r="H129" s="338"/>
      <c r="I129" s="320"/>
      <c r="J129" s="42"/>
      <c r="K129" s="42"/>
      <c r="L129" s="42"/>
      <c r="M129" s="322"/>
      <c r="N129" s="42"/>
      <c r="O129" s="323"/>
      <c r="P129" s="323"/>
      <c r="Q129" s="323"/>
      <c r="R129" s="42"/>
      <c r="S129" s="351"/>
      <c r="T129" s="323"/>
      <c r="U129" s="323"/>
      <c r="V129" s="322"/>
      <c r="W129" s="404"/>
      <c r="X129" s="321"/>
      <c r="AA129" s="321"/>
      <c r="AB129" s="324"/>
    </row>
    <row r="130" spans="1:28" s="319" customFormat="1" x14ac:dyDescent="0.25">
      <c r="A130" s="382"/>
      <c r="C130" s="320"/>
      <c r="D130" s="321"/>
      <c r="F130" s="320"/>
      <c r="G130" s="320"/>
      <c r="H130" s="338"/>
      <c r="I130" s="320"/>
      <c r="J130" s="42"/>
      <c r="K130" s="42"/>
      <c r="L130" s="42"/>
      <c r="M130" s="322"/>
      <c r="N130" s="42"/>
      <c r="O130" s="323"/>
      <c r="P130" s="323"/>
      <c r="Q130" s="323"/>
      <c r="R130" s="42"/>
      <c r="S130" s="351"/>
      <c r="T130" s="323"/>
      <c r="U130" s="323"/>
      <c r="V130" s="322"/>
      <c r="W130" s="404"/>
      <c r="X130" s="321"/>
      <c r="AA130" s="321"/>
      <c r="AB130" s="324"/>
    </row>
    <row r="131" spans="1:28" s="319" customFormat="1" x14ac:dyDescent="0.25">
      <c r="A131" s="383" t="s">
        <v>101</v>
      </c>
      <c r="C131" s="320"/>
      <c r="D131" s="321"/>
      <c r="F131" s="320"/>
      <c r="G131" s="320"/>
      <c r="H131" s="338"/>
      <c r="I131" s="320"/>
      <c r="J131" s="42"/>
      <c r="K131" s="42"/>
      <c r="L131" s="42"/>
      <c r="M131" s="322"/>
      <c r="N131" s="42"/>
      <c r="O131" s="323"/>
      <c r="P131" s="323"/>
      <c r="Q131" s="323"/>
      <c r="R131" s="42"/>
      <c r="S131" s="351"/>
      <c r="T131" s="323"/>
      <c r="U131" s="323"/>
      <c r="V131" s="322"/>
      <c r="W131" s="404"/>
      <c r="X131" s="321"/>
      <c r="AA131" s="321"/>
      <c r="AB131" s="324"/>
    </row>
    <row r="132" spans="1:28" s="319" customFormat="1" ht="30" x14ac:dyDescent="0.25">
      <c r="A132" s="383" t="s">
        <v>102</v>
      </c>
      <c r="C132" s="320"/>
      <c r="D132" s="321"/>
      <c r="F132" s="320"/>
      <c r="G132" s="320"/>
      <c r="H132" s="338"/>
      <c r="I132" s="320"/>
      <c r="J132" s="42"/>
      <c r="K132" s="42"/>
      <c r="L132" s="42"/>
      <c r="M132" s="322"/>
      <c r="N132" s="42"/>
      <c r="O132" s="323"/>
      <c r="P132" s="323"/>
      <c r="Q132" s="323"/>
      <c r="R132" s="42"/>
      <c r="S132" s="351"/>
      <c r="T132" s="323"/>
      <c r="U132" s="323"/>
      <c r="V132" s="322"/>
      <c r="W132" s="404"/>
      <c r="X132" s="321"/>
      <c r="AA132" s="321"/>
      <c r="AB132" s="324"/>
    </row>
    <row r="133" spans="1:28" s="319" customFormat="1" x14ac:dyDescent="0.25">
      <c r="A133" s="383"/>
      <c r="C133" s="320"/>
      <c r="D133" s="321"/>
      <c r="F133" s="320"/>
      <c r="G133" s="320"/>
      <c r="H133" s="338"/>
      <c r="I133" s="320"/>
      <c r="J133" s="42"/>
      <c r="K133" s="42"/>
      <c r="L133" s="42"/>
      <c r="M133" s="322"/>
      <c r="N133" s="42"/>
      <c r="O133" s="323"/>
      <c r="P133" s="323"/>
      <c r="Q133" s="323"/>
      <c r="R133" s="42"/>
      <c r="S133" s="351"/>
      <c r="T133" s="323"/>
      <c r="U133" s="323"/>
      <c r="V133" s="322"/>
      <c r="W133" s="404"/>
      <c r="X133" s="321"/>
      <c r="AA133" s="321"/>
      <c r="AB133" s="324"/>
    </row>
    <row r="134" spans="1:28" s="319" customFormat="1" x14ac:dyDescent="0.25">
      <c r="A134" s="383"/>
      <c r="C134" s="320"/>
      <c r="D134" s="321"/>
      <c r="F134" s="320"/>
      <c r="G134" s="320"/>
      <c r="H134" s="338"/>
      <c r="I134" s="320"/>
      <c r="J134" s="42"/>
      <c r="K134" s="42"/>
      <c r="L134" s="42"/>
      <c r="M134" s="322"/>
      <c r="N134" s="42"/>
      <c r="O134" s="323"/>
      <c r="P134" s="323"/>
      <c r="Q134" s="323"/>
      <c r="R134" s="42"/>
      <c r="S134" s="351"/>
      <c r="T134" s="323"/>
      <c r="U134" s="323"/>
      <c r="V134" s="322"/>
      <c r="W134" s="404"/>
      <c r="X134" s="321"/>
      <c r="AA134" s="321"/>
      <c r="AB134" s="324"/>
    </row>
    <row r="135" spans="1:28" s="319" customFormat="1" x14ac:dyDescent="0.25">
      <c r="A135" s="383"/>
      <c r="C135" s="320"/>
      <c r="D135" s="321"/>
      <c r="F135" s="320"/>
      <c r="G135" s="320"/>
      <c r="H135" s="338"/>
      <c r="I135" s="320"/>
      <c r="J135" s="42"/>
      <c r="K135" s="42"/>
      <c r="L135" s="42"/>
      <c r="M135" s="322"/>
      <c r="N135" s="42"/>
      <c r="O135" s="323"/>
      <c r="P135" s="323"/>
      <c r="Q135" s="323"/>
      <c r="R135" s="42"/>
      <c r="S135" s="351"/>
      <c r="T135" s="323"/>
      <c r="U135" s="323"/>
      <c r="V135" s="322"/>
      <c r="W135" s="404"/>
      <c r="X135" s="321"/>
      <c r="AA135" s="321"/>
      <c r="AB135" s="324"/>
    </row>
    <row r="136" spans="1:28" s="319" customFormat="1" x14ac:dyDescent="0.25">
      <c r="A136" s="383"/>
      <c r="C136" s="320"/>
      <c r="D136" s="321"/>
      <c r="F136" s="320"/>
      <c r="G136" s="320"/>
      <c r="H136" s="338"/>
      <c r="I136" s="320"/>
      <c r="J136" s="42"/>
      <c r="K136" s="42"/>
      <c r="L136" s="42"/>
      <c r="M136" s="322"/>
      <c r="N136" s="42"/>
      <c r="O136" s="323"/>
      <c r="P136" s="323"/>
      <c r="Q136" s="323"/>
      <c r="R136" s="42"/>
      <c r="S136" s="351"/>
      <c r="T136" s="323"/>
      <c r="U136" s="323"/>
      <c r="V136" s="322"/>
      <c r="W136" s="404"/>
      <c r="X136" s="321"/>
      <c r="AA136" s="321"/>
      <c r="AB136" s="324"/>
    </row>
    <row r="137" spans="1:28" s="319" customFormat="1" x14ac:dyDescent="0.25">
      <c r="A137" s="383"/>
      <c r="C137" s="320"/>
      <c r="D137" s="321"/>
      <c r="F137" s="320"/>
      <c r="G137" s="320"/>
      <c r="H137" s="338"/>
      <c r="I137" s="320"/>
      <c r="J137" s="42"/>
      <c r="K137" s="42"/>
      <c r="L137" s="42"/>
      <c r="M137" s="322"/>
      <c r="N137" s="42"/>
      <c r="O137" s="323"/>
      <c r="P137" s="323"/>
      <c r="Q137" s="323"/>
      <c r="R137" s="42"/>
      <c r="S137" s="351"/>
      <c r="T137" s="323"/>
      <c r="U137" s="323"/>
      <c r="V137" s="322"/>
      <c r="W137" s="404"/>
      <c r="X137" s="321"/>
      <c r="AA137" s="321"/>
      <c r="AB137" s="324"/>
    </row>
    <row r="138" spans="1:28" s="319" customFormat="1" x14ac:dyDescent="0.25">
      <c r="A138" s="383"/>
      <c r="C138" s="320"/>
      <c r="D138" s="321"/>
      <c r="F138" s="320"/>
      <c r="G138" s="320"/>
      <c r="H138" s="338"/>
      <c r="I138" s="320"/>
      <c r="J138" s="42"/>
      <c r="K138" s="42"/>
      <c r="L138" s="42"/>
      <c r="M138" s="322"/>
      <c r="N138" s="42"/>
      <c r="O138" s="323"/>
      <c r="P138" s="323"/>
      <c r="Q138" s="323"/>
      <c r="R138" s="42"/>
      <c r="S138" s="351"/>
      <c r="T138" s="323"/>
      <c r="U138" s="323"/>
      <c r="V138" s="322"/>
      <c r="W138" s="404"/>
      <c r="X138" s="321"/>
      <c r="AA138" s="321"/>
      <c r="AB138" s="324"/>
    </row>
    <row r="139" spans="1:28" s="319" customFormat="1" x14ac:dyDescent="0.25">
      <c r="A139" s="383"/>
      <c r="C139" s="320"/>
      <c r="D139" s="321"/>
      <c r="F139" s="320"/>
      <c r="G139" s="320"/>
      <c r="H139" s="338"/>
      <c r="I139" s="320"/>
      <c r="J139" s="42"/>
      <c r="K139" s="42"/>
      <c r="L139" s="42"/>
      <c r="M139" s="322"/>
      <c r="N139" s="42"/>
      <c r="O139" s="323"/>
      <c r="P139" s="323"/>
      <c r="Q139" s="323"/>
      <c r="R139" s="42"/>
      <c r="S139" s="351"/>
      <c r="T139" s="323"/>
      <c r="U139" s="323"/>
      <c r="V139" s="322"/>
      <c r="W139" s="404"/>
      <c r="X139" s="321"/>
      <c r="AA139" s="321"/>
      <c r="AB139" s="324"/>
    </row>
    <row r="140" spans="1:28" s="319" customFormat="1" x14ac:dyDescent="0.25">
      <c r="A140" s="383"/>
      <c r="C140" s="320"/>
      <c r="D140" s="321"/>
      <c r="F140" s="320"/>
      <c r="G140" s="320"/>
      <c r="H140" s="338"/>
      <c r="I140" s="320"/>
      <c r="J140" s="42"/>
      <c r="K140" s="42"/>
      <c r="L140" s="42"/>
      <c r="M140" s="322"/>
      <c r="N140" s="42"/>
      <c r="O140" s="323"/>
      <c r="P140" s="323"/>
      <c r="Q140" s="323"/>
      <c r="R140" s="42"/>
      <c r="S140" s="351"/>
      <c r="T140" s="323"/>
      <c r="U140" s="323"/>
      <c r="V140" s="322"/>
      <c r="W140" s="404"/>
      <c r="X140" s="321"/>
      <c r="AA140" s="321"/>
      <c r="AB140" s="324"/>
    </row>
    <row r="141" spans="1:28" s="319" customFormat="1" x14ac:dyDescent="0.25">
      <c r="A141" s="383"/>
      <c r="C141" s="320"/>
      <c r="D141" s="321"/>
      <c r="F141" s="320"/>
      <c r="G141" s="320"/>
      <c r="H141" s="338"/>
      <c r="I141" s="320"/>
      <c r="J141" s="42"/>
      <c r="K141" s="42"/>
      <c r="L141" s="42"/>
      <c r="M141" s="322"/>
      <c r="N141" s="42"/>
      <c r="O141" s="323"/>
      <c r="P141" s="323"/>
      <c r="Q141" s="323"/>
      <c r="R141" s="42"/>
      <c r="S141" s="351"/>
      <c r="T141" s="323"/>
      <c r="U141" s="323"/>
      <c r="V141" s="322"/>
      <c r="W141" s="404"/>
      <c r="X141" s="321"/>
      <c r="AA141" s="321"/>
      <c r="AB141" s="324"/>
    </row>
    <row r="142" spans="1:28" s="319" customFormat="1" x14ac:dyDescent="0.25">
      <c r="A142" s="383"/>
      <c r="C142" s="320"/>
      <c r="D142" s="321"/>
      <c r="F142" s="320"/>
      <c r="G142" s="320"/>
      <c r="H142" s="338"/>
      <c r="I142" s="320"/>
      <c r="J142" s="42"/>
      <c r="K142" s="42"/>
      <c r="L142" s="42"/>
      <c r="M142" s="322"/>
      <c r="N142" s="42"/>
      <c r="O142" s="323"/>
      <c r="P142" s="323"/>
      <c r="Q142" s="323"/>
      <c r="R142" s="42"/>
      <c r="S142" s="351"/>
      <c r="T142" s="323"/>
      <c r="U142" s="323"/>
      <c r="V142" s="322"/>
      <c r="W142" s="404"/>
      <c r="X142" s="321"/>
      <c r="AA142" s="321"/>
      <c r="AB142" s="324"/>
    </row>
    <row r="143" spans="1:28" s="319" customFormat="1" x14ac:dyDescent="0.25">
      <c r="A143" s="383"/>
      <c r="C143" s="320"/>
      <c r="D143" s="321"/>
      <c r="F143" s="320"/>
      <c r="G143" s="320"/>
      <c r="H143" s="338"/>
      <c r="I143" s="320"/>
      <c r="J143" s="42"/>
      <c r="K143" s="42"/>
      <c r="L143" s="42"/>
      <c r="M143" s="322"/>
      <c r="N143" s="42"/>
      <c r="O143" s="323"/>
      <c r="P143" s="323"/>
      <c r="Q143" s="323"/>
      <c r="R143" s="42"/>
      <c r="S143" s="351"/>
      <c r="T143" s="323"/>
      <c r="U143" s="323"/>
      <c r="V143" s="322"/>
      <c r="W143" s="404"/>
      <c r="X143" s="321"/>
      <c r="AA143" s="321"/>
      <c r="AB143" s="324"/>
    </row>
    <row r="144" spans="1:28" s="319" customFormat="1" x14ac:dyDescent="0.25">
      <c r="A144" s="383"/>
      <c r="C144" s="320"/>
      <c r="D144" s="321"/>
      <c r="F144" s="320"/>
      <c r="G144" s="320"/>
      <c r="H144" s="338"/>
      <c r="I144" s="320"/>
      <c r="J144" s="42"/>
      <c r="K144" s="42"/>
      <c r="L144" s="42"/>
      <c r="M144" s="322"/>
      <c r="N144" s="42"/>
      <c r="O144" s="323"/>
      <c r="P144" s="323"/>
      <c r="Q144" s="323"/>
      <c r="R144" s="42"/>
      <c r="S144" s="351"/>
      <c r="T144" s="323"/>
      <c r="U144" s="323"/>
      <c r="V144" s="322"/>
      <c r="W144" s="404"/>
      <c r="X144" s="321"/>
      <c r="AA144" s="321"/>
      <c r="AB144" s="324"/>
    </row>
    <row r="145" spans="1:28" s="319" customFormat="1" x14ac:dyDescent="0.25">
      <c r="A145" s="383"/>
      <c r="C145" s="320"/>
      <c r="D145" s="321"/>
      <c r="F145" s="320"/>
      <c r="G145" s="320"/>
      <c r="H145" s="338"/>
      <c r="I145" s="320"/>
      <c r="J145" s="42"/>
      <c r="K145" s="42"/>
      <c r="L145" s="42"/>
      <c r="M145" s="322"/>
      <c r="N145" s="42"/>
      <c r="O145" s="323"/>
      <c r="P145" s="323"/>
      <c r="Q145" s="323"/>
      <c r="R145" s="42"/>
      <c r="S145" s="351"/>
      <c r="T145" s="323"/>
      <c r="U145" s="323"/>
      <c r="V145" s="322"/>
      <c r="W145" s="404"/>
      <c r="X145" s="321"/>
      <c r="AA145" s="321"/>
      <c r="AB145" s="324"/>
    </row>
    <row r="146" spans="1:28" s="319" customFormat="1" x14ac:dyDescent="0.25">
      <c r="A146" s="383"/>
      <c r="C146" s="320"/>
      <c r="D146" s="321"/>
      <c r="F146" s="320"/>
      <c r="G146" s="320"/>
      <c r="H146" s="338"/>
      <c r="I146" s="320"/>
      <c r="J146" s="42"/>
      <c r="K146" s="42"/>
      <c r="L146" s="42"/>
      <c r="M146" s="322"/>
      <c r="N146" s="42"/>
      <c r="O146" s="323"/>
      <c r="P146" s="323"/>
      <c r="Q146" s="323"/>
      <c r="R146" s="42"/>
      <c r="S146" s="351"/>
      <c r="T146" s="323"/>
      <c r="U146" s="323"/>
      <c r="V146" s="322"/>
      <c r="W146" s="404"/>
      <c r="X146" s="321"/>
      <c r="AA146" s="321"/>
      <c r="AB146" s="324"/>
    </row>
    <row r="147" spans="1:28" s="319" customFormat="1" x14ac:dyDescent="0.25">
      <c r="A147" s="383"/>
      <c r="C147" s="320"/>
      <c r="D147" s="321"/>
      <c r="F147" s="320"/>
      <c r="G147" s="320"/>
      <c r="H147" s="338"/>
      <c r="I147" s="320"/>
      <c r="J147" s="42"/>
      <c r="K147" s="42"/>
      <c r="L147" s="42"/>
      <c r="M147" s="322"/>
      <c r="N147" s="42"/>
      <c r="O147" s="323"/>
      <c r="P147" s="323"/>
      <c r="Q147" s="323"/>
      <c r="R147" s="42"/>
      <c r="S147" s="351"/>
      <c r="T147" s="323"/>
      <c r="U147" s="323"/>
      <c r="V147" s="322"/>
      <c r="W147" s="404"/>
      <c r="X147" s="321"/>
      <c r="AA147" s="321"/>
      <c r="AB147" s="324"/>
    </row>
    <row r="148" spans="1:28" s="319" customFormat="1" x14ac:dyDescent="0.25">
      <c r="A148" s="383"/>
      <c r="C148" s="320"/>
      <c r="D148" s="321"/>
      <c r="F148" s="320"/>
      <c r="G148" s="320"/>
      <c r="H148" s="338"/>
      <c r="I148" s="320"/>
      <c r="J148" s="42"/>
      <c r="K148" s="42"/>
      <c r="L148" s="42"/>
      <c r="M148" s="322"/>
      <c r="N148" s="42"/>
      <c r="O148" s="323"/>
      <c r="P148" s="323"/>
      <c r="Q148" s="323"/>
      <c r="R148" s="42"/>
      <c r="S148" s="351"/>
      <c r="T148" s="323"/>
      <c r="U148" s="323"/>
      <c r="V148" s="322"/>
      <c r="W148" s="404"/>
      <c r="X148" s="321"/>
      <c r="AA148" s="321"/>
      <c r="AB148" s="324"/>
    </row>
    <row r="149" spans="1:28" s="319" customFormat="1" x14ac:dyDescent="0.25">
      <c r="A149" s="383"/>
      <c r="C149" s="320"/>
      <c r="D149" s="321"/>
      <c r="F149" s="320"/>
      <c r="G149" s="320"/>
      <c r="H149" s="338"/>
      <c r="I149" s="320"/>
      <c r="J149" s="42"/>
      <c r="K149" s="42"/>
      <c r="L149" s="42"/>
      <c r="M149" s="322"/>
      <c r="N149" s="42"/>
      <c r="O149" s="323"/>
      <c r="P149" s="323"/>
      <c r="Q149" s="323"/>
      <c r="R149" s="42"/>
      <c r="S149" s="351"/>
      <c r="T149" s="323"/>
      <c r="U149" s="323"/>
      <c r="V149" s="322"/>
      <c r="W149" s="404"/>
      <c r="X149" s="321"/>
      <c r="AA149" s="321"/>
      <c r="AB149" s="324"/>
    </row>
    <row r="150" spans="1:28" s="319" customFormat="1" x14ac:dyDescent="0.25">
      <c r="A150" s="383"/>
      <c r="C150" s="320"/>
      <c r="D150" s="321"/>
      <c r="F150" s="320"/>
      <c r="G150" s="320"/>
      <c r="H150" s="338"/>
      <c r="I150" s="320"/>
      <c r="J150" s="42"/>
      <c r="K150" s="42"/>
      <c r="L150" s="42"/>
      <c r="M150" s="322"/>
      <c r="N150" s="42"/>
      <c r="O150" s="323"/>
      <c r="P150" s="323"/>
      <c r="Q150" s="323"/>
      <c r="R150" s="42"/>
      <c r="S150" s="351"/>
      <c r="T150" s="323"/>
      <c r="U150" s="323"/>
      <c r="V150" s="322"/>
      <c r="W150" s="404"/>
      <c r="X150" s="321"/>
      <c r="AA150" s="321"/>
      <c r="AB150" s="324"/>
    </row>
    <row r="151" spans="1:28" s="319" customFormat="1" x14ac:dyDescent="0.25">
      <c r="A151" s="383"/>
      <c r="C151" s="320"/>
      <c r="D151" s="321"/>
      <c r="F151" s="320"/>
      <c r="G151" s="320"/>
      <c r="H151" s="338"/>
      <c r="I151" s="320"/>
      <c r="J151" s="42"/>
      <c r="K151" s="42"/>
      <c r="L151" s="42"/>
      <c r="M151" s="322"/>
      <c r="N151" s="42"/>
      <c r="O151" s="323"/>
      <c r="P151" s="323"/>
      <c r="Q151" s="323"/>
      <c r="R151" s="42"/>
      <c r="S151" s="351"/>
      <c r="T151" s="323"/>
      <c r="U151" s="323"/>
      <c r="V151" s="322"/>
      <c r="W151" s="404"/>
      <c r="X151" s="321"/>
      <c r="AA151" s="321"/>
      <c r="AB151" s="324"/>
    </row>
    <row r="152" spans="1:28" s="319" customFormat="1" x14ac:dyDescent="0.25">
      <c r="A152" s="383"/>
      <c r="C152" s="320"/>
      <c r="D152" s="321"/>
      <c r="F152" s="320"/>
      <c r="G152" s="320"/>
      <c r="H152" s="338"/>
      <c r="I152" s="320"/>
      <c r="J152" s="42"/>
      <c r="K152" s="42"/>
      <c r="L152" s="42"/>
      <c r="M152" s="322"/>
      <c r="N152" s="42"/>
      <c r="O152" s="323"/>
      <c r="P152" s="323"/>
      <c r="Q152" s="323"/>
      <c r="R152" s="42"/>
      <c r="S152" s="351"/>
      <c r="T152" s="323"/>
      <c r="U152" s="323"/>
      <c r="V152" s="322"/>
      <c r="W152" s="404"/>
      <c r="X152" s="321"/>
      <c r="AA152" s="321"/>
      <c r="AB152" s="324"/>
    </row>
    <row r="153" spans="1:28" s="319" customFormat="1" x14ac:dyDescent="0.25">
      <c r="A153" s="383"/>
      <c r="C153" s="320"/>
      <c r="D153" s="321"/>
      <c r="F153" s="320"/>
      <c r="G153" s="320"/>
      <c r="H153" s="338"/>
      <c r="I153" s="320"/>
      <c r="J153" s="42"/>
      <c r="K153" s="42"/>
      <c r="L153" s="42"/>
      <c r="M153" s="322"/>
      <c r="N153" s="42"/>
      <c r="O153" s="323"/>
      <c r="P153" s="323"/>
      <c r="Q153" s="323"/>
      <c r="R153" s="42"/>
      <c r="S153" s="351"/>
      <c r="T153" s="323"/>
      <c r="U153" s="323"/>
      <c r="V153" s="322"/>
      <c r="W153" s="404"/>
      <c r="X153" s="321"/>
      <c r="AA153" s="321"/>
      <c r="AB153" s="324"/>
    </row>
    <row r="154" spans="1:28" s="319" customFormat="1" x14ac:dyDescent="0.25">
      <c r="A154" s="383"/>
      <c r="C154" s="320"/>
      <c r="D154" s="321"/>
      <c r="F154" s="320"/>
      <c r="G154" s="320"/>
      <c r="H154" s="338"/>
      <c r="I154" s="320"/>
      <c r="J154" s="42"/>
      <c r="K154" s="42"/>
      <c r="L154" s="42"/>
      <c r="M154" s="322"/>
      <c r="N154" s="42"/>
      <c r="O154" s="323"/>
      <c r="P154" s="323"/>
      <c r="Q154" s="323"/>
      <c r="R154" s="42"/>
      <c r="S154" s="351"/>
      <c r="T154" s="323"/>
      <c r="U154" s="323"/>
      <c r="V154" s="322"/>
      <c r="W154" s="404"/>
      <c r="X154" s="321"/>
      <c r="AA154" s="321"/>
      <c r="AB154" s="324"/>
    </row>
    <row r="155" spans="1:28" s="319" customFormat="1" x14ac:dyDescent="0.25">
      <c r="A155" s="383"/>
      <c r="C155" s="320"/>
      <c r="D155" s="321"/>
      <c r="F155" s="320"/>
      <c r="G155" s="320"/>
      <c r="H155" s="338"/>
      <c r="I155" s="320"/>
      <c r="J155" s="42"/>
      <c r="K155" s="42"/>
      <c r="L155" s="42"/>
      <c r="M155" s="322"/>
      <c r="N155" s="42"/>
      <c r="O155" s="323"/>
      <c r="P155" s="323"/>
      <c r="Q155" s="323"/>
      <c r="R155" s="42"/>
      <c r="S155" s="351"/>
      <c r="T155" s="323"/>
      <c r="U155" s="323"/>
      <c r="V155" s="322"/>
      <c r="W155" s="404"/>
      <c r="X155" s="321"/>
      <c r="AA155" s="321"/>
      <c r="AB155" s="324"/>
    </row>
    <row r="156" spans="1:28" s="319" customFormat="1" x14ac:dyDescent="0.25">
      <c r="A156" s="383"/>
      <c r="C156" s="320"/>
      <c r="D156" s="321"/>
      <c r="F156" s="320"/>
      <c r="G156" s="320"/>
      <c r="H156" s="338"/>
      <c r="I156" s="320"/>
      <c r="J156" s="42"/>
      <c r="K156" s="42"/>
      <c r="L156" s="42"/>
      <c r="M156" s="322"/>
      <c r="N156" s="42"/>
      <c r="O156" s="323"/>
      <c r="P156" s="323"/>
      <c r="Q156" s="323"/>
      <c r="R156" s="42"/>
      <c r="S156" s="351"/>
      <c r="T156" s="323"/>
      <c r="U156" s="323"/>
      <c r="V156" s="322"/>
      <c r="W156" s="404"/>
      <c r="X156" s="321"/>
      <c r="AA156" s="321"/>
      <c r="AB156" s="324"/>
    </row>
    <row r="157" spans="1:28" s="319" customFormat="1" x14ac:dyDescent="0.25">
      <c r="A157" s="383"/>
      <c r="C157" s="320"/>
      <c r="D157" s="321"/>
      <c r="F157" s="320"/>
      <c r="G157" s="320"/>
      <c r="H157" s="338"/>
      <c r="I157" s="320"/>
      <c r="J157" s="42"/>
      <c r="K157" s="42"/>
      <c r="L157" s="42"/>
      <c r="M157" s="322"/>
      <c r="N157" s="42"/>
      <c r="O157" s="323"/>
      <c r="P157" s="323"/>
      <c r="Q157" s="323"/>
      <c r="R157" s="42"/>
      <c r="S157" s="351"/>
      <c r="T157" s="323"/>
      <c r="U157" s="323"/>
      <c r="V157" s="322"/>
      <c r="W157" s="404"/>
      <c r="X157" s="321"/>
      <c r="AA157" s="321"/>
      <c r="AB157" s="324"/>
    </row>
    <row r="158" spans="1:28" s="319" customFormat="1" x14ac:dyDescent="0.25">
      <c r="A158" s="383"/>
      <c r="C158" s="320"/>
      <c r="D158" s="321"/>
      <c r="F158" s="320"/>
      <c r="G158" s="320"/>
      <c r="H158" s="338"/>
      <c r="I158" s="320"/>
      <c r="J158" s="42"/>
      <c r="K158" s="42"/>
      <c r="L158" s="42"/>
      <c r="M158" s="322"/>
      <c r="N158" s="42"/>
      <c r="O158" s="323"/>
      <c r="P158" s="323"/>
      <c r="Q158" s="323"/>
      <c r="R158" s="42"/>
      <c r="S158" s="351"/>
      <c r="T158" s="323"/>
      <c r="U158" s="323"/>
      <c r="V158" s="322"/>
      <c r="W158" s="404"/>
      <c r="X158" s="321"/>
      <c r="AA158" s="321"/>
      <c r="AB158" s="324"/>
    </row>
    <row r="159" spans="1:28" s="319" customFormat="1" x14ac:dyDescent="0.25">
      <c r="A159" s="383"/>
      <c r="C159" s="320"/>
      <c r="D159" s="321"/>
      <c r="F159" s="320"/>
      <c r="G159" s="320"/>
      <c r="H159" s="338"/>
      <c r="I159" s="320"/>
      <c r="J159" s="42"/>
      <c r="K159" s="42"/>
      <c r="L159" s="42"/>
      <c r="M159" s="322"/>
      <c r="N159" s="42"/>
      <c r="O159" s="323"/>
      <c r="P159" s="323"/>
      <c r="Q159" s="323"/>
      <c r="R159" s="42"/>
      <c r="S159" s="351"/>
      <c r="T159" s="323"/>
      <c r="U159" s="323"/>
      <c r="V159" s="322"/>
      <c r="W159" s="404"/>
      <c r="X159" s="321"/>
      <c r="AA159" s="321"/>
      <c r="AB159" s="324"/>
    </row>
    <row r="160" spans="1:28" s="380" customFormat="1" x14ac:dyDescent="0.25">
      <c r="A160" s="383"/>
      <c r="C160" s="384"/>
      <c r="D160" s="385"/>
      <c r="F160" s="384"/>
      <c r="G160" s="384"/>
      <c r="H160" s="386"/>
      <c r="I160" s="384"/>
      <c r="J160" s="387"/>
      <c r="K160" s="387"/>
      <c r="L160" s="387"/>
      <c r="M160" s="388"/>
      <c r="N160" s="387"/>
      <c r="O160" s="389"/>
      <c r="P160" s="389"/>
      <c r="Q160" s="389"/>
      <c r="R160" s="387"/>
      <c r="S160" s="387"/>
      <c r="T160" s="389"/>
      <c r="U160" s="389"/>
      <c r="V160" s="388"/>
      <c r="W160" s="416"/>
      <c r="X160" s="385"/>
      <c r="AA160" s="385"/>
      <c r="AB160" s="390"/>
    </row>
    <row r="161" spans="1:28" s="381" customFormat="1" x14ac:dyDescent="0.25">
      <c r="A161" s="391" t="s">
        <v>46</v>
      </c>
      <c r="C161" s="392"/>
      <c r="D161" s="393"/>
      <c r="F161" s="392"/>
      <c r="G161" s="392"/>
      <c r="H161" s="394"/>
      <c r="I161" s="392"/>
      <c r="J161" s="395"/>
      <c r="K161" s="395"/>
      <c r="L161" s="395"/>
      <c r="M161" s="396"/>
      <c r="N161" s="395"/>
      <c r="O161" s="397"/>
      <c r="P161" s="397"/>
      <c r="Q161" s="397"/>
      <c r="R161" s="395"/>
      <c r="S161" s="395"/>
      <c r="T161" s="397"/>
      <c r="U161" s="397"/>
      <c r="V161" s="396"/>
      <c r="W161" s="417"/>
      <c r="X161" s="393"/>
      <c r="AA161" s="393"/>
      <c r="AB161" s="398"/>
    </row>
    <row r="162" spans="1:28" s="381" customFormat="1" x14ac:dyDescent="0.25">
      <c r="A162" s="391" t="s">
        <v>40</v>
      </c>
      <c r="C162" s="392"/>
      <c r="D162" s="393"/>
      <c r="F162" s="392"/>
      <c r="G162" s="392"/>
      <c r="H162" s="394"/>
      <c r="I162" s="392"/>
      <c r="J162" s="395"/>
      <c r="K162" s="395"/>
      <c r="L162" s="395"/>
      <c r="M162" s="396"/>
      <c r="N162" s="395"/>
      <c r="O162" s="397"/>
      <c r="P162" s="397"/>
      <c r="Q162" s="397"/>
      <c r="R162" s="395"/>
      <c r="S162" s="395"/>
      <c r="T162" s="397"/>
      <c r="U162" s="397"/>
      <c r="V162" s="396"/>
      <c r="W162" s="417"/>
      <c r="X162" s="393"/>
      <c r="AA162" s="393"/>
      <c r="AB162" s="398"/>
    </row>
    <row r="163" spans="1:28" s="381" customFormat="1" x14ac:dyDescent="0.25">
      <c r="A163" s="391" t="s">
        <v>79</v>
      </c>
      <c r="C163" s="392"/>
      <c r="D163" s="393"/>
      <c r="F163" s="392"/>
      <c r="G163" s="392"/>
      <c r="H163" s="394"/>
      <c r="I163" s="392"/>
      <c r="J163" s="395"/>
      <c r="K163" s="395"/>
      <c r="L163" s="395"/>
      <c r="M163" s="396"/>
      <c r="N163" s="395"/>
      <c r="O163" s="397"/>
      <c r="P163" s="397"/>
      <c r="Q163" s="397"/>
      <c r="R163" s="395"/>
      <c r="S163" s="395"/>
      <c r="T163" s="397"/>
      <c r="U163" s="397"/>
      <c r="V163" s="396"/>
      <c r="W163" s="417"/>
      <c r="X163" s="393"/>
      <c r="AA163" s="393"/>
      <c r="AB163" s="398"/>
    </row>
    <row r="164" spans="1:28" s="381" customFormat="1" x14ac:dyDescent="0.25">
      <c r="A164" s="391" t="s">
        <v>80</v>
      </c>
      <c r="C164" s="392"/>
      <c r="D164" s="393"/>
      <c r="F164" s="392"/>
      <c r="G164" s="392"/>
      <c r="H164" s="394"/>
      <c r="I164" s="392"/>
      <c r="J164" s="395"/>
      <c r="K164" s="395"/>
      <c r="L164" s="395"/>
      <c r="M164" s="396"/>
      <c r="N164" s="395"/>
      <c r="O164" s="397"/>
      <c r="P164" s="397"/>
      <c r="Q164" s="397"/>
      <c r="R164" s="395"/>
      <c r="S164" s="395"/>
      <c r="T164" s="397"/>
      <c r="U164" s="397"/>
      <c r="V164" s="396"/>
      <c r="W164" s="417"/>
      <c r="X164" s="393"/>
      <c r="AA164" s="393"/>
      <c r="AB164" s="398"/>
    </row>
    <row r="165" spans="1:28" s="381" customFormat="1" x14ac:dyDescent="0.25">
      <c r="A165" s="391" t="s">
        <v>81</v>
      </c>
      <c r="C165" s="392"/>
      <c r="D165" s="393"/>
      <c r="F165" s="392"/>
      <c r="G165" s="392"/>
      <c r="H165" s="394"/>
      <c r="I165" s="392"/>
      <c r="J165" s="395"/>
      <c r="K165" s="395"/>
      <c r="L165" s="395"/>
      <c r="M165" s="396"/>
      <c r="N165" s="395"/>
      <c r="O165" s="397"/>
      <c r="P165" s="397"/>
      <c r="Q165" s="397"/>
      <c r="R165" s="395"/>
      <c r="S165" s="395"/>
      <c r="T165" s="397"/>
      <c r="U165" s="397"/>
      <c r="V165" s="396"/>
      <c r="W165" s="417"/>
      <c r="X165" s="393"/>
      <c r="AA165" s="393"/>
      <c r="AB165" s="398"/>
    </row>
    <row r="166" spans="1:28" s="381" customFormat="1" x14ac:dyDescent="0.25">
      <c r="A166" s="391" t="s">
        <v>27</v>
      </c>
      <c r="C166" s="392"/>
      <c r="D166" s="393"/>
      <c r="F166" s="392"/>
      <c r="G166" s="392"/>
      <c r="H166" s="394"/>
      <c r="I166" s="392"/>
      <c r="J166" s="395"/>
      <c r="K166" s="395"/>
      <c r="L166" s="395"/>
      <c r="M166" s="396"/>
      <c r="N166" s="395"/>
      <c r="O166" s="397"/>
      <c r="P166" s="397"/>
      <c r="Q166" s="397"/>
      <c r="R166" s="395"/>
      <c r="S166" s="395"/>
      <c r="T166" s="397"/>
      <c r="U166" s="397"/>
      <c r="V166" s="396"/>
      <c r="W166" s="417"/>
      <c r="X166" s="393"/>
      <c r="AA166" s="393"/>
      <c r="AB166" s="398"/>
    </row>
    <row r="167" spans="1:28" s="381" customFormat="1" x14ac:dyDescent="0.25">
      <c r="A167" s="391" t="s">
        <v>82</v>
      </c>
      <c r="C167" s="392"/>
      <c r="D167" s="393"/>
      <c r="F167" s="392"/>
      <c r="G167" s="392"/>
      <c r="H167" s="394"/>
      <c r="I167" s="392"/>
      <c r="J167" s="395"/>
      <c r="K167" s="395"/>
      <c r="L167" s="395"/>
      <c r="M167" s="396"/>
      <c r="N167" s="395"/>
      <c r="O167" s="397"/>
      <c r="P167" s="397"/>
      <c r="Q167" s="397"/>
      <c r="R167" s="395"/>
      <c r="S167" s="395"/>
      <c r="T167" s="397"/>
      <c r="U167" s="397"/>
      <c r="V167" s="396"/>
      <c r="W167" s="417"/>
      <c r="X167" s="393"/>
      <c r="AA167" s="393"/>
      <c r="AB167" s="398"/>
    </row>
    <row r="168" spans="1:28" s="381" customFormat="1" x14ac:dyDescent="0.25">
      <c r="A168" s="391" t="s">
        <v>83</v>
      </c>
      <c r="C168" s="392"/>
      <c r="D168" s="393"/>
      <c r="F168" s="392"/>
      <c r="G168" s="392"/>
      <c r="H168" s="394"/>
      <c r="I168" s="392"/>
      <c r="J168" s="395"/>
      <c r="K168" s="395"/>
      <c r="L168" s="395"/>
      <c r="M168" s="396"/>
      <c r="N168" s="395"/>
      <c r="O168" s="397"/>
      <c r="P168" s="397"/>
      <c r="Q168" s="397"/>
      <c r="R168" s="395"/>
      <c r="S168" s="395"/>
      <c r="T168" s="397"/>
      <c r="U168" s="397"/>
      <c r="V168" s="396"/>
      <c r="W168" s="417"/>
      <c r="X168" s="393"/>
      <c r="AA168" s="393"/>
      <c r="AB168" s="398"/>
    </row>
    <row r="169" spans="1:28" s="381" customFormat="1" x14ac:dyDescent="0.25">
      <c r="A169" s="391" t="s">
        <v>22</v>
      </c>
      <c r="C169" s="392"/>
      <c r="D169" s="393"/>
      <c r="F169" s="392"/>
      <c r="G169" s="392"/>
      <c r="H169" s="394"/>
      <c r="I169" s="392"/>
      <c r="J169" s="395"/>
      <c r="K169" s="395"/>
      <c r="L169" s="395"/>
      <c r="M169" s="396"/>
      <c r="N169" s="395"/>
      <c r="O169" s="397">
        <v>5</v>
      </c>
      <c r="P169" s="397"/>
      <c r="Q169" s="397"/>
      <c r="R169" s="395"/>
      <c r="S169" s="395"/>
      <c r="T169" s="397"/>
      <c r="U169" s="397"/>
      <c r="V169" s="396"/>
      <c r="W169" s="417"/>
      <c r="X169" s="393"/>
      <c r="AA169" s="393"/>
      <c r="AB169" s="398"/>
    </row>
    <row r="170" spans="1:28" s="381" customFormat="1" x14ac:dyDescent="0.25">
      <c r="A170" s="391" t="s">
        <v>28</v>
      </c>
      <c r="C170" s="392"/>
      <c r="D170" s="393"/>
      <c r="F170" s="392"/>
      <c r="G170" s="392"/>
      <c r="H170" s="394"/>
      <c r="I170" s="392"/>
      <c r="J170" s="395"/>
      <c r="K170" s="395"/>
      <c r="L170" s="395"/>
      <c r="M170" s="396"/>
      <c r="N170" s="395"/>
      <c r="O170" s="397"/>
      <c r="P170" s="397"/>
      <c r="Q170" s="397"/>
      <c r="R170" s="395"/>
      <c r="S170" s="395"/>
      <c r="T170" s="397"/>
      <c r="U170" s="397"/>
      <c r="V170" s="396"/>
      <c r="W170" s="417"/>
      <c r="X170" s="393"/>
      <c r="AA170" s="393"/>
      <c r="AB170" s="398"/>
    </row>
    <row r="171" spans="1:28" s="381" customFormat="1" x14ac:dyDescent="0.25">
      <c r="A171" s="399"/>
      <c r="C171" s="392"/>
      <c r="D171" s="393"/>
      <c r="F171" s="392"/>
      <c r="G171" s="392"/>
      <c r="H171" s="394"/>
      <c r="I171" s="392"/>
      <c r="J171" s="395"/>
      <c r="K171" s="395"/>
      <c r="L171" s="395"/>
      <c r="M171" s="396"/>
      <c r="N171" s="395"/>
      <c r="O171" s="397"/>
      <c r="P171" s="397"/>
      <c r="Q171" s="397"/>
      <c r="R171" s="395"/>
      <c r="S171" s="395"/>
      <c r="T171" s="397"/>
      <c r="U171" s="397"/>
      <c r="V171" s="396"/>
      <c r="W171" s="417"/>
      <c r="X171" s="393"/>
      <c r="AA171" s="393"/>
      <c r="AB171" s="398"/>
    </row>
    <row r="172" spans="1:28" s="381" customFormat="1" x14ac:dyDescent="0.25">
      <c r="A172" s="399"/>
      <c r="C172" s="392"/>
      <c r="D172" s="393"/>
      <c r="F172" s="392"/>
      <c r="G172" s="392"/>
      <c r="H172" s="394"/>
      <c r="I172" s="392"/>
      <c r="J172" s="395"/>
      <c r="K172" s="395"/>
      <c r="L172" s="395"/>
      <c r="M172" s="396"/>
      <c r="N172" s="395"/>
      <c r="O172" s="397"/>
      <c r="P172" s="397"/>
      <c r="Q172" s="397"/>
      <c r="R172" s="395"/>
      <c r="S172" s="395"/>
      <c r="T172" s="397"/>
      <c r="U172" s="397"/>
      <c r="V172" s="396"/>
      <c r="W172" s="417"/>
      <c r="X172" s="393"/>
      <c r="AA172" s="393"/>
      <c r="AB172" s="398"/>
    </row>
    <row r="173" spans="1:28" s="381" customFormat="1" x14ac:dyDescent="0.25">
      <c r="A173" s="399"/>
      <c r="C173" s="392"/>
      <c r="D173" s="393"/>
      <c r="F173" s="392"/>
      <c r="G173" s="392"/>
      <c r="H173" s="394"/>
      <c r="I173" s="392"/>
      <c r="J173" s="395"/>
      <c r="K173" s="395"/>
      <c r="L173" s="395"/>
      <c r="M173" s="396"/>
      <c r="N173" s="395"/>
      <c r="O173" s="397"/>
      <c r="P173" s="397"/>
      <c r="Q173" s="397"/>
      <c r="R173" s="395"/>
      <c r="S173" s="395"/>
      <c r="T173" s="397"/>
      <c r="U173" s="397"/>
      <c r="V173" s="396"/>
      <c r="W173" s="417"/>
      <c r="X173" s="393"/>
      <c r="AA173" s="393"/>
      <c r="AB173" s="398"/>
    </row>
    <row r="174" spans="1:28" s="380" customFormat="1" x14ac:dyDescent="0.25">
      <c r="A174" s="400"/>
      <c r="C174" s="384"/>
      <c r="D174" s="385"/>
      <c r="F174" s="384"/>
      <c r="G174" s="384"/>
      <c r="H174" s="386"/>
      <c r="I174" s="384"/>
      <c r="J174" s="387"/>
      <c r="K174" s="387"/>
      <c r="L174" s="387"/>
      <c r="M174" s="388"/>
      <c r="N174" s="387"/>
      <c r="O174" s="389"/>
      <c r="P174" s="389"/>
      <c r="Q174" s="389"/>
      <c r="R174" s="387"/>
      <c r="S174" s="387"/>
      <c r="T174" s="389"/>
      <c r="U174" s="389"/>
      <c r="V174" s="388"/>
      <c r="W174" s="416"/>
      <c r="X174" s="385"/>
      <c r="AA174" s="385"/>
      <c r="AB174" s="390"/>
    </row>
    <row r="175" spans="1:28" s="380" customFormat="1" x14ac:dyDescent="0.25">
      <c r="A175" s="400"/>
      <c r="C175" s="384"/>
      <c r="D175" s="385"/>
      <c r="F175" s="384"/>
      <c r="G175" s="384"/>
      <c r="H175" s="386"/>
      <c r="I175" s="384"/>
      <c r="J175" s="387"/>
      <c r="K175" s="387"/>
      <c r="L175" s="387"/>
      <c r="M175" s="388"/>
      <c r="N175" s="387"/>
      <c r="O175" s="389"/>
      <c r="P175" s="389"/>
      <c r="Q175" s="389"/>
      <c r="R175" s="387"/>
      <c r="S175" s="387"/>
      <c r="T175" s="389"/>
      <c r="U175" s="389"/>
      <c r="V175" s="388"/>
      <c r="W175" s="416"/>
      <c r="X175" s="385"/>
      <c r="AA175" s="385"/>
      <c r="AB175" s="390"/>
    </row>
    <row r="176" spans="1:28" s="380" customFormat="1" x14ac:dyDescent="0.25">
      <c r="A176" s="399"/>
      <c r="B176" s="381"/>
      <c r="C176" s="392"/>
      <c r="D176" s="385"/>
      <c r="F176" s="384"/>
      <c r="G176" s="384"/>
      <c r="H176" s="386"/>
      <c r="I176" s="384"/>
      <c r="J176" s="387"/>
      <c r="K176" s="387"/>
      <c r="L176" s="387"/>
      <c r="M176" s="388"/>
      <c r="N176" s="387"/>
      <c r="O176" s="389"/>
      <c r="P176" s="389"/>
      <c r="Q176" s="389"/>
      <c r="R176" s="387"/>
      <c r="S176" s="387"/>
      <c r="T176" s="389"/>
      <c r="U176" s="389"/>
      <c r="V176" s="388"/>
      <c r="W176" s="416"/>
      <c r="X176" s="385"/>
      <c r="AA176" s="385"/>
      <c r="AB176" s="390"/>
    </row>
    <row r="177" spans="1:28" s="380" customFormat="1" x14ac:dyDescent="0.25">
      <c r="A177" s="399"/>
      <c r="B177" s="381"/>
      <c r="C177" s="392"/>
      <c r="D177" s="385"/>
      <c r="F177" s="384"/>
      <c r="G177" s="384"/>
      <c r="H177" s="386"/>
      <c r="I177" s="384"/>
      <c r="J177" s="387"/>
      <c r="K177" s="387"/>
      <c r="L177" s="387"/>
      <c r="M177" s="388"/>
      <c r="N177" s="387"/>
      <c r="O177" s="389"/>
      <c r="P177" s="389"/>
      <c r="Q177" s="389"/>
      <c r="R177" s="387"/>
      <c r="S177" s="387"/>
      <c r="T177" s="389"/>
      <c r="U177" s="389"/>
      <c r="V177" s="388"/>
      <c r="W177" s="416"/>
      <c r="X177" s="385"/>
      <c r="AA177" s="385"/>
      <c r="AB177" s="390"/>
    </row>
    <row r="178" spans="1:28" s="380" customFormat="1" x14ac:dyDescent="0.25">
      <c r="A178" s="399"/>
      <c r="B178" s="381"/>
      <c r="C178" s="392"/>
      <c r="D178" s="385"/>
      <c r="F178" s="384"/>
      <c r="G178" s="384"/>
      <c r="H178" s="386"/>
      <c r="I178" s="384"/>
      <c r="J178" s="387"/>
      <c r="K178" s="387"/>
      <c r="L178" s="387"/>
      <c r="M178" s="388"/>
      <c r="N178" s="387"/>
      <c r="O178" s="389"/>
      <c r="P178" s="389"/>
      <c r="Q178" s="389"/>
      <c r="R178" s="387"/>
      <c r="S178" s="387"/>
      <c r="T178" s="389"/>
      <c r="U178" s="389"/>
      <c r="V178" s="388"/>
      <c r="W178" s="416"/>
      <c r="X178" s="385"/>
      <c r="AA178" s="385"/>
      <c r="AB178" s="390"/>
    </row>
    <row r="179" spans="1:28" s="380" customFormat="1" ht="30" x14ac:dyDescent="0.25">
      <c r="A179" s="399" t="s">
        <v>40</v>
      </c>
      <c r="B179" s="381"/>
      <c r="C179" s="392"/>
      <c r="D179" s="385"/>
      <c r="F179" s="384"/>
      <c r="G179" s="384"/>
      <c r="H179" s="386"/>
      <c r="I179" s="384"/>
      <c r="J179" s="387"/>
      <c r="K179" s="387"/>
      <c r="L179" s="387"/>
      <c r="M179" s="388"/>
      <c r="N179" s="387"/>
      <c r="O179" s="389"/>
      <c r="P179" s="389"/>
      <c r="Q179" s="389"/>
      <c r="R179" s="387"/>
      <c r="S179" s="387"/>
      <c r="T179" s="389"/>
      <c r="U179" s="389"/>
      <c r="V179" s="388"/>
      <c r="W179" s="416"/>
      <c r="X179" s="385"/>
      <c r="AA179" s="385"/>
      <c r="AB179" s="390"/>
    </row>
    <row r="180" spans="1:28" s="380" customFormat="1" ht="30" x14ac:dyDescent="0.25">
      <c r="A180" s="399" t="s">
        <v>41</v>
      </c>
      <c r="B180" s="381"/>
      <c r="C180" s="392"/>
      <c r="D180" s="385"/>
      <c r="F180" s="384"/>
      <c r="G180" s="384"/>
      <c r="H180" s="386"/>
      <c r="I180" s="384"/>
      <c r="J180" s="387"/>
      <c r="K180" s="387"/>
      <c r="L180" s="387"/>
      <c r="M180" s="388"/>
      <c r="N180" s="387"/>
      <c r="O180" s="389"/>
      <c r="P180" s="389"/>
      <c r="Q180" s="389"/>
      <c r="R180" s="387"/>
      <c r="S180" s="387"/>
      <c r="T180" s="389"/>
      <c r="U180" s="389"/>
      <c r="V180" s="388"/>
      <c r="W180" s="416"/>
      <c r="X180" s="385"/>
      <c r="AA180" s="385"/>
      <c r="AB180" s="390"/>
    </row>
    <row r="181" spans="1:28" s="380" customFormat="1" ht="60" x14ac:dyDescent="0.25">
      <c r="A181" s="401" t="s">
        <v>26</v>
      </c>
      <c r="B181" s="381"/>
      <c r="C181" s="392"/>
      <c r="D181" s="385"/>
      <c r="F181" s="384"/>
      <c r="G181" s="384"/>
      <c r="H181" s="386"/>
      <c r="I181" s="384"/>
      <c r="J181" s="387"/>
      <c r="K181" s="387"/>
      <c r="L181" s="387"/>
      <c r="M181" s="388"/>
      <c r="N181" s="387"/>
      <c r="O181" s="389"/>
      <c r="P181" s="389"/>
      <c r="Q181" s="389"/>
      <c r="R181" s="387"/>
      <c r="S181" s="387"/>
      <c r="T181" s="389"/>
      <c r="U181" s="389"/>
      <c r="V181" s="388"/>
      <c r="W181" s="416"/>
      <c r="X181" s="385"/>
      <c r="AA181" s="385"/>
      <c r="AB181" s="390"/>
    </row>
    <row r="182" spans="1:28" s="380" customFormat="1" x14ac:dyDescent="0.25">
      <c r="A182" s="401" t="s">
        <v>27</v>
      </c>
      <c r="B182" s="381"/>
      <c r="C182" s="392"/>
      <c r="D182" s="385"/>
      <c r="F182" s="384"/>
      <c r="G182" s="384"/>
      <c r="H182" s="386"/>
      <c r="I182" s="384"/>
      <c r="J182" s="387"/>
      <c r="K182" s="387"/>
      <c r="L182" s="387"/>
      <c r="M182" s="388"/>
      <c r="N182" s="387"/>
      <c r="O182" s="389"/>
      <c r="P182" s="389"/>
      <c r="Q182" s="389"/>
      <c r="R182" s="387"/>
      <c r="S182" s="387"/>
      <c r="T182" s="389"/>
      <c r="U182" s="389"/>
      <c r="V182" s="388"/>
      <c r="W182" s="416"/>
      <c r="X182" s="385"/>
      <c r="AA182" s="385"/>
      <c r="AB182" s="390"/>
    </row>
    <row r="183" spans="1:28" s="380" customFormat="1" ht="45" x14ac:dyDescent="0.25">
      <c r="A183" s="401" t="s">
        <v>42</v>
      </c>
      <c r="B183" s="381"/>
      <c r="C183" s="392"/>
      <c r="D183" s="385"/>
      <c r="F183" s="384"/>
      <c r="G183" s="384"/>
      <c r="H183" s="386"/>
      <c r="I183" s="384"/>
      <c r="J183" s="387"/>
      <c r="K183" s="387"/>
      <c r="L183" s="387"/>
      <c r="M183" s="388"/>
      <c r="N183" s="387"/>
      <c r="O183" s="389"/>
      <c r="P183" s="389"/>
      <c r="Q183" s="389"/>
      <c r="R183" s="387"/>
      <c r="S183" s="387"/>
      <c r="T183" s="389"/>
      <c r="U183" s="389"/>
      <c r="V183" s="388"/>
      <c r="W183" s="416"/>
      <c r="X183" s="385"/>
      <c r="AA183" s="385"/>
      <c r="AB183" s="390"/>
    </row>
    <row r="184" spans="1:28" s="380" customFormat="1" x14ac:dyDescent="0.25">
      <c r="A184" s="401" t="s">
        <v>22</v>
      </c>
      <c r="B184" s="381"/>
      <c r="C184" s="392"/>
      <c r="D184" s="385"/>
      <c r="F184" s="384"/>
      <c r="G184" s="384"/>
      <c r="H184" s="386"/>
      <c r="I184" s="384"/>
      <c r="J184" s="387"/>
      <c r="K184" s="387"/>
      <c r="L184" s="387"/>
      <c r="M184" s="388"/>
      <c r="N184" s="387"/>
      <c r="O184" s="389"/>
      <c r="P184" s="389"/>
      <c r="Q184" s="389"/>
      <c r="R184" s="387"/>
      <c r="S184" s="387"/>
      <c r="T184" s="389"/>
      <c r="U184" s="389"/>
      <c r="V184" s="388"/>
      <c r="W184" s="416"/>
      <c r="X184" s="385"/>
      <c r="AA184" s="385"/>
      <c r="AB184" s="390"/>
    </row>
    <row r="185" spans="1:28" s="380" customFormat="1" x14ac:dyDescent="0.25">
      <c r="A185" s="402" t="s">
        <v>28</v>
      </c>
      <c r="B185" s="381"/>
      <c r="C185" s="392"/>
      <c r="D185" s="385"/>
      <c r="F185" s="384"/>
      <c r="G185" s="384"/>
      <c r="H185" s="386"/>
      <c r="I185" s="384"/>
      <c r="J185" s="387"/>
      <c r="K185" s="387"/>
      <c r="L185" s="387"/>
      <c r="M185" s="388"/>
      <c r="N185" s="387"/>
      <c r="O185" s="389"/>
      <c r="P185" s="389"/>
      <c r="Q185" s="389"/>
      <c r="R185" s="387"/>
      <c r="S185" s="387"/>
      <c r="T185" s="389"/>
      <c r="U185" s="389"/>
      <c r="V185" s="388"/>
      <c r="W185" s="416"/>
      <c r="X185" s="385"/>
      <c r="AA185" s="385"/>
      <c r="AB185" s="390"/>
    </row>
    <row r="186" spans="1:28" s="380" customFormat="1" x14ac:dyDescent="0.25">
      <c r="A186" s="401" t="s">
        <v>43</v>
      </c>
      <c r="B186" s="381"/>
      <c r="C186" s="392"/>
      <c r="D186" s="385"/>
      <c r="F186" s="384"/>
      <c r="G186" s="384"/>
      <c r="H186" s="386"/>
      <c r="I186" s="384"/>
      <c r="J186" s="387"/>
      <c r="K186" s="387"/>
      <c r="L186" s="387"/>
      <c r="M186" s="388"/>
      <c r="N186" s="387"/>
      <c r="O186" s="389"/>
      <c r="P186" s="389"/>
      <c r="Q186" s="389"/>
      <c r="R186" s="387"/>
      <c r="S186" s="387"/>
      <c r="T186" s="389"/>
      <c r="U186" s="389"/>
      <c r="V186" s="388"/>
      <c r="W186" s="416"/>
      <c r="X186" s="385"/>
      <c r="AA186" s="385"/>
      <c r="AB186" s="390"/>
    </row>
    <row r="187" spans="1:28" s="380" customFormat="1" ht="30" x14ac:dyDescent="0.25">
      <c r="A187" s="401" t="s">
        <v>44</v>
      </c>
      <c r="B187" s="381"/>
      <c r="C187" s="392"/>
      <c r="D187" s="385"/>
      <c r="F187" s="384"/>
      <c r="G187" s="384"/>
      <c r="H187" s="386"/>
      <c r="I187" s="384"/>
      <c r="J187" s="387"/>
      <c r="K187" s="387"/>
      <c r="L187" s="387"/>
      <c r="M187" s="388"/>
      <c r="N187" s="387"/>
      <c r="O187" s="389"/>
      <c r="P187" s="389"/>
      <c r="Q187" s="389"/>
      <c r="R187" s="387"/>
      <c r="S187" s="387"/>
      <c r="T187" s="389"/>
      <c r="U187" s="389"/>
      <c r="V187" s="388"/>
      <c r="W187" s="416"/>
      <c r="X187" s="385"/>
      <c r="AA187" s="385"/>
      <c r="AB187" s="390"/>
    </row>
    <row r="188" spans="1:28" s="380" customFormat="1" x14ac:dyDescent="0.25">
      <c r="B188" s="381"/>
      <c r="C188" s="392"/>
      <c r="D188" s="385"/>
      <c r="F188" s="384"/>
      <c r="G188" s="384"/>
      <c r="H188" s="386"/>
      <c r="I188" s="384"/>
      <c r="J188" s="387"/>
      <c r="K188" s="387"/>
      <c r="L188" s="387"/>
      <c r="M188" s="388"/>
      <c r="N188" s="387"/>
      <c r="O188" s="389"/>
      <c r="P188" s="389"/>
      <c r="Q188" s="389"/>
      <c r="R188" s="387"/>
      <c r="S188" s="387"/>
      <c r="T188" s="389"/>
      <c r="U188" s="389"/>
      <c r="V188" s="388"/>
      <c r="W188" s="416"/>
      <c r="X188" s="385"/>
      <c r="AA188" s="385"/>
      <c r="AB188" s="390"/>
    </row>
    <row r="189" spans="1:28" s="380" customFormat="1" x14ac:dyDescent="0.25">
      <c r="A189" s="403" t="s">
        <v>28</v>
      </c>
      <c r="C189" s="384"/>
      <c r="D189" s="385"/>
      <c r="F189" s="384"/>
      <c r="G189" s="384"/>
      <c r="H189" s="386"/>
      <c r="I189" s="384"/>
      <c r="J189" s="387"/>
      <c r="K189" s="387"/>
      <c r="L189" s="387"/>
      <c r="M189" s="388"/>
      <c r="N189" s="387"/>
      <c r="O189" s="389"/>
      <c r="P189" s="389"/>
      <c r="Q189" s="389"/>
      <c r="R189" s="387"/>
      <c r="S189" s="387"/>
      <c r="T189" s="389"/>
      <c r="U189" s="389"/>
      <c r="V189" s="388"/>
      <c r="W189" s="416"/>
      <c r="X189" s="385"/>
      <c r="AA189" s="385"/>
      <c r="AB189" s="390"/>
    </row>
    <row r="190" spans="1:28" s="319" customFormat="1" x14ac:dyDescent="0.25">
      <c r="A190" s="402"/>
      <c r="C190" s="320"/>
      <c r="D190" s="321"/>
      <c r="F190" s="320"/>
      <c r="G190" s="320"/>
      <c r="H190" s="338"/>
      <c r="I190" s="320"/>
      <c r="J190" s="42"/>
      <c r="K190" s="42"/>
      <c r="L190" s="42"/>
      <c r="M190" s="322"/>
      <c r="N190" s="42"/>
      <c r="O190" s="323"/>
      <c r="P190" s="323"/>
      <c r="Q190" s="323"/>
      <c r="R190" s="42"/>
      <c r="S190" s="351"/>
      <c r="T190" s="323"/>
      <c r="U190" s="323"/>
      <c r="V190" s="322"/>
      <c r="W190" s="404"/>
      <c r="X190" s="321"/>
      <c r="AA190" s="321"/>
      <c r="AB190" s="324"/>
    </row>
    <row r="191" spans="1:28" s="319" customFormat="1" x14ac:dyDescent="0.25">
      <c r="A191" s="402"/>
      <c r="C191" s="320"/>
      <c r="D191" s="321"/>
      <c r="F191" s="320"/>
      <c r="G191" s="320"/>
      <c r="H191" s="338"/>
      <c r="I191" s="320"/>
      <c r="J191" s="42"/>
      <c r="K191" s="42"/>
      <c r="L191" s="42"/>
      <c r="M191" s="322"/>
      <c r="N191" s="42"/>
      <c r="O191" s="323"/>
      <c r="P191" s="323"/>
      <c r="Q191" s="323"/>
      <c r="R191" s="42"/>
      <c r="S191" s="351"/>
      <c r="T191" s="323"/>
      <c r="U191" s="323"/>
      <c r="V191" s="322"/>
      <c r="W191" s="404"/>
      <c r="X191" s="321"/>
      <c r="AA191" s="321"/>
      <c r="AB191" s="324"/>
    </row>
    <row r="192" spans="1:28" s="319" customFormat="1" x14ac:dyDescent="0.25">
      <c r="A192" s="402"/>
      <c r="C192" s="320"/>
      <c r="D192" s="321"/>
      <c r="F192" s="320"/>
      <c r="G192" s="320"/>
      <c r="H192" s="338"/>
      <c r="I192" s="320"/>
      <c r="J192" s="42"/>
      <c r="K192" s="42"/>
      <c r="L192" s="42"/>
      <c r="M192" s="322"/>
      <c r="N192" s="42"/>
      <c r="O192" s="323"/>
      <c r="P192" s="323"/>
      <c r="Q192" s="323"/>
      <c r="R192" s="42"/>
      <c r="S192" s="351"/>
      <c r="T192" s="323"/>
      <c r="U192" s="323"/>
      <c r="V192" s="322"/>
      <c r="W192" s="404"/>
      <c r="X192" s="321"/>
      <c r="AA192" s="321"/>
      <c r="AB192" s="324"/>
    </row>
  </sheetData>
  <sheetProtection selectLockedCells="1" autoFilter="0"/>
  <autoFilter ref="A3:AB128"/>
  <sortState ref="A3:AL128">
    <sortCondition ref="AB3:AB128"/>
  </sortState>
  <mergeCells count="1">
    <mergeCell ref="A2:D2"/>
  </mergeCells>
  <conditionalFormatting sqref="H4 M4 R4 V64:V128">
    <cfRule type="containsText" dxfId="3712" priority="1626" operator="containsText" text="Not Yet Due">
      <formula>NOT(ISERROR(SEARCH("Not Yet Due",H4)))</formula>
    </cfRule>
    <cfRule type="containsText" dxfId="3711" priority="1715" operator="containsText" text="Deferred">
      <formula>NOT(ISERROR(SEARCH("Deferred",H4)))</formula>
    </cfRule>
    <cfRule type="containsText" dxfId="3710" priority="1716" operator="containsText" text="Deleted">
      <formula>NOT(ISERROR(SEARCH("Deleted",H4)))</formula>
    </cfRule>
    <cfRule type="containsText" dxfId="3709" priority="1722" operator="containsText" text="In Danger of Falling Behind Target">
      <formula>NOT(ISERROR(SEARCH("In Danger of Falling Behind Target",H4)))</formula>
    </cfRule>
    <cfRule type="containsText" dxfId="3708" priority="1758" operator="containsText" text="Not yet due">
      <formula>NOT(ISERROR(SEARCH("Not yet due",H4)))</formula>
    </cfRule>
  </conditionalFormatting>
  <conditionalFormatting sqref="H4 M4 R4 V64:V128">
    <cfRule type="containsText" dxfId="3707" priority="1737" operator="containsText" text="Not yet due">
      <formula>NOT(ISERROR(SEARCH("Not yet due",H4)))</formula>
    </cfRule>
  </conditionalFormatting>
  <conditionalFormatting sqref="H4 M4 R4 V64:V128">
    <cfRule type="containsText" dxfId="3706" priority="1718" operator="containsText" text="Update not Provided">
      <formula>NOT(ISERROR(SEARCH("Update not Provided",H4)))</formula>
    </cfRule>
    <cfRule type="containsText" dxfId="3705" priority="1719" operator="containsText" text="Not yet due">
      <formula>NOT(ISERROR(SEARCH("Not yet due",H4)))</formula>
    </cfRule>
    <cfRule type="containsText" dxfId="3704" priority="1720" operator="containsText" text="Completed Behind Schedule">
      <formula>NOT(ISERROR(SEARCH("Completed Behind Schedule",H4)))</formula>
    </cfRule>
    <cfRule type="containsText" dxfId="3703" priority="1721" operator="containsText" text="Off Target">
      <formula>NOT(ISERROR(SEARCH("Off Target",H4)))</formula>
    </cfRule>
    <cfRule type="containsText" dxfId="3702" priority="1723" operator="containsText" text="On Track to be Achieved">
      <formula>NOT(ISERROR(SEARCH("On Track to be Achieved",H4)))</formula>
    </cfRule>
    <cfRule type="containsText" dxfId="3701" priority="1724" operator="containsText" text="Fully Achieved">
      <formula>NOT(ISERROR(SEARCH("Fully Achieved",H4)))</formula>
    </cfRule>
  </conditionalFormatting>
  <conditionalFormatting sqref="R4 M4">
    <cfRule type="containsText" dxfId="3700" priority="1714" operator="containsText" text="Deferred">
      <formula>NOT(ISERROR(SEARCH("Deferred",M4)))</formula>
    </cfRule>
  </conditionalFormatting>
  <conditionalFormatting sqref="H4 M4 R4 V64:V128">
    <cfRule type="containsText" dxfId="3699" priority="1634" operator="containsText" text="Deferred">
      <formula>NOT(ISERROR(SEARCH("Deferred",H4)))</formula>
    </cfRule>
    <cfRule type="containsText" dxfId="3698" priority="1635" operator="containsText" text="Deleted">
      <formula>NOT(ISERROR(SEARCH("Deleted",H4)))</formula>
    </cfRule>
    <cfRule type="containsText" dxfId="3697" priority="1636" operator="containsText" text="In Danger of Falling Behind Target">
      <formula>NOT(ISERROR(SEARCH("In Danger of Falling Behind Target",H4)))</formula>
    </cfRule>
    <cfRule type="containsText" dxfId="3696" priority="1637" operator="containsText" text="Not yet due">
      <formula>NOT(ISERROR(SEARCH("Not yet due",H4)))</formula>
    </cfRule>
  </conditionalFormatting>
  <conditionalFormatting sqref="V64:V128 H5:H63">
    <cfRule type="containsText" dxfId="3695" priority="983" operator="containsText" text="Fully Achieved">
      <formula>NOT(ISERROR(SEARCH("Fully Achieved",H5)))</formula>
    </cfRule>
    <cfRule type="containsText" dxfId="3694" priority="984" operator="containsText" text="Fully Achieved">
      <formula>NOT(ISERROR(SEARCH("Fully Achieved",H5)))</formula>
    </cfRule>
  </conditionalFormatting>
  <conditionalFormatting sqref="V64:V128 H5:H63">
    <cfRule type="containsText" dxfId="3693" priority="976" operator="containsText" text="Update not Provided">
      <formula>NOT(ISERROR(SEARCH("Update not Provided",H5)))</formula>
    </cfRule>
    <cfRule type="containsText" dxfId="3692" priority="977" operator="containsText" text="Not yet due">
      <formula>NOT(ISERROR(SEARCH("Not yet due",H5)))</formula>
    </cfRule>
    <cfRule type="containsText" dxfId="3691" priority="978" operator="containsText" text="Completed Behind Schedule">
      <formula>NOT(ISERROR(SEARCH("Completed Behind Schedule",H5)))</formula>
    </cfRule>
    <cfRule type="containsText" dxfId="3690" priority="979" operator="containsText" text="Off Target">
      <formula>NOT(ISERROR(SEARCH("Off Target",H5)))</formula>
    </cfRule>
    <cfRule type="containsText" dxfId="3689" priority="980" operator="containsText" text="In Danger of Falling Behind Target">
      <formula>NOT(ISERROR(SEARCH("In Danger of Falling Behind Target",H5)))</formula>
    </cfRule>
    <cfRule type="containsText" dxfId="3688" priority="981" operator="containsText" text="On Track to be Achieved">
      <formula>NOT(ISERROR(SEARCH("On Track to be Achieved",H5)))</formula>
    </cfRule>
    <cfRule type="containsText" dxfId="3687" priority="982" operator="containsText" text="Fully Achieved">
      <formula>NOT(ISERROR(SEARCH("Fully Achieved",H5)))</formula>
    </cfRule>
  </conditionalFormatting>
  <conditionalFormatting sqref="H5:H63">
    <cfRule type="containsText" dxfId="3686" priority="954" operator="containsText" text="Not Yet Due">
      <formula>NOT(ISERROR(SEARCH("Not Yet Due",H5)))</formula>
    </cfRule>
    <cfRule type="containsText" dxfId="3685" priority="960" operator="containsText" text="Deferred">
      <formula>NOT(ISERROR(SEARCH("Deferred",H5)))</formula>
    </cfRule>
    <cfRule type="containsText" dxfId="3684" priority="961" operator="containsText" text="Deleted">
      <formula>NOT(ISERROR(SEARCH("Deleted",H5)))</formula>
    </cfRule>
    <cfRule type="containsText" dxfId="3683" priority="966" operator="containsText" text="In Danger of Falling Behind Target">
      <formula>NOT(ISERROR(SEARCH("In Danger of Falling Behind Target",H5)))</formula>
    </cfRule>
    <cfRule type="containsText" dxfId="3682" priority="970" operator="containsText" text="Not yet due">
      <formula>NOT(ISERROR(SEARCH("Not yet due",H5)))</formula>
    </cfRule>
  </conditionalFormatting>
  <conditionalFormatting sqref="H5:H63">
    <cfRule type="containsText" dxfId="3681" priority="969" operator="containsText" text="Not yet due">
      <formula>NOT(ISERROR(SEARCH("Not yet due",H5)))</formula>
    </cfRule>
  </conditionalFormatting>
  <conditionalFormatting sqref="H5:H63">
    <cfRule type="containsText" dxfId="3680" priority="962" operator="containsText" text="Update not Provided">
      <formula>NOT(ISERROR(SEARCH("Update not Provided",H5)))</formula>
    </cfRule>
    <cfRule type="containsText" dxfId="3679" priority="963" operator="containsText" text="Not yet due">
      <formula>NOT(ISERROR(SEARCH("Not yet due",H5)))</formula>
    </cfRule>
    <cfRule type="containsText" dxfId="3678" priority="964" operator="containsText" text="Completed Behind Schedule">
      <formula>NOT(ISERROR(SEARCH("Completed Behind Schedule",H5)))</formula>
    </cfRule>
    <cfRule type="containsText" dxfId="3677" priority="965" operator="containsText" text="Off Target">
      <formula>NOT(ISERROR(SEARCH("Off Target",H5)))</formula>
    </cfRule>
    <cfRule type="containsText" dxfId="3676" priority="967" operator="containsText" text="On Track to be Achieved">
      <formula>NOT(ISERROR(SEARCH("On Track to be Achieved",H5)))</formula>
    </cfRule>
    <cfRule type="containsText" dxfId="3675" priority="968" operator="containsText" text="Fully Achieved">
      <formula>NOT(ISERROR(SEARCH("Fully Achieved",H5)))</formula>
    </cfRule>
  </conditionalFormatting>
  <conditionalFormatting sqref="H5:H63">
    <cfRule type="containsText" dxfId="3674" priority="955" operator="containsText" text="Deferred">
      <formula>NOT(ISERROR(SEARCH("Deferred",H5)))</formula>
    </cfRule>
    <cfRule type="containsText" dxfId="3673" priority="956" operator="containsText" text="Deleted">
      <formula>NOT(ISERROR(SEARCH("Deleted",H5)))</formula>
    </cfRule>
    <cfRule type="containsText" dxfId="3672" priority="957" operator="containsText" text="In Danger of Falling Behind Target">
      <formula>NOT(ISERROR(SEARCH("In Danger of Falling Behind Target",H5)))</formula>
    </cfRule>
    <cfRule type="containsText" dxfId="3671" priority="958" operator="containsText" text="Not yet due">
      <formula>NOT(ISERROR(SEARCH("Not yet due",H5)))</formula>
    </cfRule>
  </conditionalFormatting>
  <conditionalFormatting sqref="H64:H78">
    <cfRule type="containsText" dxfId="3670" priority="947" operator="containsText" text="Fully Achieved">
      <formula>NOT(ISERROR(SEARCH("Fully Achieved",H64)))</formula>
    </cfRule>
    <cfRule type="containsText" dxfId="3669" priority="948" operator="containsText" text="Fully Achieved">
      <formula>NOT(ISERROR(SEARCH("Fully Achieved",H64)))</formula>
    </cfRule>
  </conditionalFormatting>
  <conditionalFormatting sqref="H64:H78">
    <cfRule type="containsText" dxfId="3668" priority="940" operator="containsText" text="Update not Provided">
      <formula>NOT(ISERROR(SEARCH("Update not Provided",H64)))</formula>
    </cfRule>
    <cfRule type="containsText" dxfId="3667" priority="941" operator="containsText" text="Not yet due">
      <formula>NOT(ISERROR(SEARCH("Not yet due",H64)))</formula>
    </cfRule>
    <cfRule type="containsText" dxfId="3666" priority="942" operator="containsText" text="Completed Behind Schedule">
      <formula>NOT(ISERROR(SEARCH("Completed Behind Schedule",H64)))</formula>
    </cfRule>
    <cfRule type="containsText" dxfId="3665" priority="943" operator="containsText" text="Off Target">
      <formula>NOT(ISERROR(SEARCH("Off Target",H64)))</formula>
    </cfRule>
    <cfRule type="containsText" dxfId="3664" priority="944" operator="containsText" text="In Danger of Falling Behind Target">
      <formula>NOT(ISERROR(SEARCH("In Danger of Falling Behind Target",H64)))</formula>
    </cfRule>
    <cfRule type="containsText" dxfId="3663" priority="945" operator="containsText" text="On Track to be Achieved">
      <formula>NOT(ISERROR(SEARCH("On Track to be Achieved",H64)))</formula>
    </cfRule>
    <cfRule type="containsText" dxfId="3662" priority="946" operator="containsText" text="Fully Achieved">
      <formula>NOT(ISERROR(SEARCH("Fully Achieved",H64)))</formula>
    </cfRule>
  </conditionalFormatting>
  <conditionalFormatting sqref="V64:V128 H64:H78">
    <cfRule type="containsText" dxfId="3661" priority="928" operator="containsText" text="Update not Provided">
      <formula>NOT(ISERROR(SEARCH("Update not Provided",H64)))</formula>
    </cfRule>
    <cfRule type="containsText" dxfId="3660" priority="930" operator="containsText" text="Completed Behind Schedule">
      <formula>NOT(ISERROR(SEARCH("Completed Behind Schedule",H64)))</formula>
    </cfRule>
    <cfRule type="containsText" dxfId="3659" priority="931" operator="containsText" text="Off Target">
      <formula>NOT(ISERROR(SEARCH("Off Target",H64)))</formula>
    </cfRule>
    <cfRule type="containsText" dxfId="3658" priority="932" operator="containsText" text="In Danger of Falling Behind Target">
      <formula>NOT(ISERROR(SEARCH("In Danger of Falling Behind Target",H64)))</formula>
    </cfRule>
    <cfRule type="containsText" dxfId="3657" priority="933" operator="containsText" text="On Track to be Achieved">
      <formula>NOT(ISERROR(SEARCH("On Track to be Achieved",H64)))</formula>
    </cfRule>
    <cfRule type="containsText" dxfId="3656" priority="934" operator="containsText" text="Fully Achieved">
      <formula>NOT(ISERROR(SEARCH("Fully Achieved",H64)))</formula>
    </cfRule>
  </conditionalFormatting>
  <conditionalFormatting sqref="H64:H78">
    <cfRule type="containsText" dxfId="3655" priority="912" operator="containsText" text="Not Yet Due">
      <formula>NOT(ISERROR(SEARCH("Not Yet Due",H64)))</formula>
    </cfRule>
    <cfRule type="containsText" dxfId="3654" priority="918" operator="containsText" text="Deferred">
      <formula>NOT(ISERROR(SEARCH("Deferred",H64)))</formula>
    </cfRule>
    <cfRule type="containsText" dxfId="3653" priority="919" operator="containsText" text="Deleted">
      <formula>NOT(ISERROR(SEARCH("Deleted",H64)))</formula>
    </cfRule>
    <cfRule type="containsText" dxfId="3652" priority="924" operator="containsText" text="In Danger of Falling Behind Target">
      <formula>NOT(ISERROR(SEARCH("In Danger of Falling Behind Target",H64)))</formula>
    </cfRule>
    <cfRule type="containsText" dxfId="3651" priority="929" operator="containsText" text="Not yet due">
      <formula>NOT(ISERROR(SEARCH("Not yet due",H64)))</formula>
    </cfRule>
  </conditionalFormatting>
  <conditionalFormatting sqref="H64:H78">
    <cfRule type="containsText" dxfId="3650" priority="927" operator="containsText" text="Not yet due">
      <formula>NOT(ISERROR(SEARCH("Not yet due",H64)))</formula>
    </cfRule>
  </conditionalFormatting>
  <conditionalFormatting sqref="H64:H78">
    <cfRule type="containsText" dxfId="3649" priority="920" operator="containsText" text="Update not Provided">
      <formula>NOT(ISERROR(SEARCH("Update not Provided",H64)))</formula>
    </cfRule>
    <cfRule type="containsText" dxfId="3648" priority="921" operator="containsText" text="Not yet due">
      <formula>NOT(ISERROR(SEARCH("Not yet due",H64)))</formula>
    </cfRule>
    <cfRule type="containsText" dxfId="3647" priority="922" operator="containsText" text="Completed Behind Schedule">
      <formula>NOT(ISERROR(SEARCH("Completed Behind Schedule",H64)))</formula>
    </cfRule>
    <cfRule type="containsText" dxfId="3646" priority="923" operator="containsText" text="Off Target">
      <formula>NOT(ISERROR(SEARCH("Off Target",H64)))</formula>
    </cfRule>
    <cfRule type="containsText" dxfId="3645" priority="925" operator="containsText" text="On Track to be Achieved">
      <formula>NOT(ISERROR(SEARCH("On Track to be Achieved",H64)))</formula>
    </cfRule>
    <cfRule type="containsText" dxfId="3644" priority="926" operator="containsText" text="Fully Achieved">
      <formula>NOT(ISERROR(SEARCH("Fully Achieved",H64)))</formula>
    </cfRule>
  </conditionalFormatting>
  <conditionalFormatting sqref="H64:H78">
    <cfRule type="containsText" dxfId="3643" priority="913" operator="containsText" text="Deferred">
      <formula>NOT(ISERROR(SEARCH("Deferred",H64)))</formula>
    </cfRule>
    <cfRule type="containsText" dxfId="3642" priority="914" operator="containsText" text="Deleted">
      <formula>NOT(ISERROR(SEARCH("Deleted",H64)))</formula>
    </cfRule>
    <cfRule type="containsText" dxfId="3641" priority="915" operator="containsText" text="In Danger of Falling Behind Target">
      <formula>NOT(ISERROR(SEARCH("In Danger of Falling Behind Target",H64)))</formula>
    </cfRule>
    <cfRule type="containsText" dxfId="3640" priority="916" operator="containsText" text="Not yet due">
      <formula>NOT(ISERROR(SEARCH("Not yet due",H64)))</formula>
    </cfRule>
  </conditionalFormatting>
  <conditionalFormatting sqref="H79:H128">
    <cfRule type="containsText" dxfId="3639" priority="905" operator="containsText" text="Fully Achieved">
      <formula>NOT(ISERROR(SEARCH("Fully Achieved",H79)))</formula>
    </cfRule>
    <cfRule type="containsText" dxfId="3638" priority="906" operator="containsText" text="Fully Achieved">
      <formula>NOT(ISERROR(SEARCH("Fully Achieved",H79)))</formula>
    </cfRule>
  </conditionalFormatting>
  <conditionalFormatting sqref="H79:H128">
    <cfRule type="containsText" dxfId="3637" priority="898" operator="containsText" text="Update not Provided">
      <formula>NOT(ISERROR(SEARCH("Update not Provided",H79)))</formula>
    </cfRule>
    <cfRule type="containsText" dxfId="3636" priority="899" operator="containsText" text="Not yet due">
      <formula>NOT(ISERROR(SEARCH("Not yet due",H79)))</formula>
    </cfRule>
    <cfRule type="containsText" dxfId="3635" priority="900" operator="containsText" text="Completed Behind Schedule">
      <formula>NOT(ISERROR(SEARCH("Completed Behind Schedule",H79)))</formula>
    </cfRule>
    <cfRule type="containsText" dxfId="3634" priority="901" operator="containsText" text="Off Target">
      <formula>NOT(ISERROR(SEARCH("Off Target",H79)))</formula>
    </cfRule>
    <cfRule type="containsText" dxfId="3633" priority="902" operator="containsText" text="In Danger of Falling Behind Target">
      <formula>NOT(ISERROR(SEARCH("In Danger of Falling Behind Target",H79)))</formula>
    </cfRule>
    <cfRule type="containsText" dxfId="3632" priority="903" operator="containsText" text="On Track to be Achieved">
      <formula>NOT(ISERROR(SEARCH("On Track to be Achieved",H79)))</formula>
    </cfRule>
    <cfRule type="containsText" dxfId="3631" priority="904" operator="containsText" text="Fully Achieved">
      <formula>NOT(ISERROR(SEARCH("Fully Achieved",H79)))</formula>
    </cfRule>
  </conditionalFormatting>
  <conditionalFormatting sqref="H79:H128">
    <cfRule type="containsText" dxfId="3630" priority="886" operator="containsText" text="Update not Provided">
      <formula>NOT(ISERROR(SEARCH("Update not Provided",H79)))</formula>
    </cfRule>
    <cfRule type="containsText" dxfId="3629" priority="888" operator="containsText" text="Completed Behind Schedule">
      <formula>NOT(ISERROR(SEARCH("Completed Behind Schedule",H79)))</formula>
    </cfRule>
    <cfRule type="containsText" dxfId="3628" priority="889" operator="containsText" text="Off Target">
      <formula>NOT(ISERROR(SEARCH("Off Target",H79)))</formula>
    </cfRule>
    <cfRule type="containsText" dxfId="3627" priority="890" operator="containsText" text="In Danger of Falling Behind Target">
      <formula>NOT(ISERROR(SEARCH("In Danger of Falling Behind Target",H79)))</formula>
    </cfRule>
    <cfRule type="containsText" dxfId="3626" priority="891" operator="containsText" text="On Track to be Achieved">
      <formula>NOT(ISERROR(SEARCH("On Track to be Achieved",H79)))</formula>
    </cfRule>
    <cfRule type="containsText" dxfId="3625" priority="892" operator="containsText" text="Fully Achieved">
      <formula>NOT(ISERROR(SEARCH("Fully Achieved",H79)))</formula>
    </cfRule>
  </conditionalFormatting>
  <conditionalFormatting sqref="H79:H128">
    <cfRule type="containsText" dxfId="3624" priority="870" operator="containsText" text="Not Yet Due">
      <formula>NOT(ISERROR(SEARCH("Not Yet Due",H79)))</formula>
    </cfRule>
    <cfRule type="containsText" dxfId="3623" priority="876" operator="containsText" text="Deferred">
      <formula>NOT(ISERROR(SEARCH("Deferred",H79)))</formula>
    </cfRule>
    <cfRule type="containsText" dxfId="3622" priority="877" operator="containsText" text="Deleted">
      <formula>NOT(ISERROR(SEARCH("Deleted",H79)))</formula>
    </cfRule>
    <cfRule type="containsText" dxfId="3621" priority="882" operator="containsText" text="In Danger of Falling Behind Target">
      <formula>NOT(ISERROR(SEARCH("In Danger of Falling Behind Target",H79)))</formula>
    </cfRule>
    <cfRule type="containsText" dxfId="3620" priority="887" operator="containsText" text="Not yet due">
      <formula>NOT(ISERROR(SEARCH("Not yet due",H79)))</formula>
    </cfRule>
  </conditionalFormatting>
  <conditionalFormatting sqref="H79:H128">
    <cfRule type="containsText" dxfId="3619" priority="885" operator="containsText" text="Not yet due">
      <formula>NOT(ISERROR(SEARCH("Not yet due",H79)))</formula>
    </cfRule>
  </conditionalFormatting>
  <conditionalFormatting sqref="H79:H128">
    <cfRule type="containsText" dxfId="3618" priority="878" operator="containsText" text="Update not Provided">
      <formula>NOT(ISERROR(SEARCH("Update not Provided",H79)))</formula>
    </cfRule>
    <cfRule type="containsText" dxfId="3617" priority="879" operator="containsText" text="Not yet due">
      <formula>NOT(ISERROR(SEARCH("Not yet due",H79)))</formula>
    </cfRule>
    <cfRule type="containsText" dxfId="3616" priority="880" operator="containsText" text="Completed Behind Schedule">
      <formula>NOT(ISERROR(SEARCH("Completed Behind Schedule",H79)))</formula>
    </cfRule>
    <cfRule type="containsText" dxfId="3615" priority="881" operator="containsText" text="Off Target">
      <formula>NOT(ISERROR(SEARCH("Off Target",H79)))</formula>
    </cfRule>
    <cfRule type="containsText" dxfId="3614" priority="883" operator="containsText" text="On Track to be Achieved">
      <formula>NOT(ISERROR(SEARCH("On Track to be Achieved",H79)))</formula>
    </cfRule>
    <cfRule type="containsText" dxfId="3613" priority="884" operator="containsText" text="Fully Achieved">
      <formula>NOT(ISERROR(SEARCH("Fully Achieved",H79)))</formula>
    </cfRule>
  </conditionalFormatting>
  <conditionalFormatting sqref="H79:H128">
    <cfRule type="containsText" dxfId="3612" priority="871" operator="containsText" text="Deferred">
      <formula>NOT(ISERROR(SEARCH("Deferred",H79)))</formula>
    </cfRule>
    <cfRule type="containsText" dxfId="3611" priority="872" operator="containsText" text="Deleted">
      <formula>NOT(ISERROR(SEARCH("Deleted",H79)))</formula>
    </cfRule>
    <cfRule type="containsText" dxfId="3610" priority="873" operator="containsText" text="In Danger of Falling Behind Target">
      <formula>NOT(ISERROR(SEARCH("In Danger of Falling Behind Target",H79)))</formula>
    </cfRule>
    <cfRule type="containsText" dxfId="3609" priority="874" operator="containsText" text="Not yet due">
      <formula>NOT(ISERROR(SEARCH("Not yet due",H79)))</formula>
    </cfRule>
  </conditionalFormatting>
  <conditionalFormatting sqref="V79:V128">
    <cfRule type="containsText" dxfId="3608" priority="534" operator="containsText" text="Fully Achieved">
      <formula>NOT(ISERROR(SEARCH("Fully Achieved",V79)))</formula>
    </cfRule>
    <cfRule type="containsText" dxfId="3607" priority="535" operator="containsText" text="Fully Achieved">
      <formula>NOT(ISERROR(SEARCH("Fully Achieved",V79)))</formula>
    </cfRule>
  </conditionalFormatting>
  <conditionalFormatting sqref="V79:V128">
    <cfRule type="containsText" dxfId="3606" priority="527" operator="containsText" text="Update not Provided">
      <formula>NOT(ISERROR(SEARCH("Update not Provided",V79)))</formula>
    </cfRule>
    <cfRule type="containsText" dxfId="3605" priority="528" operator="containsText" text="Not yet due">
      <formula>NOT(ISERROR(SEARCH("Not yet due",V79)))</formula>
    </cfRule>
    <cfRule type="containsText" dxfId="3604" priority="529" operator="containsText" text="Completed Behind Schedule">
      <formula>NOT(ISERROR(SEARCH("Completed Behind Schedule",V79)))</formula>
    </cfRule>
    <cfRule type="containsText" dxfId="3603" priority="530" operator="containsText" text="Off Target">
      <formula>NOT(ISERROR(SEARCH("Off Target",V79)))</formula>
    </cfRule>
    <cfRule type="containsText" dxfId="3602" priority="531" operator="containsText" text="In Danger of Falling Behind Target">
      <formula>NOT(ISERROR(SEARCH("In Danger of Falling Behind Target",V79)))</formula>
    </cfRule>
    <cfRule type="containsText" dxfId="3601" priority="532" operator="containsText" text="On Track to be Achieved">
      <formula>NOT(ISERROR(SEARCH("On Track to be Achieved",V79)))</formula>
    </cfRule>
    <cfRule type="containsText" dxfId="3600" priority="533" operator="containsText" text="Fully Achieved">
      <formula>NOT(ISERROR(SEARCH("Fully Achieved",V79)))</formula>
    </cfRule>
  </conditionalFormatting>
  <conditionalFormatting sqref="V79:V128">
    <cfRule type="containsText" dxfId="3599" priority="520" operator="containsText" text="Update not Provided">
      <formula>NOT(ISERROR(SEARCH("Update not Provided",V79)))</formula>
    </cfRule>
    <cfRule type="containsText" dxfId="3598" priority="522" operator="containsText" text="Completed Behind Schedule">
      <formula>NOT(ISERROR(SEARCH("Completed Behind Schedule",V79)))</formula>
    </cfRule>
    <cfRule type="containsText" dxfId="3597" priority="523" operator="containsText" text="Off Target">
      <formula>NOT(ISERROR(SEARCH("Off Target",V79)))</formula>
    </cfRule>
    <cfRule type="containsText" dxfId="3596" priority="524" operator="containsText" text="In Danger of Falling Behind Target">
      <formula>NOT(ISERROR(SEARCH("In Danger of Falling Behind Target",V79)))</formula>
    </cfRule>
    <cfRule type="containsText" dxfId="3595" priority="525" operator="containsText" text="On Track to be Achieved">
      <formula>NOT(ISERROR(SEARCH("On Track to be Achieved",V79)))</formula>
    </cfRule>
    <cfRule type="containsText" dxfId="3594" priority="526" operator="containsText" text="Fully Achieved">
      <formula>NOT(ISERROR(SEARCH("Fully Achieved",V79)))</formula>
    </cfRule>
  </conditionalFormatting>
  <conditionalFormatting sqref="V79:V128">
    <cfRule type="containsText" dxfId="3593" priority="505" operator="containsText" text="Not Yet Due">
      <formula>NOT(ISERROR(SEARCH("Not Yet Due",V79)))</formula>
    </cfRule>
    <cfRule type="containsText" dxfId="3592" priority="510" operator="containsText" text="Deferred">
      <formula>NOT(ISERROR(SEARCH("Deferred",V79)))</formula>
    </cfRule>
    <cfRule type="containsText" dxfId="3591" priority="511" operator="containsText" text="Deleted">
      <formula>NOT(ISERROR(SEARCH("Deleted",V79)))</formula>
    </cfRule>
    <cfRule type="containsText" dxfId="3590" priority="516" operator="containsText" text="In Danger of Falling Behind Target">
      <formula>NOT(ISERROR(SEARCH("In Danger of Falling Behind Target",V79)))</formula>
    </cfRule>
    <cfRule type="containsText" dxfId="3589" priority="521" operator="containsText" text="Not yet due">
      <formula>NOT(ISERROR(SEARCH("Not yet due",V79)))</formula>
    </cfRule>
  </conditionalFormatting>
  <conditionalFormatting sqref="V79:V128">
    <cfRule type="containsText" dxfId="3588" priority="519" operator="containsText" text="Not yet due">
      <formula>NOT(ISERROR(SEARCH("Not yet due",V79)))</formula>
    </cfRule>
  </conditionalFormatting>
  <conditionalFormatting sqref="V79:V128">
    <cfRule type="containsText" dxfId="3587" priority="512" operator="containsText" text="Update not Provided">
      <formula>NOT(ISERROR(SEARCH("Update not Provided",V79)))</formula>
    </cfRule>
    <cfRule type="containsText" dxfId="3586" priority="513" operator="containsText" text="Not yet due">
      <formula>NOT(ISERROR(SEARCH("Not yet due",V79)))</formula>
    </cfRule>
    <cfRule type="containsText" dxfId="3585" priority="514" operator="containsText" text="Completed Behind Schedule">
      <formula>NOT(ISERROR(SEARCH("Completed Behind Schedule",V79)))</formula>
    </cfRule>
    <cfRule type="containsText" dxfId="3584" priority="515" operator="containsText" text="Off Target">
      <formula>NOT(ISERROR(SEARCH("Off Target",V79)))</formula>
    </cfRule>
    <cfRule type="containsText" dxfId="3583" priority="517" operator="containsText" text="On Track to be Achieved">
      <formula>NOT(ISERROR(SEARCH("On Track to be Achieved",V79)))</formula>
    </cfRule>
    <cfRule type="containsText" dxfId="3582" priority="518" operator="containsText" text="Fully Achieved">
      <formula>NOT(ISERROR(SEARCH("Fully Achieved",V79)))</formula>
    </cfRule>
  </conditionalFormatting>
  <conditionalFormatting sqref="V79:V128">
    <cfRule type="containsText" dxfId="3581" priority="506" operator="containsText" text="Deferred">
      <formula>NOT(ISERROR(SEARCH("Deferred",V79)))</formula>
    </cfRule>
    <cfRule type="containsText" dxfId="3580" priority="507" operator="containsText" text="Deleted">
      <formula>NOT(ISERROR(SEARCH("Deleted",V79)))</formula>
    </cfRule>
    <cfRule type="containsText" dxfId="3579" priority="508" operator="containsText" text="In Danger of Falling Behind Target">
      <formula>NOT(ISERROR(SEARCH("In Danger of Falling Behind Target",V79)))</formula>
    </cfRule>
    <cfRule type="containsText" dxfId="3578" priority="509" operator="containsText" text="Not yet due">
      <formula>NOT(ISERROR(SEARCH("Not yet due",V79)))</formula>
    </cfRule>
  </conditionalFormatting>
  <conditionalFormatting sqref="V65:V78">
    <cfRule type="containsText" dxfId="3577" priority="503" operator="containsText" text="Fully Achieved">
      <formula>NOT(ISERROR(SEARCH("Fully Achieved",V65)))</formula>
    </cfRule>
    <cfRule type="containsText" dxfId="3576" priority="504" operator="containsText" text="Fully Achieved">
      <formula>NOT(ISERROR(SEARCH("Fully Achieved",V65)))</formula>
    </cfRule>
  </conditionalFormatting>
  <conditionalFormatting sqref="V65:V78">
    <cfRule type="containsText" dxfId="3575" priority="496" operator="containsText" text="Update not Provided">
      <formula>NOT(ISERROR(SEARCH("Update not Provided",V65)))</formula>
    </cfRule>
    <cfRule type="containsText" dxfId="3574" priority="497" operator="containsText" text="Not yet due">
      <formula>NOT(ISERROR(SEARCH("Not yet due",V65)))</formula>
    </cfRule>
    <cfRule type="containsText" dxfId="3573" priority="498" operator="containsText" text="Completed Behind Schedule">
      <formula>NOT(ISERROR(SEARCH("Completed Behind Schedule",V65)))</formula>
    </cfRule>
    <cfRule type="containsText" dxfId="3572" priority="499" operator="containsText" text="Off Target">
      <formula>NOT(ISERROR(SEARCH("Off Target",V65)))</formula>
    </cfRule>
    <cfRule type="containsText" dxfId="3571" priority="500" operator="containsText" text="In Danger of Falling Behind Target">
      <formula>NOT(ISERROR(SEARCH("In Danger of Falling Behind Target",V65)))</formula>
    </cfRule>
    <cfRule type="containsText" dxfId="3570" priority="501" operator="containsText" text="On Track to be Achieved">
      <formula>NOT(ISERROR(SEARCH("On Track to be Achieved",V65)))</formula>
    </cfRule>
    <cfRule type="containsText" dxfId="3569" priority="502" operator="containsText" text="Fully Achieved">
      <formula>NOT(ISERROR(SEARCH("Fully Achieved",V65)))</formula>
    </cfRule>
  </conditionalFormatting>
  <conditionalFormatting sqref="V65:V78">
    <cfRule type="containsText" dxfId="3568" priority="489" operator="containsText" text="Update not Provided">
      <formula>NOT(ISERROR(SEARCH("Update not Provided",V65)))</formula>
    </cfRule>
    <cfRule type="containsText" dxfId="3567" priority="491" operator="containsText" text="Completed Behind Schedule">
      <formula>NOT(ISERROR(SEARCH("Completed Behind Schedule",V65)))</formula>
    </cfRule>
    <cfRule type="containsText" dxfId="3566" priority="492" operator="containsText" text="Off Target">
      <formula>NOT(ISERROR(SEARCH("Off Target",V65)))</formula>
    </cfRule>
    <cfRule type="containsText" dxfId="3565" priority="493" operator="containsText" text="In Danger of Falling Behind Target">
      <formula>NOT(ISERROR(SEARCH("In Danger of Falling Behind Target",V65)))</formula>
    </cfRule>
    <cfRule type="containsText" dxfId="3564" priority="494" operator="containsText" text="On Track to be Achieved">
      <formula>NOT(ISERROR(SEARCH("On Track to be Achieved",V65)))</formula>
    </cfRule>
    <cfRule type="containsText" dxfId="3563" priority="495" operator="containsText" text="Fully Achieved">
      <formula>NOT(ISERROR(SEARCH("Fully Achieved",V65)))</formula>
    </cfRule>
  </conditionalFormatting>
  <conditionalFormatting sqref="V65:V78">
    <cfRule type="containsText" dxfId="3562" priority="474" operator="containsText" text="Not Yet Due">
      <formula>NOT(ISERROR(SEARCH("Not Yet Due",V65)))</formula>
    </cfRule>
    <cfRule type="containsText" dxfId="3561" priority="479" operator="containsText" text="Deferred">
      <formula>NOT(ISERROR(SEARCH("Deferred",V65)))</formula>
    </cfRule>
    <cfRule type="containsText" dxfId="3560" priority="480" operator="containsText" text="Deleted">
      <formula>NOT(ISERROR(SEARCH("Deleted",V65)))</formula>
    </cfRule>
    <cfRule type="containsText" dxfId="3559" priority="485" operator="containsText" text="In Danger of Falling Behind Target">
      <formula>NOT(ISERROR(SEARCH("In Danger of Falling Behind Target",V65)))</formula>
    </cfRule>
    <cfRule type="containsText" dxfId="3558" priority="490" operator="containsText" text="Not yet due">
      <formula>NOT(ISERROR(SEARCH("Not yet due",V65)))</formula>
    </cfRule>
  </conditionalFormatting>
  <conditionalFormatting sqref="V65:V78">
    <cfRule type="containsText" dxfId="3557" priority="488" operator="containsText" text="Not yet due">
      <formula>NOT(ISERROR(SEARCH("Not yet due",V65)))</formula>
    </cfRule>
  </conditionalFormatting>
  <conditionalFormatting sqref="V65:V78">
    <cfRule type="containsText" dxfId="3556" priority="481" operator="containsText" text="Update not Provided">
      <formula>NOT(ISERROR(SEARCH("Update not Provided",V65)))</formula>
    </cfRule>
    <cfRule type="containsText" dxfId="3555" priority="482" operator="containsText" text="Not yet due">
      <formula>NOT(ISERROR(SEARCH("Not yet due",V65)))</formula>
    </cfRule>
    <cfRule type="containsText" dxfId="3554" priority="483" operator="containsText" text="Completed Behind Schedule">
      <formula>NOT(ISERROR(SEARCH("Completed Behind Schedule",V65)))</formula>
    </cfRule>
    <cfRule type="containsText" dxfId="3553" priority="484" operator="containsText" text="Off Target">
      <formula>NOT(ISERROR(SEARCH("Off Target",V65)))</formula>
    </cfRule>
    <cfRule type="containsText" dxfId="3552" priority="486" operator="containsText" text="On Track to be Achieved">
      <formula>NOT(ISERROR(SEARCH("On Track to be Achieved",V65)))</formula>
    </cfRule>
    <cfRule type="containsText" dxfId="3551" priority="487" operator="containsText" text="Fully Achieved">
      <formula>NOT(ISERROR(SEARCH("Fully Achieved",V65)))</formula>
    </cfRule>
  </conditionalFormatting>
  <conditionalFormatting sqref="V65:V78">
    <cfRule type="containsText" dxfId="3550" priority="475" operator="containsText" text="Deferred">
      <formula>NOT(ISERROR(SEARCH("Deferred",V65)))</formula>
    </cfRule>
    <cfRule type="containsText" dxfId="3549" priority="476" operator="containsText" text="Deleted">
      <formula>NOT(ISERROR(SEARCH("Deleted",V65)))</formula>
    </cfRule>
    <cfRule type="containsText" dxfId="3548" priority="477" operator="containsText" text="In Danger of Falling Behind Target">
      <formula>NOT(ISERROR(SEARCH("In Danger of Falling Behind Target",V65)))</formula>
    </cfRule>
    <cfRule type="containsText" dxfId="3547" priority="478" operator="containsText" text="Not yet due">
      <formula>NOT(ISERROR(SEARCH("Not yet due",V65)))</formula>
    </cfRule>
  </conditionalFormatting>
  <conditionalFormatting sqref="V107:V108 V5:V63">
    <cfRule type="containsText" dxfId="3546" priority="472" operator="containsText" text="Fully Achieved">
      <formula>NOT(ISERROR(SEARCH("Fully Achieved",V5)))</formula>
    </cfRule>
    <cfRule type="containsText" dxfId="3545" priority="473" operator="containsText" text="Fully Achieved">
      <formula>NOT(ISERROR(SEARCH("Fully Achieved",V5)))</formula>
    </cfRule>
  </conditionalFormatting>
  <conditionalFormatting sqref="V107:V108 V5:V63">
    <cfRule type="containsText" dxfId="3544" priority="465" operator="containsText" text="Update not Provided">
      <formula>NOT(ISERROR(SEARCH("Update not Provided",V5)))</formula>
    </cfRule>
    <cfRule type="containsText" dxfId="3543" priority="466" operator="containsText" text="Not yet due">
      <formula>NOT(ISERROR(SEARCH("Not yet due",V5)))</formula>
    </cfRule>
    <cfRule type="containsText" dxfId="3542" priority="467" operator="containsText" text="Completed Behind Schedule">
      <formula>NOT(ISERROR(SEARCH("Completed Behind Schedule",V5)))</formula>
    </cfRule>
    <cfRule type="containsText" dxfId="3541" priority="468" operator="containsText" text="Off Target">
      <formula>NOT(ISERROR(SEARCH("Off Target",V5)))</formula>
    </cfRule>
    <cfRule type="containsText" dxfId="3540" priority="469" operator="containsText" text="In Danger of Falling Behind Target">
      <formula>NOT(ISERROR(SEARCH("In Danger of Falling Behind Target",V5)))</formula>
    </cfRule>
    <cfRule type="containsText" dxfId="3539" priority="470" operator="containsText" text="On Track to be Achieved">
      <formula>NOT(ISERROR(SEARCH("On Track to be Achieved",V5)))</formula>
    </cfRule>
    <cfRule type="containsText" dxfId="3538" priority="471" operator="containsText" text="Fully Achieved">
      <formula>NOT(ISERROR(SEARCH("Fully Achieved",V5)))</formula>
    </cfRule>
  </conditionalFormatting>
  <conditionalFormatting sqref="V107:V108 V5:V63">
    <cfRule type="containsText" dxfId="3537" priority="458" operator="containsText" text="Update not Provided">
      <formula>NOT(ISERROR(SEARCH("Update not Provided",V5)))</formula>
    </cfRule>
    <cfRule type="containsText" dxfId="3536" priority="460" operator="containsText" text="Completed Behind Schedule">
      <formula>NOT(ISERROR(SEARCH("Completed Behind Schedule",V5)))</formula>
    </cfRule>
    <cfRule type="containsText" dxfId="3535" priority="461" operator="containsText" text="Off Target">
      <formula>NOT(ISERROR(SEARCH("Off Target",V5)))</formula>
    </cfRule>
    <cfRule type="containsText" dxfId="3534" priority="462" operator="containsText" text="In Danger of Falling Behind Target">
      <formula>NOT(ISERROR(SEARCH("In Danger of Falling Behind Target",V5)))</formula>
    </cfRule>
    <cfRule type="containsText" dxfId="3533" priority="463" operator="containsText" text="On Track to be Achieved">
      <formula>NOT(ISERROR(SEARCH("On Track to be Achieved",V5)))</formula>
    </cfRule>
    <cfRule type="containsText" dxfId="3532" priority="464" operator="containsText" text="Fully Achieved">
      <formula>NOT(ISERROR(SEARCH("Fully Achieved",V5)))</formula>
    </cfRule>
  </conditionalFormatting>
  <conditionalFormatting sqref="V107:V108 V5:V63">
    <cfRule type="containsText" dxfId="3531" priority="443" operator="containsText" text="Not Yet Due">
      <formula>NOT(ISERROR(SEARCH("Not Yet Due",V5)))</formula>
    </cfRule>
    <cfRule type="containsText" dxfId="3530" priority="448" operator="containsText" text="Deferred">
      <formula>NOT(ISERROR(SEARCH("Deferred",V5)))</formula>
    </cfRule>
    <cfRule type="containsText" dxfId="3529" priority="449" operator="containsText" text="Deleted">
      <formula>NOT(ISERROR(SEARCH("Deleted",V5)))</formula>
    </cfRule>
    <cfRule type="containsText" dxfId="3528" priority="454" operator="containsText" text="In Danger of Falling Behind Target">
      <formula>NOT(ISERROR(SEARCH("In Danger of Falling Behind Target",V5)))</formula>
    </cfRule>
    <cfRule type="containsText" dxfId="3527" priority="459" operator="containsText" text="Not yet due">
      <formula>NOT(ISERROR(SEARCH("Not yet due",V5)))</formula>
    </cfRule>
  </conditionalFormatting>
  <conditionalFormatting sqref="V107:V108 V5:V63">
    <cfRule type="containsText" dxfId="3526" priority="457" operator="containsText" text="Not yet due">
      <formula>NOT(ISERROR(SEARCH("Not yet due",V5)))</formula>
    </cfRule>
  </conditionalFormatting>
  <conditionalFormatting sqref="V107:V108 V5:V63">
    <cfRule type="containsText" dxfId="3525" priority="450" operator="containsText" text="Update not Provided">
      <formula>NOT(ISERROR(SEARCH("Update not Provided",V5)))</formula>
    </cfRule>
    <cfRule type="containsText" dxfId="3524" priority="451" operator="containsText" text="Not yet due">
      <formula>NOT(ISERROR(SEARCH("Not yet due",V5)))</formula>
    </cfRule>
    <cfRule type="containsText" dxfId="3523" priority="452" operator="containsText" text="Completed Behind Schedule">
      <formula>NOT(ISERROR(SEARCH("Completed Behind Schedule",V5)))</formula>
    </cfRule>
    <cfRule type="containsText" dxfId="3522" priority="453" operator="containsText" text="Off Target">
      <formula>NOT(ISERROR(SEARCH("Off Target",V5)))</formula>
    </cfRule>
    <cfRule type="containsText" dxfId="3521" priority="455" operator="containsText" text="On Track to be Achieved">
      <formula>NOT(ISERROR(SEARCH("On Track to be Achieved",V5)))</formula>
    </cfRule>
    <cfRule type="containsText" dxfId="3520" priority="456" operator="containsText" text="Fully Achieved">
      <formula>NOT(ISERROR(SEARCH("Fully Achieved",V5)))</formula>
    </cfRule>
  </conditionalFormatting>
  <conditionalFormatting sqref="V107:V108 V5:V63">
    <cfRule type="containsText" dxfId="3519" priority="444" operator="containsText" text="Deferred">
      <formula>NOT(ISERROR(SEARCH("Deferred",V5)))</formula>
    </cfRule>
    <cfRule type="containsText" dxfId="3518" priority="445" operator="containsText" text="Deleted">
      <formula>NOT(ISERROR(SEARCH("Deleted",V5)))</formula>
    </cfRule>
    <cfRule type="containsText" dxfId="3517" priority="446" operator="containsText" text="In Danger of Falling Behind Target">
      <formula>NOT(ISERROR(SEARCH("In Danger of Falling Behind Target",V5)))</formula>
    </cfRule>
    <cfRule type="containsText" dxfId="3516" priority="447" operator="containsText" text="Not yet due">
      <formula>NOT(ISERROR(SEARCH("Not yet due",V5)))</formula>
    </cfRule>
  </conditionalFormatting>
  <conditionalFormatting sqref="V4:V128">
    <cfRule type="containsText" dxfId="3515" priority="287" operator="containsText" text="Target Partially Met">
      <formula>NOT(ISERROR(SEARCH("Target Partially Met",V4)))</formula>
    </cfRule>
    <cfRule type="containsText" dxfId="3514" priority="1297" operator="containsText" text="Deleted">
      <formula>NOT(ISERROR(SEARCH("Deleted",V4)))</formula>
    </cfRule>
    <cfRule type="containsText" dxfId="3513" priority="1298" operator="containsText" text="Deferred">
      <formula>NOT(ISERROR(SEARCH("Deferred",V4)))</formula>
    </cfRule>
    <cfRule type="containsText" dxfId="3512" priority="1299" operator="containsText" text="Completion Date Within Reasonable Tolerance">
      <formula>NOT(ISERROR(SEARCH("Completion Date Within Reasonable Tolerance",V4)))</formula>
    </cfRule>
    <cfRule type="containsText" dxfId="3511" priority="1300" operator="containsText" text="Completed Significantly After Target Deadline">
      <formula>NOT(ISERROR(SEARCH("Completed Significantly After Target Deadline",V4)))</formula>
    </cfRule>
    <cfRule type="containsText" dxfId="3510" priority="1776" operator="containsText" text="Numerical Outturn Within 10% Tolerance">
      <formula>NOT(ISERROR(SEARCH("Numerical Outturn Within 10% Tolerance",V4)))</formula>
    </cfRule>
    <cfRule type="containsText" dxfId="3509" priority="1777" operator="containsText" text="Numerical Outturn Within 5% Tolerance">
      <formula>NOT(ISERROR(SEARCH("Numerical Outturn Within 5% Tolerance",V4)))</formula>
    </cfRule>
    <cfRule type="containsText" dxfId="3508" priority="1778" operator="containsText" text="Target Achieved / Exceeded">
      <formula>NOT(ISERROR(SEARCH("Target Achieved / Exceeded",V4)))</formula>
    </cfRule>
    <cfRule type="containsText" dxfId="3507" priority="1779" operator="containsText" text="Full Update Not Yet Available">
      <formula>NOT(ISERROR(SEARCH("Full Update Not Yet Available",V4)))</formula>
    </cfRule>
    <cfRule type="containsText" dxfId="3506" priority="1780" operator="containsText" text="Full Update Not Yet Available">
      <formula>NOT(ISERROR(SEARCH("Full Update Not Yet Available",V4)))</formula>
    </cfRule>
    <cfRule type="containsText" dxfId="3505" priority="1783" operator="containsText" text="Update not Provided">
      <formula>NOT(ISERROR(SEARCH("Update not Provided",V4)))</formula>
    </cfRule>
    <cfRule type="containsText" dxfId="3504" priority="1784" operator="containsText" text="Not yet due">
      <formula>NOT(ISERROR(SEARCH("Not yet due",V4)))</formula>
    </cfRule>
    <cfRule type="containsText" dxfId="3503" priority="1785" operator="containsText" text="Completed Behind Schedule">
      <formula>NOT(ISERROR(SEARCH("Completed Behind Schedule",V4)))</formula>
    </cfRule>
    <cfRule type="containsText" dxfId="3502" priority="1786" operator="containsText" text="Off Target">
      <formula>NOT(ISERROR(SEARCH("Off Target",V4)))</formula>
    </cfRule>
    <cfRule type="containsText" dxfId="3501" priority="1787" operator="containsText" text="In Danger of Falling Behind Target">
      <formula>NOT(ISERROR(SEARCH("In Danger of Falling Behind Target",V4)))</formula>
    </cfRule>
    <cfRule type="containsText" dxfId="3500" priority="1788" operator="containsText" text="On Track to be Achieved">
      <formula>NOT(ISERROR(SEARCH("On Track to be Achieved",V4)))</formula>
    </cfRule>
    <cfRule type="containsText" dxfId="3499" priority="1789" operator="containsText" text="Fully Achieved">
      <formula>NOT(ISERROR(SEARCH("Fully Achieved",V4)))</formula>
    </cfRule>
    <cfRule type="containsText" dxfId="3498" priority="1790" operator="containsText" text="Fully Achieved">
      <formula>NOT(ISERROR(SEARCH("Fully Achieved",V4)))</formula>
    </cfRule>
    <cfRule type="containsText" dxfId="3497" priority="1791" operator="containsText" text="Fully Achieved">
      <formula>NOT(ISERROR(SEARCH("Fully Achieved",V4)))</formula>
    </cfRule>
  </conditionalFormatting>
  <conditionalFormatting sqref="M72 M83 M86:M87 M103 M107 M109 M123 M5:M63">
    <cfRule type="containsText" dxfId="3496" priority="204" operator="containsText" text="Fully Achieved">
      <formula>NOT(ISERROR(SEARCH("Fully Achieved",M5)))</formula>
    </cfRule>
    <cfRule type="containsText" dxfId="3495" priority="205" operator="containsText" text="Fully Achieved">
      <formula>NOT(ISERROR(SEARCH("Fully Achieved",M5)))</formula>
    </cfRule>
  </conditionalFormatting>
  <conditionalFormatting sqref="M72 M83 M86:M87 M103 M107 M109 M123 M5:M63">
    <cfRule type="containsText" dxfId="3494" priority="197" operator="containsText" text="Update not Provided">
      <formula>NOT(ISERROR(SEARCH("Update not Provided",M5)))</formula>
    </cfRule>
    <cfRule type="containsText" dxfId="3493" priority="198" operator="containsText" text="Not yet due">
      <formula>NOT(ISERROR(SEARCH("Not yet due",M5)))</formula>
    </cfRule>
    <cfRule type="containsText" dxfId="3492" priority="199" operator="containsText" text="Completed Behind Schedule">
      <formula>NOT(ISERROR(SEARCH("Completed Behind Schedule",M5)))</formula>
    </cfRule>
    <cfRule type="containsText" dxfId="3491" priority="200" operator="containsText" text="Off Target">
      <formula>NOT(ISERROR(SEARCH("Off Target",M5)))</formula>
    </cfRule>
    <cfRule type="containsText" dxfId="3490" priority="201" operator="containsText" text="In Danger of Falling Behind Target">
      <formula>NOT(ISERROR(SEARCH("In Danger of Falling Behind Target",M5)))</formula>
    </cfRule>
    <cfRule type="containsText" dxfId="3489" priority="202" operator="containsText" text="On Track to be Achieved">
      <formula>NOT(ISERROR(SEARCH("On Track to be Achieved",M5)))</formula>
    </cfRule>
    <cfRule type="containsText" dxfId="3488" priority="203" operator="containsText" text="Fully Achieved">
      <formula>NOT(ISERROR(SEARCH("Fully Achieved",M5)))</formula>
    </cfRule>
  </conditionalFormatting>
  <conditionalFormatting sqref="M72 M83 M86:M87 M103 M107 M109 M123 M5:M63">
    <cfRule type="containsText" dxfId="3487" priority="181" operator="containsText" text="Not Yet Due">
      <formula>NOT(ISERROR(SEARCH("Not Yet Due",M5)))</formula>
    </cfRule>
    <cfRule type="containsText" dxfId="3486" priority="186" operator="containsText" text="Deferred">
      <formula>NOT(ISERROR(SEARCH("Deferred",M5)))</formula>
    </cfRule>
    <cfRule type="containsText" dxfId="3485" priority="187" operator="containsText" text="Deleted">
      <formula>NOT(ISERROR(SEARCH("Deleted",M5)))</formula>
    </cfRule>
    <cfRule type="containsText" dxfId="3484" priority="192" operator="containsText" text="In Danger of Falling Behind Target">
      <formula>NOT(ISERROR(SEARCH("In Danger of Falling Behind Target",M5)))</formula>
    </cfRule>
    <cfRule type="containsText" dxfId="3483" priority="196" operator="containsText" text="Not yet due">
      <formula>NOT(ISERROR(SEARCH("Not yet due",M5)))</formula>
    </cfRule>
  </conditionalFormatting>
  <conditionalFormatting sqref="M72 M83 M86:M87 M103 M107 M109 M123 M5:M63">
    <cfRule type="containsText" dxfId="3482" priority="195" operator="containsText" text="Not yet due">
      <formula>NOT(ISERROR(SEARCH("Not yet due",M5)))</formula>
    </cfRule>
  </conditionalFormatting>
  <conditionalFormatting sqref="M72 M83 M86:M87 M103 M107 M109 M123 M5:M63">
    <cfRule type="containsText" dxfId="3481" priority="188" operator="containsText" text="Update not Provided">
      <formula>NOT(ISERROR(SEARCH("Update not Provided",M5)))</formula>
    </cfRule>
    <cfRule type="containsText" dxfId="3480" priority="189" operator="containsText" text="Not yet due">
      <formula>NOT(ISERROR(SEARCH("Not yet due",M5)))</formula>
    </cfRule>
    <cfRule type="containsText" dxfId="3479" priority="190" operator="containsText" text="Completed Behind Schedule">
      <formula>NOT(ISERROR(SEARCH("Completed Behind Schedule",M5)))</formula>
    </cfRule>
    <cfRule type="containsText" dxfId="3478" priority="191" operator="containsText" text="Off Target">
      <formula>NOT(ISERROR(SEARCH("Off Target",M5)))</formula>
    </cfRule>
    <cfRule type="containsText" dxfId="3477" priority="193" operator="containsText" text="On Track to be Achieved">
      <formula>NOT(ISERROR(SEARCH("On Track to be Achieved",M5)))</formula>
    </cfRule>
    <cfRule type="containsText" dxfId="3476" priority="194" operator="containsText" text="Fully Achieved">
      <formula>NOT(ISERROR(SEARCH("Fully Achieved",M5)))</formula>
    </cfRule>
  </conditionalFormatting>
  <conditionalFormatting sqref="M72 M83 M86:M87 M103 M107 M109 M123 M5:M63">
    <cfRule type="containsText" dxfId="3475" priority="182" operator="containsText" text="Deferred">
      <formula>NOT(ISERROR(SEARCH("Deferred",M5)))</formula>
    </cfRule>
    <cfRule type="containsText" dxfId="3474" priority="183" operator="containsText" text="Deleted">
      <formula>NOT(ISERROR(SEARCH("Deleted",M5)))</formula>
    </cfRule>
    <cfRule type="containsText" dxfId="3473" priority="184" operator="containsText" text="In Danger of Falling Behind Target">
      <formula>NOT(ISERROR(SEARCH("In Danger of Falling Behind Target",M5)))</formula>
    </cfRule>
    <cfRule type="containsText" dxfId="3472" priority="185" operator="containsText" text="Not yet due">
      <formula>NOT(ISERROR(SEARCH("Not yet due",M5)))</formula>
    </cfRule>
  </conditionalFormatting>
  <conditionalFormatting sqref="M64:M71 M73:M78">
    <cfRule type="containsText" dxfId="3471" priority="179" operator="containsText" text="Fully Achieved">
      <formula>NOT(ISERROR(SEARCH("Fully Achieved",M64)))</formula>
    </cfRule>
    <cfRule type="containsText" dxfId="3470" priority="180" operator="containsText" text="Fully Achieved">
      <formula>NOT(ISERROR(SEARCH("Fully Achieved",M64)))</formula>
    </cfRule>
  </conditionalFormatting>
  <conditionalFormatting sqref="M64:M71 M73:M78">
    <cfRule type="containsText" dxfId="3469" priority="172" operator="containsText" text="Update not Provided">
      <formula>NOT(ISERROR(SEARCH("Update not Provided",M64)))</formula>
    </cfRule>
    <cfRule type="containsText" dxfId="3468" priority="173" operator="containsText" text="Not yet due">
      <formula>NOT(ISERROR(SEARCH("Not yet due",M64)))</formula>
    </cfRule>
    <cfRule type="containsText" dxfId="3467" priority="174" operator="containsText" text="Completed Behind Schedule">
      <formula>NOT(ISERROR(SEARCH("Completed Behind Schedule",M64)))</formula>
    </cfRule>
    <cfRule type="containsText" dxfId="3466" priority="175" operator="containsText" text="Off Target">
      <formula>NOT(ISERROR(SEARCH("Off Target",M64)))</formula>
    </cfRule>
    <cfRule type="containsText" dxfId="3465" priority="176" operator="containsText" text="In Danger of Falling Behind Target">
      <formula>NOT(ISERROR(SEARCH("In Danger of Falling Behind Target",M64)))</formula>
    </cfRule>
    <cfRule type="containsText" dxfId="3464" priority="177" operator="containsText" text="On Track to be Achieved">
      <formula>NOT(ISERROR(SEARCH("On Track to be Achieved",M64)))</formula>
    </cfRule>
    <cfRule type="containsText" dxfId="3463" priority="178" operator="containsText" text="Fully Achieved">
      <formula>NOT(ISERROR(SEARCH("Fully Achieved",M64)))</formula>
    </cfRule>
  </conditionalFormatting>
  <conditionalFormatting sqref="M64:M71 M73:M78">
    <cfRule type="containsText" dxfId="3462" priority="165" operator="containsText" text="Update not Provided">
      <formula>NOT(ISERROR(SEARCH("Update not Provided",M64)))</formula>
    </cfRule>
    <cfRule type="containsText" dxfId="3461" priority="167" operator="containsText" text="Completed Behind Schedule">
      <formula>NOT(ISERROR(SEARCH("Completed Behind Schedule",M64)))</formula>
    </cfRule>
    <cfRule type="containsText" dxfId="3460" priority="168" operator="containsText" text="Off Target">
      <formula>NOT(ISERROR(SEARCH("Off Target",M64)))</formula>
    </cfRule>
    <cfRule type="containsText" dxfId="3459" priority="169" operator="containsText" text="In Danger of Falling Behind Target">
      <formula>NOT(ISERROR(SEARCH("In Danger of Falling Behind Target",M64)))</formula>
    </cfRule>
    <cfRule type="containsText" dxfId="3458" priority="170" operator="containsText" text="On Track to be Achieved">
      <formula>NOT(ISERROR(SEARCH("On Track to be Achieved",M64)))</formula>
    </cfRule>
    <cfRule type="containsText" dxfId="3457" priority="171" operator="containsText" text="Fully Achieved">
      <formula>NOT(ISERROR(SEARCH("Fully Achieved",M64)))</formula>
    </cfRule>
  </conditionalFormatting>
  <conditionalFormatting sqref="M64:M71 M73:M78">
    <cfRule type="containsText" dxfId="3456" priority="150" operator="containsText" text="Not Yet Due">
      <formula>NOT(ISERROR(SEARCH("Not Yet Due",M64)))</formula>
    </cfRule>
    <cfRule type="containsText" dxfId="3455" priority="155" operator="containsText" text="Deferred">
      <formula>NOT(ISERROR(SEARCH("Deferred",M64)))</formula>
    </cfRule>
    <cfRule type="containsText" dxfId="3454" priority="156" operator="containsText" text="Deleted">
      <formula>NOT(ISERROR(SEARCH("Deleted",M64)))</formula>
    </cfRule>
    <cfRule type="containsText" dxfId="3453" priority="161" operator="containsText" text="In Danger of Falling Behind Target">
      <formula>NOT(ISERROR(SEARCH("In Danger of Falling Behind Target",M64)))</formula>
    </cfRule>
    <cfRule type="containsText" dxfId="3452" priority="166" operator="containsText" text="Not yet due">
      <formula>NOT(ISERROR(SEARCH("Not yet due",M64)))</formula>
    </cfRule>
  </conditionalFormatting>
  <conditionalFormatting sqref="M64:M71 M73:M78">
    <cfRule type="containsText" dxfId="3451" priority="164" operator="containsText" text="Not yet due">
      <formula>NOT(ISERROR(SEARCH("Not yet due",M64)))</formula>
    </cfRule>
  </conditionalFormatting>
  <conditionalFormatting sqref="M64:M71 M73:M78">
    <cfRule type="containsText" dxfId="3450" priority="157" operator="containsText" text="Update not Provided">
      <formula>NOT(ISERROR(SEARCH("Update not Provided",M64)))</formula>
    </cfRule>
    <cfRule type="containsText" dxfId="3449" priority="158" operator="containsText" text="Not yet due">
      <formula>NOT(ISERROR(SEARCH("Not yet due",M64)))</formula>
    </cfRule>
    <cfRule type="containsText" dxfId="3448" priority="159" operator="containsText" text="Completed Behind Schedule">
      <formula>NOT(ISERROR(SEARCH("Completed Behind Schedule",M64)))</formula>
    </cfRule>
    <cfRule type="containsText" dxfId="3447" priority="160" operator="containsText" text="Off Target">
      <formula>NOT(ISERROR(SEARCH("Off Target",M64)))</formula>
    </cfRule>
    <cfRule type="containsText" dxfId="3446" priority="162" operator="containsText" text="On Track to be Achieved">
      <formula>NOT(ISERROR(SEARCH("On Track to be Achieved",M64)))</formula>
    </cfRule>
    <cfRule type="containsText" dxfId="3445" priority="163" operator="containsText" text="Fully Achieved">
      <formula>NOT(ISERROR(SEARCH("Fully Achieved",M64)))</formula>
    </cfRule>
  </conditionalFormatting>
  <conditionalFormatting sqref="M64:M71 M73:M78">
    <cfRule type="containsText" dxfId="3444" priority="151" operator="containsText" text="Deferred">
      <formula>NOT(ISERROR(SEARCH("Deferred",M64)))</formula>
    </cfRule>
    <cfRule type="containsText" dxfId="3443" priority="152" operator="containsText" text="Deleted">
      <formula>NOT(ISERROR(SEARCH("Deleted",M64)))</formula>
    </cfRule>
    <cfRule type="containsText" dxfId="3442" priority="153" operator="containsText" text="In Danger of Falling Behind Target">
      <formula>NOT(ISERROR(SEARCH("In Danger of Falling Behind Target",M64)))</formula>
    </cfRule>
    <cfRule type="containsText" dxfId="3441" priority="154" operator="containsText" text="Not yet due">
      <formula>NOT(ISERROR(SEARCH("Not yet due",M64)))</formula>
    </cfRule>
  </conditionalFormatting>
  <conditionalFormatting sqref="M79:M82 M84:M85 M88:M102 M104:M106 M108 M110:M122 M124:M128">
    <cfRule type="containsText" dxfId="3440" priority="148" operator="containsText" text="Fully Achieved">
      <formula>NOT(ISERROR(SEARCH("Fully Achieved",M79)))</formula>
    </cfRule>
    <cfRule type="containsText" dxfId="3439" priority="149" operator="containsText" text="Fully Achieved">
      <formula>NOT(ISERROR(SEARCH("Fully Achieved",M79)))</formula>
    </cfRule>
  </conditionalFormatting>
  <conditionalFormatting sqref="M79:M82 M84:M85 M88:M102 M104:M106 M108 M110:M122 M124:M128">
    <cfRule type="containsText" dxfId="3438" priority="141" operator="containsText" text="Update not Provided">
      <formula>NOT(ISERROR(SEARCH("Update not Provided",M79)))</formula>
    </cfRule>
    <cfRule type="containsText" dxfId="3437" priority="142" operator="containsText" text="Not yet due">
      <formula>NOT(ISERROR(SEARCH("Not yet due",M79)))</formula>
    </cfRule>
    <cfRule type="containsText" dxfId="3436" priority="143" operator="containsText" text="Completed Behind Schedule">
      <formula>NOT(ISERROR(SEARCH("Completed Behind Schedule",M79)))</formula>
    </cfRule>
    <cfRule type="containsText" dxfId="3435" priority="144" operator="containsText" text="Off Target">
      <formula>NOT(ISERROR(SEARCH("Off Target",M79)))</formula>
    </cfRule>
    <cfRule type="containsText" dxfId="3434" priority="145" operator="containsText" text="In Danger of Falling Behind Target">
      <formula>NOT(ISERROR(SEARCH("In Danger of Falling Behind Target",M79)))</formula>
    </cfRule>
    <cfRule type="containsText" dxfId="3433" priority="146" operator="containsText" text="On Track to be Achieved">
      <formula>NOT(ISERROR(SEARCH("On Track to be Achieved",M79)))</formula>
    </cfRule>
    <cfRule type="containsText" dxfId="3432" priority="147" operator="containsText" text="Fully Achieved">
      <formula>NOT(ISERROR(SEARCH("Fully Achieved",M79)))</formula>
    </cfRule>
  </conditionalFormatting>
  <conditionalFormatting sqref="M79:M82 M84:M85 M88:M102 M104:M106 M108 M110:M122 M124:M128">
    <cfRule type="containsText" dxfId="3431" priority="134" operator="containsText" text="Update not Provided">
      <formula>NOT(ISERROR(SEARCH("Update not Provided",M79)))</formula>
    </cfRule>
    <cfRule type="containsText" dxfId="3430" priority="136" operator="containsText" text="Completed Behind Schedule">
      <formula>NOT(ISERROR(SEARCH("Completed Behind Schedule",M79)))</formula>
    </cfRule>
    <cfRule type="containsText" dxfId="3429" priority="137" operator="containsText" text="Off Target">
      <formula>NOT(ISERROR(SEARCH("Off Target",M79)))</formula>
    </cfRule>
    <cfRule type="containsText" dxfId="3428" priority="138" operator="containsText" text="In Danger of Falling Behind Target">
      <formula>NOT(ISERROR(SEARCH("In Danger of Falling Behind Target",M79)))</formula>
    </cfRule>
    <cfRule type="containsText" dxfId="3427" priority="139" operator="containsText" text="On Track to be Achieved">
      <formula>NOT(ISERROR(SEARCH("On Track to be Achieved",M79)))</formula>
    </cfRule>
    <cfRule type="containsText" dxfId="3426" priority="140" operator="containsText" text="Fully Achieved">
      <formula>NOT(ISERROR(SEARCH("Fully Achieved",M79)))</formula>
    </cfRule>
  </conditionalFormatting>
  <conditionalFormatting sqref="M79:M82 M84:M85 M88:M102 M104:M106 M108 M110:M122 M124:M128">
    <cfRule type="containsText" dxfId="3425" priority="119" operator="containsText" text="Not Yet Due">
      <formula>NOT(ISERROR(SEARCH("Not Yet Due",M79)))</formula>
    </cfRule>
    <cfRule type="containsText" dxfId="3424" priority="124" operator="containsText" text="Deferred">
      <formula>NOT(ISERROR(SEARCH("Deferred",M79)))</formula>
    </cfRule>
    <cfRule type="containsText" dxfId="3423" priority="125" operator="containsText" text="Deleted">
      <formula>NOT(ISERROR(SEARCH("Deleted",M79)))</formula>
    </cfRule>
    <cfRule type="containsText" dxfId="3422" priority="130" operator="containsText" text="In Danger of Falling Behind Target">
      <formula>NOT(ISERROR(SEARCH("In Danger of Falling Behind Target",M79)))</formula>
    </cfRule>
    <cfRule type="containsText" dxfId="3421" priority="135" operator="containsText" text="Not yet due">
      <formula>NOT(ISERROR(SEARCH("Not yet due",M79)))</formula>
    </cfRule>
  </conditionalFormatting>
  <conditionalFormatting sqref="M79:M82 M84:M85 M88:M102 M104:M106 M108 M110:M122 M124:M128">
    <cfRule type="containsText" dxfId="3420" priority="133" operator="containsText" text="Not yet due">
      <formula>NOT(ISERROR(SEARCH("Not yet due",M79)))</formula>
    </cfRule>
  </conditionalFormatting>
  <conditionalFormatting sqref="M79:M82 M84:M85 M88:M102 M104:M106 M108 M110:M122 M124:M128">
    <cfRule type="containsText" dxfId="3419" priority="126" operator="containsText" text="Update not Provided">
      <formula>NOT(ISERROR(SEARCH("Update not Provided",M79)))</formula>
    </cfRule>
    <cfRule type="containsText" dxfId="3418" priority="127" operator="containsText" text="Not yet due">
      <formula>NOT(ISERROR(SEARCH("Not yet due",M79)))</formula>
    </cfRule>
    <cfRule type="containsText" dxfId="3417" priority="128" operator="containsText" text="Completed Behind Schedule">
      <formula>NOT(ISERROR(SEARCH("Completed Behind Schedule",M79)))</formula>
    </cfRule>
    <cfRule type="containsText" dxfId="3416" priority="129" operator="containsText" text="Off Target">
      <formula>NOT(ISERROR(SEARCH("Off Target",M79)))</formula>
    </cfRule>
    <cfRule type="containsText" dxfId="3415" priority="131" operator="containsText" text="On Track to be Achieved">
      <formula>NOT(ISERROR(SEARCH("On Track to be Achieved",M79)))</formula>
    </cfRule>
    <cfRule type="containsText" dxfId="3414" priority="132" operator="containsText" text="Fully Achieved">
      <formula>NOT(ISERROR(SEARCH("Fully Achieved",M79)))</formula>
    </cfRule>
  </conditionalFormatting>
  <conditionalFormatting sqref="M79:M82 M84:M85 M88:M102 M104:M106 M108 M110:M122 M124:M128">
    <cfRule type="containsText" dxfId="3413" priority="120" operator="containsText" text="Deferred">
      <formula>NOT(ISERROR(SEARCH("Deferred",M79)))</formula>
    </cfRule>
    <cfRule type="containsText" dxfId="3412" priority="121" operator="containsText" text="Deleted">
      <formula>NOT(ISERROR(SEARCH("Deleted",M79)))</formula>
    </cfRule>
    <cfRule type="containsText" dxfId="3411" priority="122" operator="containsText" text="In Danger of Falling Behind Target">
      <formula>NOT(ISERROR(SEARCH("In Danger of Falling Behind Target",M79)))</formula>
    </cfRule>
    <cfRule type="containsText" dxfId="3410" priority="123" operator="containsText" text="Not yet due">
      <formula>NOT(ISERROR(SEARCH("Not yet due",M79)))</formula>
    </cfRule>
  </conditionalFormatting>
  <conditionalFormatting sqref="R5:R62">
    <cfRule type="containsText" dxfId="3409" priority="117" operator="containsText" text="Fully Achieved">
      <formula>NOT(ISERROR(SEARCH("Fully Achieved",R5)))</formula>
    </cfRule>
    <cfRule type="containsText" dxfId="3408" priority="118" operator="containsText" text="Fully Achieved">
      <formula>NOT(ISERROR(SEARCH("Fully Achieved",R5)))</formula>
    </cfRule>
  </conditionalFormatting>
  <conditionalFormatting sqref="R5:R62">
    <cfRule type="containsText" dxfId="3407" priority="110" operator="containsText" text="Update not Provided">
      <formula>NOT(ISERROR(SEARCH("Update not Provided",R5)))</formula>
    </cfRule>
    <cfRule type="containsText" dxfId="3406" priority="111" operator="containsText" text="Not yet due">
      <formula>NOT(ISERROR(SEARCH("Not yet due",R5)))</formula>
    </cfRule>
    <cfRule type="containsText" dxfId="3405" priority="112" operator="containsText" text="Completed Behind Schedule">
      <formula>NOT(ISERROR(SEARCH("Completed Behind Schedule",R5)))</formula>
    </cfRule>
    <cfRule type="containsText" dxfId="3404" priority="113" operator="containsText" text="Off Target">
      <formula>NOT(ISERROR(SEARCH("Off Target",R5)))</formula>
    </cfRule>
    <cfRule type="containsText" dxfId="3403" priority="114" operator="containsText" text="In Danger of Falling Behind Target">
      <formula>NOT(ISERROR(SEARCH("In Danger of Falling Behind Target",R5)))</formula>
    </cfRule>
    <cfRule type="containsText" dxfId="3402" priority="115" operator="containsText" text="On Track to be Achieved">
      <formula>NOT(ISERROR(SEARCH("On Track to be Achieved",R5)))</formula>
    </cfRule>
    <cfRule type="containsText" dxfId="3401" priority="116" operator="containsText" text="Fully Achieved">
      <formula>NOT(ISERROR(SEARCH("Fully Achieved",R5)))</formula>
    </cfRule>
  </conditionalFormatting>
  <conditionalFormatting sqref="R5:R62">
    <cfRule type="containsText" dxfId="3400" priority="94" operator="containsText" text="Not Yet Due">
      <formula>NOT(ISERROR(SEARCH("Not Yet Due",R5)))</formula>
    </cfRule>
    <cfRule type="containsText" dxfId="3399" priority="99" operator="containsText" text="Deferred">
      <formula>NOT(ISERROR(SEARCH("Deferred",R5)))</formula>
    </cfRule>
    <cfRule type="containsText" dxfId="3398" priority="100" operator="containsText" text="Deleted">
      <formula>NOT(ISERROR(SEARCH("Deleted",R5)))</formula>
    </cfRule>
    <cfRule type="containsText" dxfId="3397" priority="105" operator="containsText" text="In Danger of Falling Behind Target">
      <formula>NOT(ISERROR(SEARCH("In Danger of Falling Behind Target",R5)))</formula>
    </cfRule>
    <cfRule type="containsText" dxfId="3396" priority="109" operator="containsText" text="Not yet due">
      <formula>NOT(ISERROR(SEARCH("Not yet due",R5)))</formula>
    </cfRule>
  </conditionalFormatting>
  <conditionalFormatting sqref="R5:R62">
    <cfRule type="containsText" dxfId="3395" priority="108" operator="containsText" text="Not yet due">
      <formula>NOT(ISERROR(SEARCH("Not yet due",R5)))</formula>
    </cfRule>
  </conditionalFormatting>
  <conditionalFormatting sqref="R5:R62">
    <cfRule type="containsText" dxfId="3394" priority="101" operator="containsText" text="Update not Provided">
      <formula>NOT(ISERROR(SEARCH("Update not Provided",R5)))</formula>
    </cfRule>
    <cfRule type="containsText" dxfId="3393" priority="102" operator="containsText" text="Not yet due">
      <formula>NOT(ISERROR(SEARCH("Not yet due",R5)))</formula>
    </cfRule>
    <cfRule type="containsText" dxfId="3392" priority="103" operator="containsText" text="Completed Behind Schedule">
      <formula>NOT(ISERROR(SEARCH("Completed Behind Schedule",R5)))</formula>
    </cfRule>
    <cfRule type="containsText" dxfId="3391" priority="104" operator="containsText" text="Off Target">
      <formula>NOT(ISERROR(SEARCH("Off Target",R5)))</formula>
    </cfRule>
    <cfRule type="containsText" dxfId="3390" priority="106" operator="containsText" text="On Track to be Achieved">
      <formula>NOT(ISERROR(SEARCH("On Track to be Achieved",R5)))</formula>
    </cfRule>
    <cfRule type="containsText" dxfId="3389" priority="107" operator="containsText" text="Fully Achieved">
      <formula>NOT(ISERROR(SEARCH("Fully Achieved",R5)))</formula>
    </cfRule>
  </conditionalFormatting>
  <conditionalFormatting sqref="R5:R62">
    <cfRule type="containsText" dxfId="3388" priority="95" operator="containsText" text="Deferred">
      <formula>NOT(ISERROR(SEARCH("Deferred",R5)))</formula>
    </cfRule>
    <cfRule type="containsText" dxfId="3387" priority="96" operator="containsText" text="Deleted">
      <formula>NOT(ISERROR(SEARCH("Deleted",R5)))</formula>
    </cfRule>
    <cfRule type="containsText" dxfId="3386" priority="97" operator="containsText" text="In Danger of Falling Behind Target">
      <formula>NOT(ISERROR(SEARCH("In Danger of Falling Behind Target",R5)))</formula>
    </cfRule>
    <cfRule type="containsText" dxfId="3385" priority="98" operator="containsText" text="Not yet due">
      <formula>NOT(ISERROR(SEARCH("Not yet due",R5)))</formula>
    </cfRule>
  </conditionalFormatting>
  <conditionalFormatting sqref="R64:R77">
    <cfRule type="containsText" dxfId="3384" priority="92" operator="containsText" text="Fully Achieved">
      <formula>NOT(ISERROR(SEARCH("Fully Achieved",R64)))</formula>
    </cfRule>
    <cfRule type="containsText" dxfId="3383" priority="93" operator="containsText" text="Fully Achieved">
      <formula>NOT(ISERROR(SEARCH("Fully Achieved",R64)))</formula>
    </cfRule>
  </conditionalFormatting>
  <conditionalFormatting sqref="R64:R77">
    <cfRule type="containsText" dxfId="3382" priority="85" operator="containsText" text="Update not Provided">
      <formula>NOT(ISERROR(SEARCH("Update not Provided",R64)))</formula>
    </cfRule>
    <cfRule type="containsText" dxfId="3381" priority="86" operator="containsText" text="Not yet due">
      <formula>NOT(ISERROR(SEARCH("Not yet due",R64)))</formula>
    </cfRule>
    <cfRule type="containsText" dxfId="3380" priority="87" operator="containsText" text="Completed Behind Schedule">
      <formula>NOT(ISERROR(SEARCH("Completed Behind Schedule",R64)))</formula>
    </cfRule>
    <cfRule type="containsText" dxfId="3379" priority="88" operator="containsText" text="Off Target">
      <formula>NOT(ISERROR(SEARCH("Off Target",R64)))</formula>
    </cfRule>
    <cfRule type="containsText" dxfId="3378" priority="89" operator="containsText" text="In Danger of Falling Behind Target">
      <formula>NOT(ISERROR(SEARCH("In Danger of Falling Behind Target",R64)))</formula>
    </cfRule>
    <cfRule type="containsText" dxfId="3377" priority="90" operator="containsText" text="On Track to be Achieved">
      <formula>NOT(ISERROR(SEARCH("On Track to be Achieved",R64)))</formula>
    </cfRule>
    <cfRule type="containsText" dxfId="3376" priority="91" operator="containsText" text="Fully Achieved">
      <formula>NOT(ISERROR(SEARCH("Fully Achieved",R64)))</formula>
    </cfRule>
  </conditionalFormatting>
  <conditionalFormatting sqref="R64:R77">
    <cfRule type="containsText" dxfId="3375" priority="78" operator="containsText" text="Update not Provided">
      <formula>NOT(ISERROR(SEARCH("Update not Provided",R64)))</formula>
    </cfRule>
    <cfRule type="containsText" dxfId="3374" priority="80" operator="containsText" text="Completed Behind Schedule">
      <formula>NOT(ISERROR(SEARCH("Completed Behind Schedule",R64)))</formula>
    </cfRule>
    <cfRule type="containsText" dxfId="3373" priority="81" operator="containsText" text="Off Target">
      <formula>NOT(ISERROR(SEARCH("Off Target",R64)))</formula>
    </cfRule>
    <cfRule type="containsText" dxfId="3372" priority="82" operator="containsText" text="In Danger of Falling Behind Target">
      <formula>NOT(ISERROR(SEARCH("In Danger of Falling Behind Target",R64)))</formula>
    </cfRule>
    <cfRule type="containsText" dxfId="3371" priority="83" operator="containsText" text="On Track to be Achieved">
      <formula>NOT(ISERROR(SEARCH("On Track to be Achieved",R64)))</formula>
    </cfRule>
    <cfRule type="containsText" dxfId="3370" priority="84" operator="containsText" text="Fully Achieved">
      <formula>NOT(ISERROR(SEARCH("Fully Achieved",R64)))</formula>
    </cfRule>
  </conditionalFormatting>
  <conditionalFormatting sqref="R64:R77">
    <cfRule type="containsText" dxfId="3369" priority="63" operator="containsText" text="Not Yet Due">
      <formula>NOT(ISERROR(SEARCH("Not Yet Due",R64)))</formula>
    </cfRule>
    <cfRule type="containsText" dxfId="3368" priority="68" operator="containsText" text="Deferred">
      <formula>NOT(ISERROR(SEARCH("Deferred",R64)))</formula>
    </cfRule>
    <cfRule type="containsText" dxfId="3367" priority="69" operator="containsText" text="Deleted">
      <formula>NOT(ISERROR(SEARCH("Deleted",R64)))</formula>
    </cfRule>
    <cfRule type="containsText" dxfId="3366" priority="74" operator="containsText" text="In Danger of Falling Behind Target">
      <formula>NOT(ISERROR(SEARCH("In Danger of Falling Behind Target",R64)))</formula>
    </cfRule>
    <cfRule type="containsText" dxfId="3365" priority="79" operator="containsText" text="Not yet due">
      <formula>NOT(ISERROR(SEARCH("Not yet due",R64)))</formula>
    </cfRule>
  </conditionalFormatting>
  <conditionalFormatting sqref="R64:R77">
    <cfRule type="containsText" dxfId="3364" priority="77" operator="containsText" text="Not yet due">
      <formula>NOT(ISERROR(SEARCH("Not yet due",R64)))</formula>
    </cfRule>
  </conditionalFormatting>
  <conditionalFormatting sqref="R64:R77">
    <cfRule type="containsText" dxfId="3363" priority="70" operator="containsText" text="Update not Provided">
      <formula>NOT(ISERROR(SEARCH("Update not Provided",R64)))</formula>
    </cfRule>
    <cfRule type="containsText" dxfId="3362" priority="71" operator="containsText" text="Not yet due">
      <formula>NOT(ISERROR(SEARCH("Not yet due",R64)))</formula>
    </cfRule>
    <cfRule type="containsText" dxfId="3361" priority="72" operator="containsText" text="Completed Behind Schedule">
      <formula>NOT(ISERROR(SEARCH("Completed Behind Schedule",R64)))</formula>
    </cfRule>
    <cfRule type="containsText" dxfId="3360" priority="73" operator="containsText" text="Off Target">
      <formula>NOT(ISERROR(SEARCH("Off Target",R64)))</formula>
    </cfRule>
    <cfRule type="containsText" dxfId="3359" priority="75" operator="containsText" text="On Track to be Achieved">
      <formula>NOT(ISERROR(SEARCH("On Track to be Achieved",R64)))</formula>
    </cfRule>
    <cfRule type="containsText" dxfId="3358" priority="76" operator="containsText" text="Fully Achieved">
      <formula>NOT(ISERROR(SEARCH("Fully Achieved",R64)))</formula>
    </cfRule>
  </conditionalFormatting>
  <conditionalFormatting sqref="R64:R77">
    <cfRule type="containsText" dxfId="3357" priority="64" operator="containsText" text="Deferred">
      <formula>NOT(ISERROR(SEARCH("Deferred",R64)))</formula>
    </cfRule>
    <cfRule type="containsText" dxfId="3356" priority="65" operator="containsText" text="Deleted">
      <formula>NOT(ISERROR(SEARCH("Deleted",R64)))</formula>
    </cfRule>
    <cfRule type="containsText" dxfId="3355" priority="66" operator="containsText" text="In Danger of Falling Behind Target">
      <formula>NOT(ISERROR(SEARCH("In Danger of Falling Behind Target",R64)))</formula>
    </cfRule>
    <cfRule type="containsText" dxfId="3354" priority="67" operator="containsText" text="Not yet due">
      <formula>NOT(ISERROR(SEARCH("Not yet due",R64)))</formula>
    </cfRule>
  </conditionalFormatting>
  <conditionalFormatting sqref="R79:R128">
    <cfRule type="containsText" dxfId="3353" priority="61" operator="containsText" text="Fully Achieved">
      <formula>NOT(ISERROR(SEARCH("Fully Achieved",R79)))</formula>
    </cfRule>
    <cfRule type="containsText" dxfId="3352" priority="62" operator="containsText" text="Fully Achieved">
      <formula>NOT(ISERROR(SEARCH("Fully Achieved",R79)))</formula>
    </cfRule>
  </conditionalFormatting>
  <conditionalFormatting sqref="R79:R128">
    <cfRule type="containsText" dxfId="3351" priority="54" operator="containsText" text="Update not Provided">
      <formula>NOT(ISERROR(SEARCH("Update not Provided",R79)))</formula>
    </cfRule>
    <cfRule type="containsText" dxfId="3350" priority="55" operator="containsText" text="Not yet due">
      <formula>NOT(ISERROR(SEARCH("Not yet due",R79)))</formula>
    </cfRule>
    <cfRule type="containsText" dxfId="3349" priority="56" operator="containsText" text="Completed Behind Schedule">
      <formula>NOT(ISERROR(SEARCH("Completed Behind Schedule",R79)))</formula>
    </cfRule>
    <cfRule type="containsText" dxfId="3348" priority="57" operator="containsText" text="Off Target">
      <formula>NOT(ISERROR(SEARCH("Off Target",R79)))</formula>
    </cfRule>
    <cfRule type="containsText" dxfId="3347" priority="58" operator="containsText" text="In Danger of Falling Behind Target">
      <formula>NOT(ISERROR(SEARCH("In Danger of Falling Behind Target",R79)))</formula>
    </cfRule>
    <cfRule type="containsText" dxfId="3346" priority="59" operator="containsText" text="On Track to be Achieved">
      <formula>NOT(ISERROR(SEARCH("On Track to be Achieved",R79)))</formula>
    </cfRule>
    <cfRule type="containsText" dxfId="3345" priority="60" operator="containsText" text="Fully Achieved">
      <formula>NOT(ISERROR(SEARCH("Fully Achieved",R79)))</formula>
    </cfRule>
  </conditionalFormatting>
  <conditionalFormatting sqref="R79:R128">
    <cfRule type="containsText" dxfId="3344" priority="47" operator="containsText" text="Update not Provided">
      <formula>NOT(ISERROR(SEARCH("Update not Provided",R79)))</formula>
    </cfRule>
    <cfRule type="containsText" dxfId="3343" priority="49" operator="containsText" text="Completed Behind Schedule">
      <formula>NOT(ISERROR(SEARCH("Completed Behind Schedule",R79)))</formula>
    </cfRule>
    <cfRule type="containsText" dxfId="3342" priority="50" operator="containsText" text="Off Target">
      <formula>NOT(ISERROR(SEARCH("Off Target",R79)))</formula>
    </cfRule>
    <cfRule type="containsText" dxfId="3341" priority="51" operator="containsText" text="In Danger of Falling Behind Target">
      <formula>NOT(ISERROR(SEARCH("In Danger of Falling Behind Target",R79)))</formula>
    </cfRule>
    <cfRule type="containsText" dxfId="3340" priority="52" operator="containsText" text="On Track to be Achieved">
      <formula>NOT(ISERROR(SEARCH("On Track to be Achieved",R79)))</formula>
    </cfRule>
    <cfRule type="containsText" dxfId="3339" priority="53" operator="containsText" text="Fully Achieved">
      <formula>NOT(ISERROR(SEARCH("Fully Achieved",R79)))</formula>
    </cfRule>
  </conditionalFormatting>
  <conditionalFormatting sqref="R79:R128">
    <cfRule type="containsText" dxfId="3338" priority="32" operator="containsText" text="Not Yet Due">
      <formula>NOT(ISERROR(SEARCH("Not Yet Due",R79)))</formula>
    </cfRule>
    <cfRule type="containsText" dxfId="3337" priority="37" operator="containsText" text="Deferred">
      <formula>NOT(ISERROR(SEARCH("Deferred",R79)))</formula>
    </cfRule>
    <cfRule type="containsText" dxfId="3336" priority="38" operator="containsText" text="Deleted">
      <formula>NOT(ISERROR(SEARCH("Deleted",R79)))</formula>
    </cfRule>
    <cfRule type="containsText" dxfId="3335" priority="43" operator="containsText" text="In Danger of Falling Behind Target">
      <formula>NOT(ISERROR(SEARCH("In Danger of Falling Behind Target",R79)))</formula>
    </cfRule>
    <cfRule type="containsText" dxfId="3334" priority="48" operator="containsText" text="Not yet due">
      <formula>NOT(ISERROR(SEARCH("Not yet due",R79)))</formula>
    </cfRule>
  </conditionalFormatting>
  <conditionalFormatting sqref="R79:R128">
    <cfRule type="containsText" dxfId="3333" priority="46" operator="containsText" text="Not yet due">
      <formula>NOT(ISERROR(SEARCH("Not yet due",R79)))</formula>
    </cfRule>
  </conditionalFormatting>
  <conditionalFormatting sqref="R79:R128">
    <cfRule type="containsText" dxfId="3332" priority="39" operator="containsText" text="Update not Provided">
      <formula>NOT(ISERROR(SEARCH("Update not Provided",R79)))</formula>
    </cfRule>
    <cfRule type="containsText" dxfId="3331" priority="40" operator="containsText" text="Not yet due">
      <formula>NOT(ISERROR(SEARCH("Not yet due",R79)))</formula>
    </cfRule>
    <cfRule type="containsText" dxfId="3330" priority="41" operator="containsText" text="Completed Behind Schedule">
      <formula>NOT(ISERROR(SEARCH("Completed Behind Schedule",R79)))</formula>
    </cfRule>
    <cfRule type="containsText" dxfId="3329" priority="42" operator="containsText" text="Off Target">
      <formula>NOT(ISERROR(SEARCH("Off Target",R79)))</formula>
    </cfRule>
    <cfRule type="containsText" dxfId="3328" priority="44" operator="containsText" text="On Track to be Achieved">
      <formula>NOT(ISERROR(SEARCH("On Track to be Achieved",R79)))</formula>
    </cfRule>
    <cfRule type="containsText" dxfId="3327" priority="45" operator="containsText" text="Fully Achieved">
      <formula>NOT(ISERROR(SEARCH("Fully Achieved",R79)))</formula>
    </cfRule>
  </conditionalFormatting>
  <conditionalFormatting sqref="R79:R128">
    <cfRule type="containsText" dxfId="3326" priority="33" operator="containsText" text="Deferred">
      <formula>NOT(ISERROR(SEARCH("Deferred",R79)))</formula>
    </cfRule>
    <cfRule type="containsText" dxfId="3325" priority="34" operator="containsText" text="Deleted">
      <formula>NOT(ISERROR(SEARCH("Deleted",R79)))</formula>
    </cfRule>
    <cfRule type="containsText" dxfId="3324" priority="35" operator="containsText" text="In Danger of Falling Behind Target">
      <formula>NOT(ISERROR(SEARCH("In Danger of Falling Behind Target",R79)))</formula>
    </cfRule>
    <cfRule type="containsText" dxfId="3323" priority="36" operator="containsText" text="Not yet due">
      <formula>NOT(ISERROR(SEARCH("Not yet due",R79)))</formula>
    </cfRule>
  </conditionalFormatting>
  <dataValidations xWindow="1274" yWindow="707" count="2">
    <dataValidation type="list" allowBlank="1" showInputMessage="1" showErrorMessage="1" sqref="V4:V128">
      <formula1>$A$161:$A$170</formula1>
    </dataValidation>
    <dataValidation type="list" allowBlank="1" showInputMessage="1" showErrorMessage="1" promptTitle="Is target on track?" prompt="Please choose an option from the drop down list that best describes the current situation for this target." sqref="R4:R62 R79:R128 H4:H128 R64:R77 M4:M128">
      <formula1>$A$179:$A$187</formula1>
    </dataValidation>
  </dataValidations>
  <hyperlinks>
    <hyperlink ref="A1" location="INDEX!A1" display="Back to index"/>
  </hyperlinks>
  <pageMargins left="0.37" right="0.34" top="0.41" bottom="0.31" header="0.31496062992125984" footer="0.31496062992125984"/>
  <pageSetup paperSize="8" scale="4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2060"/>
  </sheetPr>
  <dimension ref="A1:AX146"/>
  <sheetViews>
    <sheetView zoomScale="70" zoomScaleNormal="70" workbookViewId="0">
      <pane ySplit="2" topLeftCell="A115" activePane="bottomLeft" state="frozen"/>
      <selection pane="bottomLeft" activeCell="R126" sqref="R126"/>
    </sheetView>
  </sheetViews>
  <sheetFormatPr defaultColWidth="9.140625" defaultRowHeight="15" x14ac:dyDescent="0.25"/>
  <cols>
    <col min="1" max="1" width="12.85546875" style="35" customWidth="1"/>
    <col min="2" max="2" width="43.5703125" style="35" customWidth="1"/>
    <col min="3" max="3" width="28.42578125" style="43" customWidth="1"/>
    <col min="4" max="5" width="26.140625" style="35" hidden="1" customWidth="1"/>
    <col min="6" max="8" width="26.140625" style="35" customWidth="1"/>
    <col min="9" max="10" width="26.140625" style="35" hidden="1" customWidth="1"/>
    <col min="11" max="14" width="9.140625" style="34" customWidth="1"/>
    <col min="15" max="15" width="16.5703125" style="34" customWidth="1"/>
    <col min="16" max="19" width="9.140625" style="34" customWidth="1"/>
    <col min="20" max="20" width="24.85546875" style="34" customWidth="1"/>
    <col min="21" max="26" width="9.140625" style="34" customWidth="1"/>
    <col min="27" max="46" width="9.140625" style="34"/>
    <col min="47" max="16384" width="9.140625" style="35"/>
  </cols>
  <sheetData>
    <row r="1" spans="1:50" s="223" customFormat="1" ht="24" customHeight="1" thickBot="1" x14ac:dyDescent="0.35">
      <c r="A1" s="222" t="s">
        <v>62</v>
      </c>
      <c r="C1" s="224"/>
    </row>
    <row r="2" spans="1:50" s="194" customFormat="1" ht="61.5" thickTop="1" x14ac:dyDescent="0.35">
      <c r="A2" s="200" t="s">
        <v>2</v>
      </c>
      <c r="B2" s="195" t="s">
        <v>0</v>
      </c>
      <c r="C2" s="195" t="s">
        <v>427</v>
      </c>
      <c r="D2" s="196" t="s">
        <v>6</v>
      </c>
      <c r="E2" s="196" t="s">
        <v>9</v>
      </c>
      <c r="F2" s="196" t="s">
        <v>7</v>
      </c>
      <c r="G2" s="196" t="s">
        <v>10</v>
      </c>
      <c r="H2" s="196" t="s">
        <v>8</v>
      </c>
      <c r="I2" s="196" t="s">
        <v>11</v>
      </c>
      <c r="J2" s="196" t="s">
        <v>12</v>
      </c>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row>
    <row r="3" spans="1:50" s="53" customFormat="1" ht="25.5" customHeight="1" x14ac:dyDescent="0.25">
      <c r="A3" s="188" t="s">
        <v>204</v>
      </c>
      <c r="B3" s="201"/>
      <c r="C3" s="190"/>
      <c r="D3" s="189"/>
      <c r="E3" s="189"/>
      <c r="F3" s="159"/>
      <c r="G3" s="144"/>
      <c r="H3" s="144"/>
      <c r="I3" s="144"/>
      <c r="J3" s="144"/>
      <c r="K3" s="139"/>
      <c r="L3" s="139"/>
      <c r="M3" s="139"/>
      <c r="N3" s="139"/>
      <c r="O3" s="139"/>
      <c r="P3" s="139"/>
      <c r="Q3" s="139"/>
      <c r="R3" s="139"/>
      <c r="S3" s="139"/>
      <c r="T3" s="139"/>
      <c r="U3" s="139"/>
      <c r="V3" s="139"/>
      <c r="W3" s="139"/>
      <c r="X3" s="139"/>
      <c r="Y3" s="139"/>
      <c r="Z3" s="139"/>
      <c r="AA3" s="139"/>
      <c r="AB3" s="140"/>
      <c r="AC3" s="141"/>
      <c r="AD3" s="142"/>
      <c r="AE3" s="142"/>
      <c r="AF3" s="142"/>
      <c r="AG3" s="143"/>
      <c r="AH3" s="143"/>
      <c r="AI3" s="143"/>
      <c r="AJ3" s="143"/>
      <c r="AK3" s="143"/>
      <c r="AL3" s="143"/>
      <c r="AM3" s="143"/>
      <c r="AN3" s="143"/>
      <c r="AO3" s="143"/>
      <c r="AP3" s="143"/>
      <c r="AQ3" s="143"/>
      <c r="AR3" s="143"/>
      <c r="AS3" s="143"/>
      <c r="AT3" s="143"/>
      <c r="AU3" s="143"/>
      <c r="AV3" s="143"/>
      <c r="AW3" s="143"/>
      <c r="AX3" s="143"/>
    </row>
    <row r="4" spans="1:50" ht="99.75" customHeight="1" x14ac:dyDescent="0.25">
      <c r="A4" s="184" t="str">
        <f>'1. ALL DATA'!A5</f>
        <v>VFM01</v>
      </c>
      <c r="B4" s="186" t="str">
        <f>'1. ALL DATA'!C5</f>
        <v>Set Budget for 2019/20</v>
      </c>
      <c r="C4" s="334" t="str">
        <f>'1. ALL DATA'!D5</f>
        <v>Set Budget for Council Approval
(February 2019)</v>
      </c>
      <c r="D4" s="187" t="str">
        <f>'1. ALL DATA'!H5</f>
        <v>Not yet due</v>
      </c>
      <c r="E4" s="432" t="s">
        <v>47</v>
      </c>
      <c r="F4" s="431" t="str">
        <f>'1. ALL DATA'!M5</f>
        <v>On Track to be Achieved</v>
      </c>
      <c r="G4" s="199" t="s">
        <v>222</v>
      </c>
      <c r="H4" s="135" t="str">
        <f>'1. ALL DATA'!R5</f>
        <v>On Track to be Achieved</v>
      </c>
      <c r="I4" s="199"/>
      <c r="J4" s="135" t="str">
        <f>'1. ALL DATA'!V5</f>
        <v>Fully Achieved</v>
      </c>
      <c r="O4" s="444" t="s">
        <v>220</v>
      </c>
    </row>
    <row r="5" spans="1:50" ht="99.75" customHeight="1" x14ac:dyDescent="0.25">
      <c r="A5" s="184" t="str">
        <f>'1. ALL DATA'!A6</f>
        <v>VFM02</v>
      </c>
      <c r="B5" s="186" t="str">
        <f>'1. ALL DATA'!C6</f>
        <v>Statement of Accounts</v>
      </c>
      <c r="C5" s="334" t="str">
        <f>'1. ALL DATA'!D6</f>
        <v>Submit Statement of Accounts by New Statutory Deadline 
(July 2018)</v>
      </c>
      <c r="D5" s="187" t="str">
        <f>'1. ALL DATA'!H6</f>
        <v>On Track to be Achieved</v>
      </c>
      <c r="E5" s="199" t="s">
        <v>222</v>
      </c>
      <c r="F5" s="187" t="str">
        <f>'1. ALL DATA'!M6</f>
        <v>Fully Achieved</v>
      </c>
      <c r="G5" s="199" t="s">
        <v>222</v>
      </c>
      <c r="H5" s="135" t="str">
        <f>'1. ALL DATA'!R6</f>
        <v>Fully Achieved</v>
      </c>
      <c r="I5" s="199"/>
      <c r="J5" s="135" t="str">
        <f>'1. ALL DATA'!V6</f>
        <v>Fully Achieved</v>
      </c>
      <c r="O5" s="444" t="s">
        <v>221</v>
      </c>
      <c r="Y5" s="199" t="s">
        <v>222</v>
      </c>
    </row>
    <row r="6" spans="1:50" ht="99.75" customHeight="1" x14ac:dyDescent="0.25">
      <c r="A6" s="184" t="str">
        <f>'1. ALL DATA'!A7</f>
        <v>VFM03</v>
      </c>
      <c r="B6" s="186" t="str">
        <f>'1. ALL DATA'!C7</f>
        <v>Responding to Significant Local Government Finance Changes and Assessing the Impact on the Council’s Financial Position</v>
      </c>
      <c r="C6" s="334" t="str">
        <f>'1. ALL DATA'!D7</f>
        <v>Activities Throughout the Year Reported in Line with the Timed Responses 
(March 2019)</v>
      </c>
      <c r="D6" s="187" t="str">
        <f>'1. ALL DATA'!H7</f>
        <v>On Track to be Achieved</v>
      </c>
      <c r="E6" s="199" t="s">
        <v>222</v>
      </c>
      <c r="F6" s="187" t="str">
        <f>'1. ALL DATA'!M7</f>
        <v>On Track to be Achieved</v>
      </c>
      <c r="G6" s="199" t="s">
        <v>222</v>
      </c>
      <c r="H6" s="135" t="str">
        <f>'1. ALL DATA'!R7</f>
        <v>On Track to be Achieved</v>
      </c>
      <c r="I6" s="199"/>
      <c r="J6" s="135" t="str">
        <f>'1. ALL DATA'!V7</f>
        <v>Fully Achieved</v>
      </c>
      <c r="O6" s="444" t="s">
        <v>222</v>
      </c>
      <c r="T6" s="197"/>
      <c r="Y6" s="340" t="s">
        <v>220</v>
      </c>
    </row>
    <row r="7" spans="1:50" ht="94.5" x14ac:dyDescent="0.25">
      <c r="A7" s="184" t="str">
        <f>'1. ALL DATA'!A8</f>
        <v>VFM04</v>
      </c>
      <c r="B7" s="186" t="str">
        <f>'1. ALL DATA'!C8</f>
        <v xml:space="preserve">Improve Finance Awareness with Members  </v>
      </c>
      <c r="C7" s="334" t="str">
        <f>'1. ALL DATA'!D8</f>
        <v>At Least 2 Briefings Delivered to Elected Members During the Year 
(March 2019)</v>
      </c>
      <c r="D7" s="187" t="str">
        <f>'1. ALL DATA'!H8</f>
        <v>On Track to be Achieved</v>
      </c>
      <c r="E7" s="199" t="s">
        <v>222</v>
      </c>
      <c r="F7" s="187" t="str">
        <f>'1. ALL DATA'!M8</f>
        <v>On Track to be Achieved</v>
      </c>
      <c r="G7" s="199" t="s">
        <v>222</v>
      </c>
      <c r="H7" s="135" t="str">
        <f>'1. ALL DATA'!R8</f>
        <v>On Track to be Achieved</v>
      </c>
      <c r="I7" s="199"/>
      <c r="J7" s="135" t="str">
        <f>'1. ALL DATA'!V8</f>
        <v>Fully Achieved</v>
      </c>
      <c r="O7" s="432" t="s">
        <v>47</v>
      </c>
      <c r="T7" s="198"/>
    </row>
    <row r="8" spans="1:50" ht="99.75" customHeight="1" x14ac:dyDescent="0.25">
      <c r="A8" s="184" t="str">
        <f>'1. ALL DATA'!A9</f>
        <v>VFM05</v>
      </c>
      <c r="B8" s="186" t="str">
        <f>'1. ALL DATA'!C9</f>
        <v>Continuing to Improve the Value for Money of Council Services</v>
      </c>
      <c r="C8" s="334" t="str">
        <f>'1. ALL DATA'!D9</f>
        <v>Achieve Savings Targets as Stated in the Medium Term Financial Strategy 
(March 2019)</v>
      </c>
      <c r="D8" s="187" t="str">
        <f>'1. ALL DATA'!H9</f>
        <v>On Track to be Achieved</v>
      </c>
      <c r="E8" s="199" t="s">
        <v>222</v>
      </c>
      <c r="F8" s="187" t="str">
        <f>'1. ALL DATA'!M9</f>
        <v>On Track to be Achieved</v>
      </c>
      <c r="G8" s="432" t="s">
        <v>47</v>
      </c>
      <c r="H8" s="442" t="str">
        <f>'1. ALL DATA'!R9</f>
        <v>Update not Provided</v>
      </c>
      <c r="I8" s="199"/>
      <c r="J8" s="135" t="str">
        <f>'1. ALL DATA'!V9</f>
        <v>Fully Achieved</v>
      </c>
      <c r="T8" s="198"/>
    </row>
    <row r="9" spans="1:50" ht="99.75" customHeight="1" x14ac:dyDescent="0.25">
      <c r="A9" s="184" t="str">
        <f>'1. ALL DATA'!A10</f>
        <v>VFM06</v>
      </c>
      <c r="B9" s="186" t="str">
        <f>'1. ALL DATA'!C10</f>
        <v>Continuing to Improve the Value for Money of Council Services</v>
      </c>
      <c r="C9" s="334" t="str">
        <f>'1. ALL DATA'!D10</f>
        <v>Conduct Budget Consultation 
(September 2018)</v>
      </c>
      <c r="D9" s="187" t="str">
        <f>'1. ALL DATA'!H10</f>
        <v>On Track to be Achieved</v>
      </c>
      <c r="E9" s="199" t="s">
        <v>222</v>
      </c>
      <c r="F9" s="187" t="str">
        <f>'1. ALL DATA'!M10</f>
        <v>Fully Achieved</v>
      </c>
      <c r="G9" s="443" t="s">
        <v>222</v>
      </c>
      <c r="H9" s="135" t="str">
        <f>'1. ALL DATA'!R10</f>
        <v>Fully Achieved</v>
      </c>
      <c r="I9" s="199"/>
      <c r="J9" s="135" t="str">
        <f>'1. ALL DATA'!V10</f>
        <v>Fully Achieved</v>
      </c>
      <c r="T9" s="198"/>
    </row>
    <row r="10" spans="1:50" ht="99.75" customHeight="1" x14ac:dyDescent="0.25">
      <c r="A10" s="184" t="str">
        <f>'1. ALL DATA'!A11</f>
        <v>VFM07</v>
      </c>
      <c r="B10" s="186" t="str">
        <f>'1. ALL DATA'!C11</f>
        <v>Continuing to Improve the Value for Money of Council Services</v>
      </c>
      <c r="C10" s="334" t="str">
        <f>'1. ALL DATA'!D11</f>
        <v>Review Payment of Fees for the Independent Remuneration Panel 
(March 2019)</v>
      </c>
      <c r="D10" s="187" t="str">
        <f>'1. ALL DATA'!H11</f>
        <v>Not yet due</v>
      </c>
      <c r="E10" s="432" t="s">
        <v>47</v>
      </c>
      <c r="F10" s="187" t="str">
        <f>'1. ALL DATA'!M11</f>
        <v>Not yet due</v>
      </c>
      <c r="G10" s="198" t="s">
        <v>221</v>
      </c>
      <c r="H10" s="135" t="str">
        <f>'1. ALL DATA'!R11</f>
        <v>On Track to be Achieved</v>
      </c>
      <c r="I10" s="199"/>
      <c r="J10" s="135" t="str">
        <f>'1. ALL DATA'!V11</f>
        <v>Fully Achieved</v>
      </c>
    </row>
    <row r="11" spans="1:50" ht="99.75" customHeight="1" x14ac:dyDescent="0.25">
      <c r="A11" s="184" t="str">
        <f>'1. ALL DATA'!A12</f>
        <v>VFM08</v>
      </c>
      <c r="B11" s="186" t="str">
        <f>'1. ALL DATA'!C12</f>
        <v>Continuing to Improve the Value for Money of Council Services</v>
      </c>
      <c r="C11" s="334" t="str">
        <f>'1. ALL DATA'!D12</f>
        <v>90% Satisfaction with the Corporate Contribution to the Strategic Leisure Management Project 
(March 2019)</v>
      </c>
      <c r="D11" s="187" t="str">
        <f>'1. ALL DATA'!H12</f>
        <v>Not yet due</v>
      </c>
      <c r="E11" s="432" t="s">
        <v>47</v>
      </c>
      <c r="F11" s="187" t="str">
        <f>'1. ALL DATA'!M12</f>
        <v>Not yet due</v>
      </c>
      <c r="G11" s="432" t="s">
        <v>47</v>
      </c>
      <c r="H11" s="135" t="str">
        <f>'1. ALL DATA'!R12</f>
        <v>Not yet due</v>
      </c>
      <c r="I11" s="199"/>
      <c r="J11" s="135" t="str">
        <f>'1. ALL DATA'!V12</f>
        <v>Fully Achieved</v>
      </c>
    </row>
    <row r="12" spans="1:50" ht="99.75" customHeight="1" x14ac:dyDescent="0.25">
      <c r="A12" s="184" t="str">
        <f>'1. ALL DATA'!A13</f>
        <v>VFM09</v>
      </c>
      <c r="B12" s="186" t="str">
        <f>'1. ALL DATA'!C13</f>
        <v>Continuing to Improve the Value for Money of Council Services</v>
      </c>
      <c r="C12" s="334" t="str">
        <f>'1. ALL DATA'!D13</f>
        <v>90% Satisfaction with the Corporate Contribution to the Accommodation Move Project 
(March 2019)</v>
      </c>
      <c r="D12" s="187" t="str">
        <f>'1. ALL DATA'!H13</f>
        <v>Not yet due</v>
      </c>
      <c r="E12" s="432" t="s">
        <v>47</v>
      </c>
      <c r="F12" s="187" t="str">
        <f>'1. ALL DATA'!M13</f>
        <v>Not yet due</v>
      </c>
      <c r="G12" s="432" t="s">
        <v>47</v>
      </c>
      <c r="H12" s="135" t="str">
        <f>'1. ALL DATA'!R13</f>
        <v>Not yet due</v>
      </c>
      <c r="I12" s="199"/>
      <c r="J12" s="135" t="str">
        <f>'1. ALL DATA'!V13</f>
        <v>Fully Achieved</v>
      </c>
    </row>
    <row r="13" spans="1:50" ht="99.75" customHeight="1" x14ac:dyDescent="0.25">
      <c r="A13" s="184" t="str">
        <f>'1. ALL DATA'!A14</f>
        <v>VFM10</v>
      </c>
      <c r="B13" s="186" t="str">
        <f>'1. ALL DATA'!C14</f>
        <v>Providing a Secure Virtual Working Environment and Raising Awareness with Elected Members</v>
      </c>
      <c r="C13" s="334" t="str">
        <f>'1. ALL DATA'!D14</f>
        <v>Security Arrangements to Meet Requirements of PSN (or Replacement) / PCIDSS and Member Briefing Undertaken 
(March 2019)</v>
      </c>
      <c r="D13" s="187" t="str">
        <f>'1. ALL DATA'!H14</f>
        <v>On Track to be Achieved</v>
      </c>
      <c r="E13" s="199" t="s">
        <v>222</v>
      </c>
      <c r="F13" s="187" t="str">
        <f>'1. ALL DATA'!M14</f>
        <v>On Track to be Achieved</v>
      </c>
      <c r="G13" s="199" t="s">
        <v>222</v>
      </c>
      <c r="H13" s="135" t="str">
        <f>'1. ALL DATA'!R14</f>
        <v>On Track to be Achieved</v>
      </c>
      <c r="I13" s="198"/>
      <c r="J13" s="135" t="str">
        <f>'1. ALL DATA'!V14</f>
        <v>Fully Achieved</v>
      </c>
    </row>
    <row r="14" spans="1:50" ht="99.75" customHeight="1" x14ac:dyDescent="0.25">
      <c r="A14" s="184" t="str">
        <f>'1. ALL DATA'!A15</f>
        <v>VFM11</v>
      </c>
      <c r="B14" s="186" t="str">
        <f>'1. ALL DATA'!C15</f>
        <v>Increasing Staffing Availability Through Reduced Sickness</v>
      </c>
      <c r="C14" s="334" t="str">
        <f>'1. ALL DATA'!D15</f>
        <v>Short Term Sickness Days Average: 2.95 days</v>
      </c>
      <c r="D14" s="187" t="str">
        <f>'1. ALL DATA'!H15</f>
        <v>On Track to be Achieved</v>
      </c>
      <c r="E14" s="199" t="s">
        <v>222</v>
      </c>
      <c r="F14" s="187" t="str">
        <f>'1. ALL DATA'!M15</f>
        <v>On Track to be Achieved</v>
      </c>
      <c r="G14" s="199" t="s">
        <v>222</v>
      </c>
      <c r="H14" s="135" t="str">
        <f>'1. ALL DATA'!R15</f>
        <v>On Track to be Achieved</v>
      </c>
      <c r="I14" s="199"/>
      <c r="J14" s="135" t="str">
        <f>'1. ALL DATA'!V15</f>
        <v>Fully Achieved</v>
      </c>
    </row>
    <row r="15" spans="1:50" ht="99.75" customHeight="1" x14ac:dyDescent="0.25">
      <c r="A15" s="184" t="str">
        <f>'1. ALL DATA'!A16</f>
        <v>VFM12</v>
      </c>
      <c r="B15" s="186" t="str">
        <f>'1. ALL DATA'!C16</f>
        <v>Continuing to Meet Public Sector Equality Duties</v>
      </c>
      <c r="C15" s="334" t="str">
        <f>'1. ALL DATA'!D16</f>
        <v>Review of Single Equality Scheme Complete
(July 2018)</v>
      </c>
      <c r="D15" s="187" t="str">
        <f>'1. ALL DATA'!H16</f>
        <v>On Track to be Achieved</v>
      </c>
      <c r="E15" s="199" t="s">
        <v>222</v>
      </c>
      <c r="F15" s="187" t="str">
        <f>'1. ALL DATA'!M16</f>
        <v>Fully Achieved</v>
      </c>
      <c r="G15" s="199" t="s">
        <v>222</v>
      </c>
      <c r="H15" s="135" t="str">
        <f>'1. ALL DATA'!R16</f>
        <v>Fully Achieved</v>
      </c>
      <c r="I15" s="199"/>
      <c r="J15" s="135" t="str">
        <f>'1. ALL DATA'!V16</f>
        <v>Fully Achieved</v>
      </c>
    </row>
    <row r="16" spans="1:50" ht="99.75" customHeight="1" x14ac:dyDescent="0.25">
      <c r="A16" s="184" t="str">
        <f>'1. ALL DATA'!A17</f>
        <v>VFM13</v>
      </c>
      <c r="B16" s="186" t="str">
        <f>'1. ALL DATA'!C17</f>
        <v>Improve On The Average Time To Pay Creditors</v>
      </c>
      <c r="C16" s="334" t="str">
        <f>'1. ALL DATA'!D17</f>
        <v>Average Time to Pay Creditors: 
13 days</v>
      </c>
      <c r="D16" s="187" t="str">
        <f>'1. ALL DATA'!H17</f>
        <v>On Track to be Achieved</v>
      </c>
      <c r="E16" s="199" t="s">
        <v>222</v>
      </c>
      <c r="F16" s="187" t="str">
        <f>'1. ALL DATA'!M17</f>
        <v>On Track to be Achieved</v>
      </c>
      <c r="G16" s="199" t="s">
        <v>222</v>
      </c>
      <c r="H16" s="135" t="str">
        <f>'1. ALL DATA'!R17</f>
        <v>On Track to be Achieved</v>
      </c>
      <c r="I16" s="199"/>
      <c r="J16" s="135" t="str">
        <f>'1. ALL DATA'!V17</f>
        <v>Fully Achieved</v>
      </c>
    </row>
    <row r="17" spans="1:10" ht="99.75" customHeight="1" x14ac:dyDescent="0.25">
      <c r="A17" s="184" t="str">
        <f>'1. ALL DATA'!A18</f>
        <v>VFM14</v>
      </c>
      <c r="B17" s="186" t="str">
        <f>'1. ALL DATA'!C18</f>
        <v xml:space="preserve">Legal and Assets </v>
      </c>
      <c r="C17" s="334" t="str">
        <f>'1. ALL DATA'!D18</f>
        <v>Introduce the Policies and Procedures Necessary to Ensure Compliance with the General Data Protection Regulations 
(May 2018)</v>
      </c>
      <c r="D17" s="187" t="str">
        <f>'1. ALL DATA'!H18</f>
        <v>Fully Achieved</v>
      </c>
      <c r="E17" s="199" t="s">
        <v>222</v>
      </c>
      <c r="F17" s="187" t="str">
        <f>'1. ALL DATA'!M18</f>
        <v>Fully Achieved</v>
      </c>
      <c r="G17" s="199" t="s">
        <v>222</v>
      </c>
      <c r="H17" s="135" t="str">
        <f>'1. ALL DATA'!R18</f>
        <v>Fully Achieved</v>
      </c>
      <c r="I17" s="199"/>
      <c r="J17" s="135" t="str">
        <f>'1. ALL DATA'!V18</f>
        <v>Fully Achieved</v>
      </c>
    </row>
    <row r="18" spans="1:10" ht="99.75" customHeight="1" x14ac:dyDescent="0.25">
      <c r="A18" s="184" t="str">
        <f>'1. ALL DATA'!A19</f>
        <v>VFM15</v>
      </c>
      <c r="B18" s="186" t="str">
        <f>'1. ALL DATA'!C19</f>
        <v xml:space="preserve">Legal and Assets </v>
      </c>
      <c r="C18" s="334" t="str">
        <f>'1. ALL DATA'!D19</f>
        <v>Condition Survey Commissioned in Respect of the Canal Street Industrial Units 
(October 2018)</v>
      </c>
      <c r="D18" s="187" t="str">
        <f>'1. ALL DATA'!H19</f>
        <v>On Track to be Achieved</v>
      </c>
      <c r="E18" s="199" t="s">
        <v>222</v>
      </c>
      <c r="F18" s="187" t="str">
        <f>'1. ALL DATA'!M19</f>
        <v>Fully Achieved</v>
      </c>
      <c r="G18" s="199" t="s">
        <v>222</v>
      </c>
      <c r="H18" s="135" t="str">
        <f>'1. ALL DATA'!R19</f>
        <v>Fully Achieved</v>
      </c>
      <c r="I18" s="199"/>
      <c r="J18" s="135" t="str">
        <f>'1. ALL DATA'!V19</f>
        <v>Fully Achieved</v>
      </c>
    </row>
    <row r="19" spans="1:10" ht="99.75" customHeight="1" x14ac:dyDescent="0.25">
      <c r="A19" s="184" t="str">
        <f>'1. ALL DATA'!A20</f>
        <v>VFM16</v>
      </c>
      <c r="B19" s="186" t="str">
        <f>'1. ALL DATA'!C20</f>
        <v>Leisure and Cultural Service Delivery Review</v>
      </c>
      <c r="C19" s="334" t="str">
        <f>'1. ALL DATA'!D20</f>
        <v>Progress the Project in Line With Key Milestones, Providing Quarterly Updates 
(March 2019)</v>
      </c>
      <c r="D19" s="187" t="str">
        <f>'1. ALL DATA'!H20</f>
        <v>On Track to be Achieved</v>
      </c>
      <c r="E19" s="199" t="s">
        <v>222</v>
      </c>
      <c r="F19" s="187" t="str">
        <f>'1. ALL DATA'!M20</f>
        <v>On Track to be Achieved</v>
      </c>
      <c r="G19" s="199" t="s">
        <v>222</v>
      </c>
      <c r="H19" s="135" t="str">
        <f>'1. ALL DATA'!R20</f>
        <v>On Track to be Achieved</v>
      </c>
      <c r="I19" s="199"/>
      <c r="J19" s="135" t="str">
        <f>'1. ALL DATA'!V20</f>
        <v>Fully Achieved</v>
      </c>
    </row>
    <row r="20" spans="1:10" ht="99.75" customHeight="1" x14ac:dyDescent="0.25">
      <c r="A20" s="184" t="str">
        <f>'1. ALL DATA'!A21</f>
        <v>VFM17</v>
      </c>
      <c r="B20" s="186" t="str">
        <f>'1. ALL DATA'!C21</f>
        <v>Leisure and Cultural Service Delivery Review</v>
      </c>
      <c r="C20" s="334" t="str">
        <f>'1. ALL DATA'!D21</f>
        <v>Establish a Contracts and Strategic Leisure Team 
(September 2018)</v>
      </c>
      <c r="D20" s="187" t="str">
        <f>'1. ALL DATA'!H21</f>
        <v>Not yet due</v>
      </c>
      <c r="E20" s="432" t="s">
        <v>47</v>
      </c>
      <c r="F20" s="187" t="str">
        <f>'1. ALL DATA'!M21</f>
        <v>Off Target</v>
      </c>
      <c r="G20" s="432" t="s">
        <v>47</v>
      </c>
      <c r="H20" s="135" t="str">
        <f>'1. ALL DATA'!R21</f>
        <v>Completed Behind Schedule</v>
      </c>
      <c r="I20" s="199"/>
      <c r="J20" s="135" t="str">
        <f>'1. ALL DATA'!V21</f>
        <v>Completed Significantly After Target Deadline</v>
      </c>
    </row>
    <row r="21" spans="1:10" ht="99.75" customHeight="1" x14ac:dyDescent="0.25">
      <c r="A21" s="184" t="str">
        <f>'1. ALL DATA'!A22</f>
        <v>VFM18</v>
      </c>
      <c r="B21" s="186" t="str">
        <f>'1. ALL DATA'!C22</f>
        <v>Leisure and Cultural Service Delivery Review</v>
      </c>
      <c r="C21" s="334" t="str">
        <f>'1. ALL DATA'!D22</f>
        <v>Commence the Monitoring of the Delivery of Cultural Services in Line With the Agreed Contract(s) 
(Quarter 3 2018/19)</v>
      </c>
      <c r="D21" s="187" t="str">
        <f>'1. ALL DATA'!H22</f>
        <v>Not yet due</v>
      </c>
      <c r="E21" s="432" t="s">
        <v>47</v>
      </c>
      <c r="F21" s="187" t="str">
        <f>'1. ALL DATA'!M22</f>
        <v>On Track to be Achieved</v>
      </c>
      <c r="G21" s="444" t="s">
        <v>221</v>
      </c>
      <c r="H21" s="135" t="str">
        <f>'1. ALL DATA'!R22</f>
        <v>Fully Achieved</v>
      </c>
      <c r="I21" s="199"/>
      <c r="J21" s="135" t="str">
        <f>'1. ALL DATA'!V22</f>
        <v>Fully Achieved</v>
      </c>
    </row>
    <row r="22" spans="1:10" ht="99.75" customHeight="1" x14ac:dyDescent="0.25">
      <c r="A22" s="184" t="str">
        <f>'1. ALL DATA'!A23</f>
        <v>VFM19</v>
      </c>
      <c r="B22" s="186" t="str">
        <f>'1. ALL DATA'!C23</f>
        <v xml:space="preserve">Improve Awareness of ESBC Venues and Initiatives </v>
      </c>
      <c r="C22" s="334" t="str">
        <f>'1. ALL DATA'!D23</f>
        <v>Deliver a Minimum of 2 Town Centre Events in Conjunction With Local Partners 
(October 2018)</v>
      </c>
      <c r="D22" s="187" t="str">
        <f>'1. ALL DATA'!H23</f>
        <v>On Track to be Achieved</v>
      </c>
      <c r="E22" s="199" t="s">
        <v>222</v>
      </c>
      <c r="F22" s="187" t="str">
        <f>'1. ALL DATA'!M23</f>
        <v>Fully Achieved</v>
      </c>
      <c r="G22" s="199" t="s">
        <v>222</v>
      </c>
      <c r="H22" s="135" t="str">
        <f>'1. ALL DATA'!R23</f>
        <v>Fully Achieved</v>
      </c>
      <c r="I22" s="199"/>
      <c r="J22" s="135" t="str">
        <f>'1. ALL DATA'!V23</f>
        <v>Fully Achieved</v>
      </c>
    </row>
    <row r="23" spans="1:10" ht="99.75" customHeight="1" x14ac:dyDescent="0.25">
      <c r="A23" s="184" t="str">
        <f>'1. ALL DATA'!A24</f>
        <v>VFM20</v>
      </c>
      <c r="B23" s="186" t="str">
        <f>'1. ALL DATA'!C24</f>
        <v>Improve Awareness of ESBC Venues and Initiatives</v>
      </c>
      <c r="C23" s="334" t="str">
        <f>'1. ALL DATA'!D24</f>
        <v>Attend a Minimum of 4 “Outreach” Days (1 Per Quarter) to Raise the Profile of the Council’s Services</v>
      </c>
      <c r="D23" s="187" t="str">
        <f>'1. ALL DATA'!H24</f>
        <v>On Track to be Achieved</v>
      </c>
      <c r="E23" s="199" t="s">
        <v>222</v>
      </c>
      <c r="F23" s="187" t="str">
        <f>'1. ALL DATA'!M24</f>
        <v>On Track to be Achieved</v>
      </c>
      <c r="G23" s="199" t="s">
        <v>222</v>
      </c>
      <c r="H23" s="135" t="str">
        <f>'1. ALL DATA'!R24</f>
        <v>On Track to be Achieved</v>
      </c>
      <c r="I23" s="199"/>
      <c r="J23" s="135" t="str">
        <f>'1. ALL DATA'!V24</f>
        <v>Fully Achieved</v>
      </c>
    </row>
    <row r="24" spans="1:10" ht="99.75" customHeight="1" x14ac:dyDescent="0.25">
      <c r="A24" s="184" t="str">
        <f>'1. ALL DATA'!A25</f>
        <v>VFM21</v>
      </c>
      <c r="B24" s="186" t="str">
        <f>'1. ALL DATA'!C25</f>
        <v xml:space="preserve">Improvements to the Brewhouse Facilities </v>
      </c>
      <c r="C24" s="334" t="str">
        <f>'1. ALL DATA'!D25</f>
        <v>Investigate The Feasibility Of Securing External Funding To Further Develop And Improve The Brewhouse Facilities
(July 2018)</v>
      </c>
      <c r="D24" s="187" t="str">
        <f>'1. ALL DATA'!H25</f>
        <v>On Track to be Achieved</v>
      </c>
      <c r="E24" s="199" t="s">
        <v>222</v>
      </c>
      <c r="F24" s="187" t="str">
        <f>'1. ALL DATA'!M25</f>
        <v>Fully Achieved</v>
      </c>
      <c r="G24" s="199" t="s">
        <v>222</v>
      </c>
      <c r="H24" s="135" t="str">
        <f>'1. ALL DATA'!R25</f>
        <v>Fully Achieved</v>
      </c>
      <c r="I24" s="199"/>
      <c r="J24" s="135" t="str">
        <f>'1. ALL DATA'!V25</f>
        <v>Fully Achieved</v>
      </c>
    </row>
    <row r="25" spans="1:10" ht="99.75" customHeight="1" x14ac:dyDescent="0.25">
      <c r="A25" s="184" t="str">
        <f>'1. ALL DATA'!A26</f>
        <v>VFM22</v>
      </c>
      <c r="B25" s="186" t="str">
        <f>'1. ALL DATA'!C26</f>
        <v>Improve Efficiency in Repairs, Maintenance and Adaptation Works Procurement</v>
      </c>
      <c r="C25" s="334" t="str">
        <f>'1. ALL DATA'!D26</f>
        <v>New Contract With an External Building Services Contractor Commences
(June 2018)</v>
      </c>
      <c r="D25" s="187" t="str">
        <f>'1. ALL DATA'!H26</f>
        <v>Fully Achieved</v>
      </c>
      <c r="E25" s="199" t="s">
        <v>222</v>
      </c>
      <c r="F25" s="187" t="str">
        <f>'1. ALL DATA'!M26</f>
        <v>Fully Achieved</v>
      </c>
      <c r="G25" s="199" t="s">
        <v>222</v>
      </c>
      <c r="H25" s="135" t="str">
        <f>'1. ALL DATA'!R26</f>
        <v>Fully Achieved</v>
      </c>
      <c r="I25" s="199"/>
      <c r="J25" s="135" t="str">
        <f>'1. ALL DATA'!V26</f>
        <v>Fully Achieved</v>
      </c>
    </row>
    <row r="26" spans="1:10" ht="99.75" customHeight="1" x14ac:dyDescent="0.25">
      <c r="A26" s="184" t="str">
        <f>'1. ALL DATA'!A27</f>
        <v>VFM23</v>
      </c>
      <c r="B26" s="186" t="str">
        <f>'1. ALL DATA'!C27</f>
        <v>Maintaining a Strong Building Consultancy Service</v>
      </c>
      <c r="C26" s="334" t="str">
        <f>'1. ALL DATA'!D27</f>
        <v>Ensuring Site Inspections are Undertaken Within 1 Day of Notification:
95%</v>
      </c>
      <c r="D26" s="187" t="str">
        <f>'1. ALL DATA'!H27</f>
        <v>On Track to be Achieved</v>
      </c>
      <c r="E26" s="199" t="s">
        <v>222</v>
      </c>
      <c r="F26" s="187" t="str">
        <f>'1. ALL DATA'!M27</f>
        <v>On Track to be Achieved</v>
      </c>
      <c r="G26" s="199" t="s">
        <v>222</v>
      </c>
      <c r="H26" s="135" t="str">
        <f>'1. ALL DATA'!R27</f>
        <v>On Track to be Achieved</v>
      </c>
      <c r="I26" s="199"/>
      <c r="J26" s="135" t="str">
        <f>'1. ALL DATA'!V27</f>
        <v>Fully Achieved</v>
      </c>
    </row>
    <row r="27" spans="1:10" ht="99.75" customHeight="1" x14ac:dyDescent="0.25">
      <c r="A27" s="184" t="str">
        <f>'1. ALL DATA'!A28</f>
        <v>VFM24</v>
      </c>
      <c r="B27" s="186" t="str">
        <f>'1. ALL DATA'!C28</f>
        <v>Maintaining A Strong Building Consultancy Service</v>
      </c>
      <c r="C27" s="334" t="str">
        <f>'1. ALL DATA'!D28</f>
        <v>Identify a Mechanism for Monitoring Customer Satisfaction and Establish Baseline Level
(March 2019)</v>
      </c>
      <c r="D27" s="187" t="str">
        <f>'1. ALL DATA'!H28</f>
        <v>On Track to be Achieved</v>
      </c>
      <c r="E27" s="199" t="s">
        <v>222</v>
      </c>
      <c r="F27" s="187" t="str">
        <f>'1. ALL DATA'!M28</f>
        <v>On Track to be Achieved</v>
      </c>
      <c r="G27" s="199" t="s">
        <v>222</v>
      </c>
      <c r="H27" s="135" t="str">
        <f>'1. ALL DATA'!R28</f>
        <v>On Track to be Achieved</v>
      </c>
      <c r="I27" s="199"/>
      <c r="J27" s="135" t="str">
        <f>'1. ALL DATA'!V28</f>
        <v>Fully Achieved</v>
      </c>
    </row>
    <row r="28" spans="1:10" ht="99.75" customHeight="1" x14ac:dyDescent="0.25">
      <c r="A28" s="184" t="str">
        <f>'1. ALL DATA'!A29</f>
        <v>VFM25</v>
      </c>
      <c r="B28" s="186" t="str">
        <f>'1. ALL DATA'!C29</f>
        <v xml:space="preserve">Smarter Working Initiatives </v>
      </c>
      <c r="C28" s="334" t="str">
        <f>'1. ALL DATA'!D29</f>
        <v>Review Smarter Waste Collection Business Plan 
(November 2018)</v>
      </c>
      <c r="D28" s="187" t="str">
        <f>'1. ALL DATA'!H29</f>
        <v>On Track to be Achieved</v>
      </c>
      <c r="E28" s="199" t="s">
        <v>222</v>
      </c>
      <c r="F28" s="187" t="str">
        <f>'1. ALL DATA'!M29</f>
        <v>On Track to be Achieved</v>
      </c>
      <c r="G28" s="444" t="s">
        <v>221</v>
      </c>
      <c r="H28" s="135" t="str">
        <f>'1. ALL DATA'!R29</f>
        <v>Fully Achieved</v>
      </c>
      <c r="I28" s="199"/>
      <c r="J28" s="135" t="str">
        <f>'1. ALL DATA'!V29</f>
        <v>Fully Achieved</v>
      </c>
    </row>
    <row r="29" spans="1:10" ht="99.75" customHeight="1" x14ac:dyDescent="0.25">
      <c r="A29" s="184" t="str">
        <f>'1. ALL DATA'!A30</f>
        <v>VFM26</v>
      </c>
      <c r="B29" s="186" t="str">
        <f>'1. ALL DATA'!C30</f>
        <v>Smarter Working Initiatives</v>
      </c>
      <c r="C29" s="334" t="str">
        <f>'1. ALL DATA'!D30</f>
        <v>Review of Street Cleaning Operations Complete
(January 2019)</v>
      </c>
      <c r="D29" s="187" t="str">
        <f>'1. ALL DATA'!H30</f>
        <v>Not yet due</v>
      </c>
      <c r="E29" s="432" t="s">
        <v>47</v>
      </c>
      <c r="F29" s="187" t="str">
        <f>'1. ALL DATA'!M30</f>
        <v>Not yet due</v>
      </c>
      <c r="G29" s="444" t="s">
        <v>221</v>
      </c>
      <c r="H29" s="135" t="str">
        <f>'1. ALL DATA'!R30</f>
        <v>On Track to be Achieved</v>
      </c>
      <c r="I29" s="199"/>
      <c r="J29" s="135" t="str">
        <f>'1. ALL DATA'!V30</f>
        <v>Fully Achieved</v>
      </c>
    </row>
    <row r="30" spans="1:10" ht="99.75" customHeight="1" x14ac:dyDescent="0.25">
      <c r="A30" s="184" t="str">
        <f>'1. ALL DATA'!A31</f>
        <v>VFM27</v>
      </c>
      <c r="B30" s="186" t="str">
        <f>'1. ALL DATA'!C31</f>
        <v>Smarter Working Initiatives</v>
      </c>
      <c r="C30" s="334" t="str">
        <f>'1. ALL DATA'!D31</f>
        <v>Review Public Toilet Provision
(April 2018)</v>
      </c>
      <c r="D30" s="187" t="str">
        <f>'1. ALL DATA'!H31</f>
        <v>Fully Achieved</v>
      </c>
      <c r="E30" s="199" t="s">
        <v>222</v>
      </c>
      <c r="F30" s="187" t="str">
        <f>'1. ALL DATA'!M31</f>
        <v>Fully Achieved</v>
      </c>
      <c r="G30" s="199" t="s">
        <v>222</v>
      </c>
      <c r="H30" s="135" t="str">
        <f>'1. ALL DATA'!R31</f>
        <v>Fully Achieved</v>
      </c>
      <c r="I30" s="199"/>
      <c r="J30" s="135" t="str">
        <f>'1. ALL DATA'!V31</f>
        <v>Fully Achieved</v>
      </c>
    </row>
    <row r="31" spans="1:10" ht="99.75" customHeight="1" x14ac:dyDescent="0.25">
      <c r="A31" s="184" t="str">
        <f>'1. ALL DATA'!A32</f>
        <v>VFM28</v>
      </c>
      <c r="B31" s="186" t="str">
        <f>'1. ALL DATA'!C32</f>
        <v>Minimise The Number Of Missed Bin Collections</v>
      </c>
      <c r="C31" s="334" t="str">
        <f>'1. ALL DATA'!D32</f>
        <v>1.5 missed bins per 10,000 collections</v>
      </c>
      <c r="D31" s="187" t="str">
        <f>'1. ALL DATA'!H32</f>
        <v>Off Target</v>
      </c>
      <c r="E31" s="199" t="s">
        <v>222</v>
      </c>
      <c r="F31" s="187" t="str">
        <f>'1. ALL DATA'!M32</f>
        <v>Off Target</v>
      </c>
      <c r="G31" s="199" t="s">
        <v>222</v>
      </c>
      <c r="H31" s="135" t="str">
        <f>'1. ALL DATA'!R32</f>
        <v>Off Target</v>
      </c>
      <c r="I31" s="199"/>
      <c r="J31" s="135" t="str">
        <f>'1. ALL DATA'!V32</f>
        <v>Off Target</v>
      </c>
    </row>
    <row r="32" spans="1:10" ht="99.75" customHeight="1" x14ac:dyDescent="0.25">
      <c r="A32" s="184" t="str">
        <f>'1. ALL DATA'!A33</f>
        <v>VFM29</v>
      </c>
      <c r="B32" s="186" t="str">
        <f>'1. ALL DATA'!C33</f>
        <v>Deliver A High Quality Environmental Service</v>
      </c>
      <c r="C32" s="334" t="str">
        <f>'1. ALL DATA'!D33</f>
        <v>Resolve 100% of Customer Requests for Repaired or Replacement Bin Requests Within 5 Working Days 
(March 2019)</v>
      </c>
      <c r="D32" s="187" t="str">
        <f>'1. ALL DATA'!H33</f>
        <v>On Track to be Achieved</v>
      </c>
      <c r="E32" s="199" t="s">
        <v>222</v>
      </c>
      <c r="F32" s="187" t="str">
        <f>'1. ALL DATA'!M33</f>
        <v>On Track to be Achieved</v>
      </c>
      <c r="G32" s="199" t="s">
        <v>222</v>
      </c>
      <c r="H32" s="135" t="str">
        <f>'1. ALL DATA'!R33</f>
        <v>On Track to be Achieved</v>
      </c>
      <c r="I32" s="199"/>
      <c r="J32" s="135" t="str">
        <f>'1. ALL DATA'!V33</f>
        <v>Fully Achieved</v>
      </c>
    </row>
    <row r="33" spans="1:10" ht="99.75" customHeight="1" x14ac:dyDescent="0.25">
      <c r="A33" s="184" t="str">
        <f>'1. ALL DATA'!A34</f>
        <v>VFM30</v>
      </c>
      <c r="B33" s="186" t="str">
        <f>'1. ALL DATA'!C34</f>
        <v xml:space="preserve">Work In Partnership To Minimise Costs And Maximise Waste And Recycling Opportunities </v>
      </c>
      <c r="C33" s="334" t="str">
        <f>'1. ALL DATA'!D34</f>
        <v>2 Performance Reports Per Year on JWMB / Partnership Working</v>
      </c>
      <c r="D33" s="187" t="str">
        <f>'1. ALL DATA'!H34</f>
        <v>Not yet due</v>
      </c>
      <c r="E33" s="432" t="s">
        <v>47</v>
      </c>
      <c r="F33" s="187" t="str">
        <f>'1. ALL DATA'!M34</f>
        <v>Not yet due</v>
      </c>
      <c r="G33" s="444" t="s">
        <v>221</v>
      </c>
      <c r="H33" s="135" t="str">
        <f>'1. ALL DATA'!R34</f>
        <v>On Track to be Achieved</v>
      </c>
      <c r="I33" s="199"/>
      <c r="J33" s="135" t="str">
        <f>'1. ALL DATA'!V34</f>
        <v>Fully Achieved</v>
      </c>
    </row>
    <row r="34" spans="1:10" ht="99.75" customHeight="1" x14ac:dyDescent="0.25">
      <c r="A34" s="184" t="str">
        <f>'1. ALL DATA'!A35</f>
        <v>VFM31</v>
      </c>
      <c r="B34" s="186" t="str">
        <f>'1. ALL DATA'!C35</f>
        <v xml:space="preserve">Improve Planning Awareness with Members  </v>
      </c>
      <c r="C34" s="334" t="str">
        <f>'1. ALL DATA'!D35</f>
        <v>At Least 2 Briefings Delivered to Elected Members During the Year 
(March 2019)</v>
      </c>
      <c r="D34" s="187" t="str">
        <f>'1. ALL DATA'!H35</f>
        <v>On Track to be Achieved</v>
      </c>
      <c r="E34" s="199" t="s">
        <v>222</v>
      </c>
      <c r="F34" s="187" t="str">
        <f>'1. ALL DATA'!M35</f>
        <v>On Track to be Achieved</v>
      </c>
      <c r="G34" s="199" t="s">
        <v>222</v>
      </c>
      <c r="H34" s="135" t="str">
        <f>'1. ALL DATA'!R35</f>
        <v>On Track to be Achieved</v>
      </c>
      <c r="I34" s="199"/>
      <c r="J34" s="135" t="str">
        <f>'1. ALL DATA'!V35</f>
        <v>Fully Achieved</v>
      </c>
    </row>
    <row r="35" spans="1:10" ht="99.75" customHeight="1" x14ac:dyDescent="0.25">
      <c r="A35" s="184" t="str">
        <f>'1. ALL DATA'!A36</f>
        <v>VFM32</v>
      </c>
      <c r="B35" s="186" t="str">
        <f>'1. ALL DATA'!C36</f>
        <v>Continue to Develop SMARTER Working Practices for Planning</v>
      </c>
      <c r="C35" s="334" t="str">
        <f>'1. ALL DATA'!D36</f>
        <v>Introduce the New Charging Regime 
(April 2018)</v>
      </c>
      <c r="D35" s="187" t="str">
        <f>'1. ALL DATA'!H36</f>
        <v>Fully Achieved</v>
      </c>
      <c r="E35" s="199" t="s">
        <v>222</v>
      </c>
      <c r="F35" s="187" t="str">
        <f>'1. ALL DATA'!M36</f>
        <v>Fully Achieved</v>
      </c>
      <c r="G35" s="199" t="s">
        <v>222</v>
      </c>
      <c r="H35" s="135" t="str">
        <f>'1. ALL DATA'!R36</f>
        <v>Fully Achieved</v>
      </c>
      <c r="I35" s="199"/>
      <c r="J35" s="135" t="str">
        <f>'1. ALL DATA'!V36</f>
        <v>Fully Achieved</v>
      </c>
    </row>
    <row r="36" spans="1:10" ht="99.75" customHeight="1" x14ac:dyDescent="0.25">
      <c r="A36" s="184" t="str">
        <f>'1. ALL DATA'!A37</f>
        <v>VFM33</v>
      </c>
      <c r="B36" s="186" t="str">
        <f>'1. ALL DATA'!C37</f>
        <v>Continue to Develop SMARTER Working Practices for Planning</v>
      </c>
      <c r="C36" s="334" t="str">
        <f>'1. ALL DATA'!D37</f>
        <v>Seek to Identify Any Other Commercialisation Opportunities 
(December 2018)</v>
      </c>
      <c r="D36" s="187" t="str">
        <f>'1. ALL DATA'!H37</f>
        <v>Not yet due</v>
      </c>
      <c r="E36" s="432" t="s">
        <v>47</v>
      </c>
      <c r="F36" s="187" t="str">
        <f>'1. ALL DATA'!M37</f>
        <v>On Track to be Achieved</v>
      </c>
      <c r="G36" s="444" t="s">
        <v>221</v>
      </c>
      <c r="H36" s="135" t="str">
        <f>'1. ALL DATA'!R37</f>
        <v>Fully Achieved</v>
      </c>
      <c r="I36" s="199"/>
      <c r="J36" s="135" t="str">
        <f>'1. ALL DATA'!V37</f>
        <v>Fully Achieved</v>
      </c>
    </row>
    <row r="37" spans="1:10" ht="99.75" customHeight="1" x14ac:dyDescent="0.25">
      <c r="A37" s="184" t="str">
        <f>'1. ALL DATA'!A38</f>
        <v>VFM34</v>
      </c>
      <c r="B37" s="186" t="str">
        <f>'1. ALL DATA'!C38</f>
        <v>Continue to Develop SMARTER Working Practices for Planning</v>
      </c>
      <c r="C37" s="334" t="str">
        <f>'1. ALL DATA'!D38</f>
        <v>Investigate and Report on the use of Permission in Principle (PiP) 
(September 2018)</v>
      </c>
      <c r="D37" s="187" t="str">
        <f>'1. ALL DATA'!H38</f>
        <v>On Track to be Achieved</v>
      </c>
      <c r="E37" s="199" t="s">
        <v>222</v>
      </c>
      <c r="F37" s="187" t="str">
        <f>'1. ALL DATA'!M38</f>
        <v>Fully Achieved</v>
      </c>
      <c r="G37" s="199" t="s">
        <v>222</v>
      </c>
      <c r="H37" s="135" t="str">
        <f>'1. ALL DATA'!R38</f>
        <v>Fully Achieved</v>
      </c>
      <c r="I37" s="199"/>
      <c r="J37" s="135" t="str">
        <f>'1. ALL DATA'!V38</f>
        <v>Fully Achieved</v>
      </c>
    </row>
    <row r="38" spans="1:10" ht="99.75" customHeight="1" x14ac:dyDescent="0.25">
      <c r="A38" s="184" t="str">
        <f>'1. ALL DATA'!A39</f>
        <v>VFM35</v>
      </c>
      <c r="B38" s="186" t="str">
        <f>'1. ALL DATA'!C39</f>
        <v>Continue to Develop SMARTER Working Practices for Planning</v>
      </c>
      <c r="C38" s="334" t="str">
        <f>'1. ALL DATA'!D39</f>
        <v>Digitised Planning Information Progress Report
(March 2019)</v>
      </c>
      <c r="D38" s="187" t="str">
        <f>'1. ALL DATA'!H39</f>
        <v>Not yet due</v>
      </c>
      <c r="E38" s="432" t="s">
        <v>47</v>
      </c>
      <c r="F38" s="187" t="str">
        <f>'1. ALL DATA'!M39</f>
        <v>On Track to be Achieved</v>
      </c>
      <c r="G38" s="199" t="s">
        <v>222</v>
      </c>
      <c r="H38" s="135" t="str">
        <f>'1. ALL DATA'!R39</f>
        <v>On Track to be Achieved</v>
      </c>
      <c r="I38" s="199"/>
      <c r="J38" s="135" t="str">
        <f>'1. ALL DATA'!V39</f>
        <v>Fully Achieved</v>
      </c>
    </row>
    <row r="39" spans="1:10" ht="99.75" customHeight="1" x14ac:dyDescent="0.25">
      <c r="A39" s="184" t="str">
        <f>'1. ALL DATA'!A40</f>
        <v>VFM36</v>
      </c>
      <c r="B39" s="186" t="str">
        <f>'1. ALL DATA'!C40</f>
        <v>Improve Value for Money in Environmental Health Activities</v>
      </c>
      <c r="C39" s="334" t="str">
        <f>'1. ALL DATA'!D40</f>
        <v>Introduce a Charging Policy for Requested FHRS Re-Inspections and Food Safety Advice to Businesses
(June 2018)</v>
      </c>
      <c r="D39" s="187" t="str">
        <f>'1. ALL DATA'!H40</f>
        <v>Fully Achieved</v>
      </c>
      <c r="E39" s="199" t="s">
        <v>222</v>
      </c>
      <c r="F39" s="187" t="str">
        <f>'1. ALL DATA'!M40</f>
        <v>Fully Achieved</v>
      </c>
      <c r="G39" s="199" t="s">
        <v>222</v>
      </c>
      <c r="H39" s="135" t="str">
        <f>'1. ALL DATA'!R40</f>
        <v>Fully Achieved</v>
      </c>
      <c r="I39" s="199"/>
      <c r="J39" s="135" t="str">
        <f>'1. ALL DATA'!V40</f>
        <v>Fully Achieved</v>
      </c>
    </row>
    <row r="40" spans="1:10" ht="99.75" customHeight="1" x14ac:dyDescent="0.25">
      <c r="A40" s="184" t="str">
        <f>'1. ALL DATA'!A41</f>
        <v>VFM37</v>
      </c>
      <c r="B40" s="186" t="str">
        <f>'1. ALL DATA'!C41</f>
        <v>Improve Value for Money in Environmental Health Activities</v>
      </c>
      <c r="C40" s="334" t="str">
        <f>'1. ALL DATA'!D41</f>
        <v>Complete a Review of Animal Welfare Policy Within 2 Months of Anticipated Legislative Updates</v>
      </c>
      <c r="D40" s="187" t="str">
        <f>'1. ALL DATA'!H41</f>
        <v>Not yet due</v>
      </c>
      <c r="E40" s="432" t="s">
        <v>47</v>
      </c>
      <c r="F40" s="187" t="str">
        <f>'1. ALL DATA'!M41</f>
        <v>On Track to be Achieved</v>
      </c>
      <c r="G40" s="444" t="s">
        <v>221</v>
      </c>
      <c r="H40" s="135" t="str">
        <f>'1. ALL DATA'!R41</f>
        <v>Fully Achieved</v>
      </c>
      <c r="I40" s="199"/>
      <c r="J40" s="135" t="str">
        <f>'1. ALL DATA'!V41</f>
        <v>Fully Achieved</v>
      </c>
    </row>
    <row r="41" spans="1:10" ht="99.75" customHeight="1" x14ac:dyDescent="0.25">
      <c r="A41" s="184" t="str">
        <f>'1. ALL DATA'!A42</f>
        <v>VFM38</v>
      </c>
      <c r="B41" s="186" t="str">
        <f>'1. ALL DATA'!C42</f>
        <v>Improve Value for Money in Environmental Health Activities</v>
      </c>
      <c r="C41" s="334" t="str">
        <f>'1. ALL DATA'!D42</f>
        <v>Complete a Review of the Public Health Funeral Policy
(September 2018)</v>
      </c>
      <c r="D41" s="187" t="str">
        <f>'1. ALL DATA'!H42</f>
        <v>On Track to be Achieved</v>
      </c>
      <c r="E41" s="199" t="s">
        <v>222</v>
      </c>
      <c r="F41" s="187" t="str">
        <f>'1. ALL DATA'!M42</f>
        <v>Fully Achieved</v>
      </c>
      <c r="G41" s="199" t="s">
        <v>222</v>
      </c>
      <c r="H41" s="135" t="str">
        <f>'1. ALL DATA'!R42</f>
        <v>Fully Achieved</v>
      </c>
      <c r="I41" s="199"/>
      <c r="J41" s="135" t="str">
        <f>'1. ALL DATA'!V42</f>
        <v>Fully Achieved</v>
      </c>
    </row>
    <row r="42" spans="1:10" ht="99.75" customHeight="1" x14ac:dyDescent="0.25">
      <c r="A42" s="184" t="str">
        <f>'1. ALL DATA'!A43</f>
        <v>VFM39</v>
      </c>
      <c r="B42" s="186" t="str">
        <f>'1. ALL DATA'!C43</f>
        <v>Disabled Facilities Grant Service</v>
      </c>
      <c r="C42" s="334" t="str">
        <f>'1. ALL DATA'!D43</f>
        <v>Implement In-House Disabled Facility Grant Service
(April 2018)</v>
      </c>
      <c r="D42" s="187" t="str">
        <f>'1. ALL DATA'!H43</f>
        <v>Fully Achieved</v>
      </c>
      <c r="E42" s="199" t="s">
        <v>222</v>
      </c>
      <c r="F42" s="187" t="str">
        <f>'1. ALL DATA'!M43</f>
        <v>Fully Achieved</v>
      </c>
      <c r="G42" s="199" t="s">
        <v>222</v>
      </c>
      <c r="H42" s="135" t="str">
        <f>'1. ALL DATA'!R43</f>
        <v>Fully Achieved</v>
      </c>
      <c r="I42" s="199"/>
      <c r="J42" s="135" t="str">
        <f>'1. ALL DATA'!V43</f>
        <v>Fully Achieved</v>
      </c>
    </row>
    <row r="43" spans="1:10" ht="99.75" customHeight="1" x14ac:dyDescent="0.25">
      <c r="A43" s="184" t="str">
        <f>'1. ALL DATA'!A44</f>
        <v>VFM40</v>
      </c>
      <c r="B43" s="186" t="str">
        <f>'1. ALL DATA'!C44</f>
        <v>Community and Civil Enforcement Activities</v>
      </c>
      <c r="C43" s="334" t="str">
        <f>'1. ALL DATA'!D44</f>
        <v>Undertake a Review of Community and Civil Enforcement  Role 
(October 2018)</v>
      </c>
      <c r="D43" s="187" t="str">
        <f>'1. ALL DATA'!H44</f>
        <v>Not yet due</v>
      </c>
      <c r="E43" s="432" t="s">
        <v>47</v>
      </c>
      <c r="F43" s="187" t="str">
        <f>'1. ALL DATA'!M44</f>
        <v>On Track to be Achieved</v>
      </c>
      <c r="G43" s="444" t="s">
        <v>221</v>
      </c>
      <c r="H43" s="135" t="str">
        <f>'1. ALL DATA'!R44</f>
        <v>Fully Achieved</v>
      </c>
      <c r="I43" s="341"/>
      <c r="J43" s="135" t="str">
        <f>'1. ALL DATA'!V44</f>
        <v>Fully Achieved</v>
      </c>
    </row>
    <row r="44" spans="1:10" ht="99.75" customHeight="1" x14ac:dyDescent="0.25">
      <c r="A44" s="184" t="str">
        <f>'1. ALL DATA'!A45</f>
        <v>VFM41</v>
      </c>
      <c r="B44" s="186" t="str">
        <f>'1. ALL DATA'!C45</f>
        <v>Licensing Activities</v>
      </c>
      <c r="C44" s="334" t="str">
        <f>'1. ALL DATA'!D45</f>
        <v>Refreshed Gambling Act Policy Approved
(January 2019)</v>
      </c>
      <c r="D44" s="187" t="str">
        <f>'1. ALL DATA'!H45</f>
        <v>Not yet due</v>
      </c>
      <c r="E44" s="432" t="s">
        <v>47</v>
      </c>
      <c r="F44" s="187" t="str">
        <f>'1. ALL DATA'!M45</f>
        <v>On Track to be Achieved</v>
      </c>
      <c r="G44" s="199" t="s">
        <v>222</v>
      </c>
      <c r="H44" s="135" t="str">
        <f>'1. ALL DATA'!R45</f>
        <v>On Track to be Achieved</v>
      </c>
      <c r="I44" s="199"/>
      <c r="J44" s="135" t="str">
        <f>'1. ALL DATA'!V45</f>
        <v>Fully Achieved</v>
      </c>
    </row>
    <row r="45" spans="1:10" ht="99.75" customHeight="1" x14ac:dyDescent="0.25">
      <c r="A45" s="184" t="str">
        <f>'1. ALL DATA'!A46</f>
        <v>VFM42</v>
      </c>
      <c r="B45" s="186" t="str">
        <f>'1. ALL DATA'!C46</f>
        <v>Licensing Activities</v>
      </c>
      <c r="C45" s="334" t="str">
        <f>'1. ALL DATA'!D46</f>
        <v>Review of Taxi Compliance Testing Stations Complete
(March 2019)</v>
      </c>
      <c r="D45" s="187" t="str">
        <f>'1. ALL DATA'!H46</f>
        <v>Not yet due</v>
      </c>
      <c r="E45" s="432" t="s">
        <v>47</v>
      </c>
      <c r="F45" s="187" t="str">
        <f>'1. ALL DATA'!M46</f>
        <v>Not yet due</v>
      </c>
      <c r="G45" s="432" t="s">
        <v>47</v>
      </c>
      <c r="H45" s="135" t="str">
        <f>'1. ALL DATA'!R46</f>
        <v>Not yet due</v>
      </c>
      <c r="I45" s="199"/>
      <c r="J45" s="135" t="str">
        <f>'1. ALL DATA'!V46</f>
        <v>Fully Achieved</v>
      </c>
    </row>
    <row r="46" spans="1:10" ht="99.75" customHeight="1" x14ac:dyDescent="0.25">
      <c r="A46" s="184" t="str">
        <f>'1. ALL DATA'!A47</f>
        <v>VFM43</v>
      </c>
      <c r="B46" s="186" t="str">
        <f>'1. ALL DATA'!C47</f>
        <v>Continue to Improve the Ways We Provide Benefits to Those Most in Need:Time Taken to Process Benefit New Claims and Change Events (Previously NI 181)</v>
      </c>
      <c r="C46" s="334" t="str">
        <f>'1. ALL DATA'!D47</f>
        <v>7 Days</v>
      </c>
      <c r="D46" s="187" t="str">
        <f>'1. ALL DATA'!H47</f>
        <v>On Track to be Achieved</v>
      </c>
      <c r="E46" s="199" t="s">
        <v>222</v>
      </c>
      <c r="F46" s="187" t="str">
        <f>'1. ALL DATA'!M47</f>
        <v>On Track to be Achieved</v>
      </c>
      <c r="G46" s="199" t="s">
        <v>222</v>
      </c>
      <c r="H46" s="135" t="str">
        <f>'1. ALL DATA'!R47</f>
        <v>On Track to be Achieved</v>
      </c>
      <c r="I46" s="199"/>
      <c r="J46" s="135" t="str">
        <f>'1. ALL DATA'!V47</f>
        <v>Fully Achieved</v>
      </c>
    </row>
    <row r="47" spans="1:10" ht="99.75" customHeight="1" x14ac:dyDescent="0.25">
      <c r="A47" s="184" t="str">
        <f>'1. ALL DATA'!A48</f>
        <v>VFM44</v>
      </c>
      <c r="B47" s="186" t="str">
        <f>'1. ALL DATA'!C48</f>
        <v>Continuing to Improve Customer Access to Services</v>
      </c>
      <c r="C47" s="334" t="str">
        <f>'1. ALL DATA'!D48</f>
        <v>99% of CSC and Telephony Team Enquiries Resolved at First Point of Contact</v>
      </c>
      <c r="D47" s="187" t="str">
        <f>'1. ALL DATA'!H48</f>
        <v>On Track to be Achieved</v>
      </c>
      <c r="E47" s="199" t="s">
        <v>222</v>
      </c>
      <c r="F47" s="187" t="str">
        <f>'1. ALL DATA'!M48</f>
        <v>On Track to be Achieved</v>
      </c>
      <c r="G47" s="199" t="s">
        <v>222</v>
      </c>
      <c r="H47" s="135" t="str">
        <f>'1. ALL DATA'!R48</f>
        <v>On Track to be Achieved</v>
      </c>
      <c r="I47" s="199"/>
      <c r="J47" s="135" t="str">
        <f>'1. ALL DATA'!V48</f>
        <v>Fully Achieved</v>
      </c>
    </row>
    <row r="48" spans="1:10" ht="99.75" customHeight="1" x14ac:dyDescent="0.25">
      <c r="A48" s="184" t="str">
        <f>'1. ALL DATA'!A49</f>
        <v>VFM45</v>
      </c>
      <c r="B48" s="186" t="str">
        <f>'1. ALL DATA'!C49</f>
        <v>Continuing to Improve Customer Access to Services</v>
      </c>
      <c r="C48" s="334" t="str">
        <f>'1. ALL DATA'!D49</f>
        <v xml:space="preserve">Minimum 75% Telephony Team Calls Answered Within 10 Seconds </v>
      </c>
      <c r="D48" s="187" t="str">
        <f>'1. ALL DATA'!H49</f>
        <v>On Track to be Achieved</v>
      </c>
      <c r="E48" s="199" t="s">
        <v>222</v>
      </c>
      <c r="F48" s="187" t="str">
        <f>'1. ALL DATA'!M49</f>
        <v>On Track to be Achieved</v>
      </c>
      <c r="G48" s="199" t="s">
        <v>222</v>
      </c>
      <c r="H48" s="135" t="str">
        <f>'1. ALL DATA'!R49</f>
        <v>On Track to be Achieved</v>
      </c>
      <c r="I48" s="199"/>
      <c r="J48" s="135" t="str">
        <f>'1. ALL DATA'!V49</f>
        <v>Fully Achieved</v>
      </c>
    </row>
    <row r="49" spans="1:47" ht="99.75" customHeight="1" x14ac:dyDescent="0.25">
      <c r="A49" s="184" t="str">
        <f>'1. ALL DATA'!A50</f>
        <v>VFM46</v>
      </c>
      <c r="B49" s="186" t="str">
        <f>'1. ALL DATA'!C50</f>
        <v>Working Towards the Reduction of Claimant Error Housing Benefit Overpayments (HBOPs): % of HBOPs  Recovered During the Year; % of HBOPS Processed and on Payment Arrangement</v>
      </c>
      <c r="C49" s="334" t="str">
        <f>'1. ALL DATA'!D50</f>
        <v>% of HBOPs Recovered During the Year: 
80%
% of HBOPs Processed and on Payment Arrangement:
85%</v>
      </c>
      <c r="D49" s="187" t="str">
        <f>'1. ALL DATA'!H50</f>
        <v>On Track to be Achieved</v>
      </c>
      <c r="E49" s="199" t="s">
        <v>222</v>
      </c>
      <c r="F49" s="187" t="str">
        <f>'1. ALL DATA'!M50</f>
        <v>On Track to be Achieved</v>
      </c>
      <c r="G49" s="199" t="s">
        <v>222</v>
      </c>
      <c r="H49" s="135" t="str">
        <f>'1. ALL DATA'!R50</f>
        <v>On Track to be Achieved</v>
      </c>
      <c r="I49" s="199"/>
      <c r="J49" s="135" t="str">
        <f>'1. ALL DATA'!V50</f>
        <v>Fully Achieved</v>
      </c>
    </row>
    <row r="50" spans="1:47" ht="99.75" customHeight="1" x14ac:dyDescent="0.25">
      <c r="A50" s="184" t="str">
        <f>'1. ALL DATA'!A51</f>
        <v>VFM47</v>
      </c>
      <c r="B50" s="186" t="str">
        <f>'1. ALL DATA'!C51</f>
        <v xml:space="preserve">Continue to Maximise Income Through Effective Collection Processes (Previously BV 9 &amp; 10) </v>
      </c>
      <c r="C50" s="334" t="str">
        <f>'1. ALL DATA'!D51</f>
        <v>Collection Rates of -    
Council Tax : 98%     
NNDR : 99%</v>
      </c>
      <c r="D50" s="187" t="str">
        <f>'1. ALL DATA'!H51</f>
        <v>On Track to be Achieved</v>
      </c>
      <c r="E50" s="199" t="s">
        <v>222</v>
      </c>
      <c r="F50" s="187" t="str">
        <f>'1. ALL DATA'!M51</f>
        <v>On Track to be Achieved</v>
      </c>
      <c r="G50" s="199" t="s">
        <v>222</v>
      </c>
      <c r="H50" s="135" t="str">
        <f>'1. ALL DATA'!R51</f>
        <v>On Track to be Achieved</v>
      </c>
      <c r="I50" s="199"/>
      <c r="J50" s="135" t="str">
        <f>'1. ALL DATA'!V51</f>
        <v>Numerical Outturn Within 5% Tolerance</v>
      </c>
    </row>
    <row r="51" spans="1:47" ht="99.75" customHeight="1" x14ac:dyDescent="0.25">
      <c r="A51" s="184" t="str">
        <f>'1. ALL DATA'!A52</f>
        <v>VFM48</v>
      </c>
      <c r="B51" s="186" t="str">
        <f>'1. ALL DATA'!C52</f>
        <v>Continue to Maximise Income Through Effective Collection Processes: Reduce Arrears for Council Tax; NNDR; Sundry Debts</v>
      </c>
      <c r="C51" s="334" t="str">
        <f>'1. ALL DATA'!D52</f>
        <v xml:space="preserve">Council Tax Former Years Arrears: 
£1,900,000 (net)     
NNDR Former Years Arrears:
£500,000 (net)     
Sundry Debts Current Years Arrears (older than 90 days): 
£40,000
</v>
      </c>
      <c r="D51" s="187" t="str">
        <f>'1. ALL DATA'!H52</f>
        <v>On Track to be Achieved</v>
      </c>
      <c r="E51" s="199" t="s">
        <v>222</v>
      </c>
      <c r="F51" s="187" t="str">
        <f>'1. ALL DATA'!M52</f>
        <v>On Track to be Achieved</v>
      </c>
      <c r="G51" s="199" t="s">
        <v>222</v>
      </c>
      <c r="H51" s="135" t="str">
        <f>'1. ALL DATA'!R52</f>
        <v>On Track to be Achieved</v>
      </c>
      <c r="I51" s="341"/>
      <c r="J51" s="135" t="str">
        <f>'1. ALL DATA'!V52</f>
        <v>Target Partially Met</v>
      </c>
    </row>
    <row r="52" spans="1:47" ht="99.75" customHeight="1" x14ac:dyDescent="0.25">
      <c r="A52" s="184" t="str">
        <f>'1. ALL DATA'!A53</f>
        <v>VFM49</v>
      </c>
      <c r="B52" s="186" t="str">
        <f>'1. ALL DATA'!C53</f>
        <v>Prepare for Universal Credit Full Service Implementation</v>
      </c>
      <c r="C52" s="334" t="str">
        <f>'1. ALL DATA'!D53</f>
        <v>Hold 2 Stakeholder Meetings and 1 Member Briefing
(March 2019)</v>
      </c>
      <c r="D52" s="187" t="str">
        <f>'1. ALL DATA'!H53</f>
        <v>Not yet due</v>
      </c>
      <c r="E52" s="432" t="s">
        <v>47</v>
      </c>
      <c r="F52" s="187" t="str">
        <f>'1. ALL DATA'!M53</f>
        <v>On Track to be Achieved</v>
      </c>
      <c r="G52" s="444" t="s">
        <v>221</v>
      </c>
      <c r="H52" s="135" t="str">
        <f>'1. ALL DATA'!R53</f>
        <v>Fully Achieved</v>
      </c>
      <c r="I52" s="199"/>
      <c r="J52" s="135" t="str">
        <f>'1. ALL DATA'!V53</f>
        <v>Fully Achieved</v>
      </c>
    </row>
    <row r="53" spans="1:47" ht="99.75" customHeight="1" x14ac:dyDescent="0.25">
      <c r="A53" s="184" t="str">
        <f>'1. ALL DATA'!A54</f>
        <v>VFM50</v>
      </c>
      <c r="B53" s="186" t="str">
        <f>'1. ALL DATA'!C54</f>
        <v>Review Council Tax Support Scheme</v>
      </c>
      <c r="C53" s="334" t="str">
        <f>'1. ALL DATA'!D54</f>
        <v>Carry Out Review of the Council Tax Reduction Scheme 
(September 2018)</v>
      </c>
      <c r="D53" s="187" t="str">
        <f>'1. ALL DATA'!H54</f>
        <v>Not yet due</v>
      </c>
      <c r="E53" s="432" t="s">
        <v>47</v>
      </c>
      <c r="F53" s="187" t="str">
        <f>'1. ALL DATA'!M54</f>
        <v>Fully Achieved</v>
      </c>
      <c r="G53" s="199" t="s">
        <v>222</v>
      </c>
      <c r="H53" s="135" t="str">
        <f>'1. ALL DATA'!R54</f>
        <v>Fully Achieved</v>
      </c>
      <c r="I53" s="199"/>
      <c r="J53" s="135" t="str">
        <f>'1. ALL DATA'!V54</f>
        <v>Fully Achieved</v>
      </c>
    </row>
    <row r="54" spans="1:47" ht="99.75" customHeight="1" x14ac:dyDescent="0.25">
      <c r="A54" s="184" t="str">
        <f>'1. ALL DATA'!A55</f>
        <v>VFM51</v>
      </c>
      <c r="B54" s="186" t="str">
        <f>'1. ALL DATA'!C55</f>
        <v>Review the Discretionary Housing Payments Policy and the Council Tax Reduction Discretionary Payments Policy</v>
      </c>
      <c r="C54" s="334" t="str">
        <f>'1. ALL DATA'!D55</f>
        <v>Carry Out a Review of the Council’s Discretionary Payment Policies 
(April 2018)</v>
      </c>
      <c r="D54" s="187" t="str">
        <f>'1. ALL DATA'!H55</f>
        <v>Fully Achieved</v>
      </c>
      <c r="E54" s="199" t="s">
        <v>222</v>
      </c>
      <c r="F54" s="187" t="str">
        <f>'1. ALL DATA'!M55</f>
        <v>Fully Achieved</v>
      </c>
      <c r="G54" s="199" t="s">
        <v>222</v>
      </c>
      <c r="H54" s="135" t="str">
        <f>'1. ALL DATA'!R55</f>
        <v>Fully Achieved</v>
      </c>
      <c r="I54" s="199"/>
      <c r="J54" s="135" t="str">
        <f>'1. ALL DATA'!V55</f>
        <v>Fully Achieved</v>
      </c>
    </row>
    <row r="55" spans="1:47" ht="126" x14ac:dyDescent="0.25">
      <c r="A55" s="184" t="str">
        <f>'1. ALL DATA'!A56</f>
        <v>VFM52</v>
      </c>
      <c r="B55" s="186" t="str">
        <f>'1. ALL DATA'!C56</f>
        <v>Investigate Automation of the Assessment Benefit Claims and Changes of Circumstances</v>
      </c>
      <c r="C55" s="334" t="str">
        <f>'1. ALL DATA'!D56</f>
        <v>Carry Out Pilot Study to Investigate Automation of the Assessment Benefit Claims and Changes of Circumstances 
(September 2018)</v>
      </c>
      <c r="D55" s="187" t="str">
        <f>'1. ALL DATA'!H56</f>
        <v>Not yet due</v>
      </c>
      <c r="E55" s="432" t="s">
        <v>47</v>
      </c>
      <c r="F55" s="187" t="str">
        <f>'1. ALL DATA'!M56</f>
        <v>Fully Achieved</v>
      </c>
      <c r="G55" s="199" t="s">
        <v>222</v>
      </c>
      <c r="H55" s="135" t="str">
        <f>'1. ALL DATA'!R56</f>
        <v>Fully Achieved</v>
      </c>
      <c r="I55" s="199"/>
      <c r="J55" s="135" t="str">
        <f>'1. ALL DATA'!V56</f>
        <v>Fully Achieved</v>
      </c>
    </row>
    <row r="56" spans="1:47" ht="99.75" customHeight="1" x14ac:dyDescent="0.25">
      <c r="A56" s="184" t="str">
        <f>'1. ALL DATA'!A57</f>
        <v>VFM53</v>
      </c>
      <c r="B56" s="186" t="str">
        <f>'1. ALL DATA'!C57</f>
        <v>Continuing to Improve Customer Access to Services</v>
      </c>
      <c r="C56" s="334" t="str">
        <f>'1. ALL DATA'!D57</f>
        <v>Introduce Payment Kiosk at Burton Customer Service Centre 
(June 2018)</v>
      </c>
      <c r="D56" s="187" t="str">
        <f>'1. ALL DATA'!H57</f>
        <v>Off Target</v>
      </c>
      <c r="E56" s="199" t="s">
        <v>222</v>
      </c>
      <c r="F56" s="187" t="str">
        <f>'1. ALL DATA'!M57</f>
        <v>Completed Behind Schedule</v>
      </c>
      <c r="G56" s="199" t="s">
        <v>222</v>
      </c>
      <c r="H56" s="135" t="str">
        <f>'1. ALL DATA'!R57</f>
        <v>Completed Behind Schedule</v>
      </c>
      <c r="I56" s="199"/>
      <c r="J56" s="135" t="str">
        <f>'1. ALL DATA'!V57</f>
        <v>Completed Significantly After Target Deadline</v>
      </c>
    </row>
    <row r="57" spans="1:47" ht="99.75" customHeight="1" x14ac:dyDescent="0.25">
      <c r="A57" s="184" t="str">
        <f>'1. ALL DATA'!A58</f>
        <v>VFM54</v>
      </c>
      <c r="B57" s="186" t="str">
        <f>'1. ALL DATA'!C58</f>
        <v>Continuing to Improve Customer Access to Services</v>
      </c>
      <c r="C57" s="334" t="str">
        <f>'1. ALL DATA'!D58</f>
        <v>Plan for Amendments and Alterations to Customer Service Centre Complete
(August 2018)</v>
      </c>
      <c r="D57" s="187" t="str">
        <f>'1. ALL DATA'!H58</f>
        <v>On Track to be Achieved</v>
      </c>
      <c r="E57" s="199" t="s">
        <v>222</v>
      </c>
      <c r="F57" s="187" t="str">
        <f>'1. ALL DATA'!M58</f>
        <v>Fully Achieved</v>
      </c>
      <c r="G57" s="199" t="s">
        <v>222</v>
      </c>
      <c r="H57" s="135" t="str">
        <f>'1. ALL DATA'!R58</f>
        <v>Fully Achieved</v>
      </c>
      <c r="I57" s="199"/>
      <c r="J57" s="135" t="str">
        <f>'1. ALL DATA'!V58</f>
        <v>Fully Achieved</v>
      </c>
      <c r="AU57" s="34"/>
    </row>
    <row r="58" spans="1:47" s="146" customFormat="1" ht="94.5" x14ac:dyDescent="0.25">
      <c r="A58" s="184" t="str">
        <f>'1. ALL DATA'!A59</f>
        <v>VFM55</v>
      </c>
      <c r="B58" s="186" t="str">
        <f>'1. ALL DATA'!C59</f>
        <v xml:space="preserve">Maintain Commissioning Approach with Third Sector Partners </v>
      </c>
      <c r="C58" s="334" t="str">
        <f>'1. ALL DATA'!D59</f>
        <v>Procurement of at Least 2 Contract Opportunities via Third Sector Organisations
(March 2019)</v>
      </c>
      <c r="D58" s="187" t="str">
        <f>'1. ALL DATA'!H59</f>
        <v>Not yet due</v>
      </c>
      <c r="E58" s="432" t="s">
        <v>47</v>
      </c>
      <c r="F58" s="187" t="str">
        <f>'1. ALL DATA'!M59</f>
        <v>Not yet due</v>
      </c>
      <c r="G58" s="432" t="s">
        <v>47</v>
      </c>
      <c r="H58" s="135" t="str">
        <f>'1. ALL DATA'!R59</f>
        <v>Not yet due</v>
      </c>
      <c r="I58" s="199"/>
      <c r="J58" s="135" t="str">
        <f>'1. ALL DATA'!V59</f>
        <v>Fully Achieved</v>
      </c>
      <c r="K58" s="147"/>
      <c r="L58" s="147"/>
      <c r="M58" s="147"/>
      <c r="N58" s="148"/>
      <c r="O58" s="149"/>
      <c r="P58" s="149"/>
      <c r="Q58" s="149"/>
      <c r="R58" s="149"/>
      <c r="S58" s="150"/>
      <c r="T58" s="147"/>
      <c r="U58" s="147"/>
      <c r="V58" s="147"/>
      <c r="W58" s="147"/>
      <c r="X58" s="151"/>
      <c r="Y58" s="151"/>
      <c r="Z58" s="151"/>
      <c r="AA58" s="151"/>
      <c r="AB58" s="145"/>
      <c r="AC58" s="141"/>
      <c r="AD58" s="152"/>
      <c r="AE58" s="152"/>
      <c r="AF58" s="152"/>
      <c r="AG58" s="152"/>
      <c r="AH58" s="152"/>
      <c r="AI58" s="152"/>
      <c r="AJ58" s="152"/>
      <c r="AK58" s="152"/>
      <c r="AL58" s="152"/>
      <c r="AM58" s="152"/>
      <c r="AN58" s="152"/>
      <c r="AO58" s="152"/>
      <c r="AP58" s="152"/>
      <c r="AQ58" s="152"/>
      <c r="AR58" s="152"/>
      <c r="AS58" s="152"/>
      <c r="AT58" s="152"/>
      <c r="AU58" s="152"/>
    </row>
    <row r="59" spans="1:47" ht="99.75" customHeight="1" x14ac:dyDescent="0.25">
      <c r="A59" s="184" t="str">
        <f>'1. ALL DATA'!A60</f>
        <v>VFM56</v>
      </c>
      <c r="B59" s="186" t="str">
        <f>'1. ALL DATA'!C60</f>
        <v>Neighbourhood Fund Implementation</v>
      </c>
      <c r="C59" s="334" t="str">
        <f>'1. ALL DATA'!D60</f>
        <v>4 New Projects and 4 Existing Projects Taken to Completion</v>
      </c>
      <c r="D59" s="187" t="str">
        <f>'1. ALL DATA'!H60</f>
        <v>On Track to be Achieved</v>
      </c>
      <c r="E59" s="199" t="s">
        <v>222</v>
      </c>
      <c r="F59" s="187" t="str">
        <f>'1. ALL DATA'!M60</f>
        <v>On Track to be Achieved</v>
      </c>
      <c r="G59" s="444" t="s">
        <v>221</v>
      </c>
      <c r="H59" s="135" t="str">
        <f>'1. ALL DATA'!R60</f>
        <v>Fully Achieved</v>
      </c>
      <c r="I59" s="199"/>
      <c r="J59" s="135" t="str">
        <f>'1. ALL DATA'!V60</f>
        <v>Fully Achieved</v>
      </c>
    </row>
    <row r="60" spans="1:47" ht="99.75" customHeight="1" x14ac:dyDescent="0.25">
      <c r="A60" s="184" t="str">
        <f>'1. ALL DATA'!A61</f>
        <v>VFM57</v>
      </c>
      <c r="B60" s="186" t="str">
        <f>'1. ALL DATA'!C61</f>
        <v>Raise the Profile of Neighbourhood Fund (NF) and Councillor Community Fund (CCF)</v>
      </c>
      <c r="C60" s="334" t="str">
        <f>'1. ALL DATA'!D61</f>
        <v>Highlight Supported NF and CCF Projects Via Social Media Channels 
(March 2019)</v>
      </c>
      <c r="D60" s="187" t="str">
        <f>'1. ALL DATA'!H61</f>
        <v>Not yet due</v>
      </c>
      <c r="E60" s="432" t="s">
        <v>47</v>
      </c>
      <c r="F60" s="187" t="str">
        <f>'1. ALL DATA'!M61</f>
        <v>Not yet due</v>
      </c>
      <c r="G60" s="432" t="s">
        <v>47</v>
      </c>
      <c r="H60" s="135" t="str">
        <f>'1. ALL DATA'!R61</f>
        <v>Not yet due</v>
      </c>
      <c r="I60" s="199"/>
      <c r="J60" s="135" t="str">
        <f>'1. ALL DATA'!V61</f>
        <v>Fully Achieved</v>
      </c>
    </row>
    <row r="61" spans="1:47" ht="99.75" customHeight="1" x14ac:dyDescent="0.25">
      <c r="A61" s="357" t="str">
        <f>'1. ALL DATA'!A62</f>
        <v>VFM58</v>
      </c>
      <c r="B61" s="245" t="str">
        <f>'1. ALL DATA'!C62</f>
        <v>Brief Elected Members on New Councillor Community Fund (CCF)</v>
      </c>
      <c r="C61" s="358" t="str">
        <f>'1. ALL DATA'!D62</f>
        <v>Hold Member Workshop on the CCF Providing Guidance on Developing Community Projects 
(July 2018)</v>
      </c>
      <c r="D61" s="246" t="str">
        <f>'1. ALL DATA'!H62</f>
        <v>On Track to be Achieved</v>
      </c>
      <c r="E61" s="199" t="s">
        <v>222</v>
      </c>
      <c r="F61" s="246" t="str">
        <f>'1. ALL DATA'!M62</f>
        <v>Fully Achieved</v>
      </c>
      <c r="G61" s="199" t="s">
        <v>222</v>
      </c>
      <c r="H61" s="191" t="str">
        <f>'1. ALL DATA'!R62</f>
        <v>Fully Achieved</v>
      </c>
      <c r="I61" s="362"/>
      <c r="J61" s="191" t="str">
        <f>'1. ALL DATA'!V62</f>
        <v>Fully Achieved</v>
      </c>
    </row>
    <row r="62" spans="1:47" ht="25.5" customHeight="1" x14ac:dyDescent="0.25">
      <c r="A62" s="188" t="str">
        <f>'1. ALL DATA'!A63</f>
        <v>Promoting Local Economic Growth - to Benefit Local People by Turning Aspiration into Reality</v>
      </c>
      <c r="B62" s="364"/>
      <c r="C62" s="364"/>
      <c r="D62" s="364"/>
      <c r="E62" s="364"/>
      <c r="F62" s="364"/>
      <c r="G62" s="364"/>
      <c r="H62" s="364"/>
      <c r="I62" s="364"/>
      <c r="J62" s="365"/>
    </row>
    <row r="63" spans="1:47" s="349" customFormat="1" ht="69.75" customHeight="1" x14ac:dyDescent="0.3">
      <c r="A63" s="185" t="str">
        <f>'1. ALL DATA'!A64</f>
        <v>PLEG01</v>
      </c>
      <c r="B63" s="186" t="str">
        <f>'1. ALL DATA'!C64</f>
        <v>Markets Options Appraisal</v>
      </c>
      <c r="C63" s="355" t="str">
        <f>'1. ALL DATA'!D64</f>
        <v>Evaluation of Future Options for the Market Offering Completed 
(March 2019)</v>
      </c>
      <c r="D63" s="187" t="str">
        <f>'1. ALL DATA'!H64</f>
        <v>Not yet due</v>
      </c>
      <c r="E63" s="432" t="s">
        <v>47</v>
      </c>
      <c r="F63" s="187" t="str">
        <f>'1. ALL DATA'!M64</f>
        <v>Deferred</v>
      </c>
      <c r="G63" s="432" t="s">
        <v>47</v>
      </c>
      <c r="H63" s="187" t="str">
        <f>'1. ALL DATA'!R64</f>
        <v>Deferred</v>
      </c>
      <c r="I63" s="363"/>
      <c r="J63" s="187" t="str">
        <f>'1. ALL DATA'!V64</f>
        <v>Deferred</v>
      </c>
      <c r="K63" s="348"/>
      <c r="L63" s="348"/>
      <c r="M63" s="348"/>
      <c r="N63" s="348"/>
      <c r="O63" s="348"/>
      <c r="P63" s="348"/>
      <c r="Q63" s="348"/>
      <c r="R63" s="348"/>
      <c r="S63" s="348"/>
      <c r="T63" s="348"/>
      <c r="U63" s="348"/>
      <c r="V63" s="348"/>
      <c r="W63" s="348"/>
      <c r="X63" s="348"/>
      <c r="Y63" s="348"/>
      <c r="Z63" s="348"/>
      <c r="AA63" s="348"/>
      <c r="AB63" s="348"/>
      <c r="AC63" s="348"/>
      <c r="AD63" s="348"/>
      <c r="AE63" s="348"/>
      <c r="AF63" s="348"/>
      <c r="AG63" s="348"/>
      <c r="AH63" s="348"/>
      <c r="AI63" s="348"/>
      <c r="AJ63" s="348"/>
      <c r="AK63" s="348"/>
      <c r="AL63" s="348"/>
      <c r="AM63" s="348"/>
      <c r="AN63" s="348"/>
      <c r="AO63" s="348"/>
      <c r="AP63" s="348"/>
      <c r="AQ63" s="348"/>
      <c r="AR63" s="348"/>
      <c r="AS63" s="348"/>
      <c r="AT63" s="348"/>
    </row>
    <row r="64" spans="1:47" ht="99.75" customHeight="1" x14ac:dyDescent="0.25">
      <c r="A64" s="184" t="str">
        <f>'1. ALL DATA'!A65</f>
        <v>PLEG02</v>
      </c>
      <c r="B64" s="186" t="str">
        <f>'1. ALL DATA'!C65</f>
        <v>Major Planning Applications Determined Within 13 Weeks</v>
      </c>
      <c r="C64" s="334" t="str">
        <f>'1. ALL DATA'!D65</f>
        <v>Top Quartile as Measured Against Relevant DCLG Figures</v>
      </c>
      <c r="D64" s="187" t="str">
        <f>'1. ALL DATA'!H65</f>
        <v>On Track to be Achieved</v>
      </c>
      <c r="E64" s="199" t="s">
        <v>222</v>
      </c>
      <c r="F64" s="187" t="str">
        <f>'1. ALL DATA'!M65</f>
        <v>On Track to be Achieved</v>
      </c>
      <c r="G64" s="199" t="s">
        <v>222</v>
      </c>
      <c r="H64" s="135" t="str">
        <f>'1. ALL DATA'!R65</f>
        <v>On Track to be Achieved</v>
      </c>
      <c r="I64" s="199"/>
      <c r="J64" s="135" t="str">
        <f>'1. ALL DATA'!V65</f>
        <v>Fully Achieved</v>
      </c>
    </row>
    <row r="65" spans="1:10" ht="99.75" customHeight="1" x14ac:dyDescent="0.25">
      <c r="A65" s="184" t="str">
        <f>'1. ALL DATA'!A66</f>
        <v>PLEG03</v>
      </c>
      <c r="B65" s="186" t="str">
        <f>'1. ALL DATA'!C66</f>
        <v>Minor Planning Applications Determined Within 8 Weeks</v>
      </c>
      <c r="C65" s="334" t="str">
        <f>'1. ALL DATA'!D66</f>
        <v>Top Quartile as Measured Against Relevant DCLG Figures</v>
      </c>
      <c r="D65" s="187" t="str">
        <f>'1. ALL DATA'!H66</f>
        <v>On Track to be Achieved</v>
      </c>
      <c r="E65" s="199" t="s">
        <v>222</v>
      </c>
      <c r="F65" s="187" t="str">
        <f>'1. ALL DATA'!M66</f>
        <v>On Track to be Achieved</v>
      </c>
      <c r="G65" s="199" t="s">
        <v>222</v>
      </c>
      <c r="H65" s="135" t="str">
        <f>'1. ALL DATA'!R66</f>
        <v>On Track to be Achieved</v>
      </c>
      <c r="I65" s="199"/>
      <c r="J65" s="135" t="str">
        <f>'1. ALL DATA'!V66</f>
        <v>Fully Achieved</v>
      </c>
    </row>
    <row r="66" spans="1:10" ht="99.75" customHeight="1" x14ac:dyDescent="0.25">
      <c r="A66" s="184" t="str">
        <f>'1. ALL DATA'!A67</f>
        <v>PLEG04</v>
      </c>
      <c r="B66" s="186" t="str">
        <f>'1. ALL DATA'!C67</f>
        <v>Other Planning Applications Determined Within 8 Weeks</v>
      </c>
      <c r="C66" s="334" t="str">
        <f>'1. ALL DATA'!D67</f>
        <v>Top Quartile as Measured Against Relevant DCLG Figures</v>
      </c>
      <c r="D66" s="187" t="str">
        <f>'1. ALL DATA'!H67</f>
        <v>On Track to be Achieved</v>
      </c>
      <c r="E66" s="199" t="s">
        <v>222</v>
      </c>
      <c r="F66" s="187" t="str">
        <f>'1. ALL DATA'!M67</f>
        <v>On Track to be Achieved</v>
      </c>
      <c r="G66" s="199" t="s">
        <v>222</v>
      </c>
      <c r="H66" s="135" t="str">
        <f>'1. ALL DATA'!R67</f>
        <v>On Track to be Achieved</v>
      </c>
      <c r="I66" s="199"/>
      <c r="J66" s="135" t="str">
        <f>'1. ALL DATA'!V67</f>
        <v>Fully Achieved</v>
      </c>
    </row>
    <row r="67" spans="1:10" ht="99.75" customHeight="1" x14ac:dyDescent="0.25">
      <c r="A67" s="184" t="str">
        <f>'1. ALL DATA'!A68</f>
        <v>PLEG05</v>
      </c>
      <c r="B67" s="186" t="str">
        <f>'1. ALL DATA'!C68</f>
        <v xml:space="preserve">To Carry Out Necessary Work With Reference to the Transfer of the Local Land Charges Register to the Land Registry </v>
      </c>
      <c r="C67" s="334" t="str">
        <f>'1. ALL DATA'!D68</f>
        <v>Completed in Accordance With Any Legislative Requirements
(March 2019)</v>
      </c>
      <c r="D67" s="187" t="str">
        <f>'1. ALL DATA'!H68</f>
        <v>On Track to be Achieved</v>
      </c>
      <c r="E67" s="199" t="s">
        <v>222</v>
      </c>
      <c r="F67" s="187" t="str">
        <f>'1. ALL DATA'!M68</f>
        <v>On Track to be Achieved</v>
      </c>
      <c r="G67" s="199" t="s">
        <v>222</v>
      </c>
      <c r="H67" s="135" t="str">
        <f>'1. ALL DATA'!R68</f>
        <v>On Track to be Achieved</v>
      </c>
      <c r="I67" s="199"/>
      <c r="J67" s="135" t="str">
        <f>'1. ALL DATA'!V68</f>
        <v>Fully Achieved</v>
      </c>
    </row>
    <row r="68" spans="1:10" ht="99.75" customHeight="1" x14ac:dyDescent="0.25">
      <c r="A68" s="184" t="str">
        <f>'1. ALL DATA'!A69</f>
        <v>PLEG06</v>
      </c>
      <c r="B68" s="186" t="str">
        <f>'1. ALL DATA'!C69</f>
        <v xml:space="preserve">To Carry Out Necessary Work With Reference To Planning Legislative Changes </v>
      </c>
      <c r="C68" s="334" t="str">
        <f>'1. ALL DATA'!D69</f>
        <v>Completed in Accordance With Any Legislative Changes And Requirements
(March 2019)</v>
      </c>
      <c r="D68" s="187" t="str">
        <f>'1. ALL DATA'!H69</f>
        <v>On Track to be Achieved</v>
      </c>
      <c r="E68" s="199" t="s">
        <v>222</v>
      </c>
      <c r="F68" s="187" t="str">
        <f>'1. ALL DATA'!M69</f>
        <v>On Track to be Achieved</v>
      </c>
      <c r="G68" s="444" t="s">
        <v>221</v>
      </c>
      <c r="H68" s="135" t="str">
        <f>'1. ALL DATA'!R69</f>
        <v>Fully Achieved</v>
      </c>
      <c r="I68" s="199"/>
      <c r="J68" s="135" t="str">
        <f>'1. ALL DATA'!V69</f>
        <v>Fully Achieved</v>
      </c>
    </row>
    <row r="69" spans="1:10" ht="99.75" customHeight="1" x14ac:dyDescent="0.25">
      <c r="A69" s="184" t="str">
        <f>'1. ALL DATA'!A70</f>
        <v>PLEG07</v>
      </c>
      <c r="B69" s="186" t="str">
        <f>'1. ALL DATA'!C70</f>
        <v xml:space="preserve">Campaign for Improvements to Burton Train Station </v>
      </c>
      <c r="C69" s="334" t="str">
        <f>'1. ALL DATA'!D70</f>
        <v>Agree an Action Plan with Key Partners to Campaign for Improvements to Burton Train Station 
(March 2019)</v>
      </c>
      <c r="D69" s="187" t="str">
        <f>'1. ALL DATA'!H70</f>
        <v>On Track to be Achieved</v>
      </c>
      <c r="E69" s="199" t="s">
        <v>222</v>
      </c>
      <c r="F69" s="187" t="str">
        <f>'1. ALL DATA'!M70</f>
        <v>On Track to be Achieved</v>
      </c>
      <c r="G69" s="199" t="s">
        <v>222</v>
      </c>
      <c r="H69" s="135" t="str">
        <f>'1. ALL DATA'!R70</f>
        <v>On Track to be Achieved</v>
      </c>
      <c r="I69" s="199"/>
      <c r="J69" s="135" t="str">
        <f>'1. ALL DATA'!V70</f>
        <v>Fully Achieved</v>
      </c>
    </row>
    <row r="70" spans="1:10" ht="99.75" customHeight="1" x14ac:dyDescent="0.25">
      <c r="A70" s="184" t="str">
        <f>'1. ALL DATA'!A71</f>
        <v>PLEG08</v>
      </c>
      <c r="B70" s="186" t="str">
        <f>'1. ALL DATA'!C71</f>
        <v>Deliver Supplementary Planning Documents</v>
      </c>
      <c r="C70" s="334" t="str">
        <f>'1. ALL DATA'!D71</f>
        <v>Adoption of Open Spaces Supplementary Planning Document
(March 2019)</v>
      </c>
      <c r="D70" s="187" t="str">
        <f>'1. ALL DATA'!H71</f>
        <v>On Track to be Achieved</v>
      </c>
      <c r="E70" s="199" t="s">
        <v>222</v>
      </c>
      <c r="F70" s="187" t="str">
        <f>'1. ALL DATA'!M71</f>
        <v>On Track to be Achieved</v>
      </c>
      <c r="G70" s="199" t="s">
        <v>222</v>
      </c>
      <c r="H70" s="135" t="str">
        <f>'1. ALL DATA'!R71</f>
        <v>On Track to be Achieved</v>
      </c>
      <c r="I70" s="199"/>
      <c r="J70" s="135" t="str">
        <f>'1. ALL DATA'!V71</f>
        <v>Fully Achieved</v>
      </c>
    </row>
    <row r="71" spans="1:10" ht="99.75" customHeight="1" x14ac:dyDescent="0.25">
      <c r="A71" s="184" t="str">
        <f>'1. ALL DATA'!A72</f>
        <v>PLEG09</v>
      </c>
      <c r="B71" s="186" t="str">
        <f>'1. ALL DATA'!C72</f>
        <v>Implement the Brownfield and Infill Regeneration Strategy</v>
      </c>
      <c r="C71" s="334" t="str">
        <f>'1. ALL DATA'!D72</f>
        <v>Identify a Pilot Scheme for Using Commuted Sums to Facilitate Affordable Housing on Brownfield Land
(July 2018)</v>
      </c>
      <c r="D71" s="187" t="str">
        <f>'1. ALL DATA'!H72</f>
        <v>On Track to be Achieved</v>
      </c>
      <c r="E71" s="199" t="s">
        <v>222</v>
      </c>
      <c r="F71" s="187" t="str">
        <f>'1. ALL DATA'!M72</f>
        <v>Fully Achieved</v>
      </c>
      <c r="G71" s="199" t="s">
        <v>222</v>
      </c>
      <c r="H71" s="135" t="str">
        <f>'1. ALL DATA'!R72</f>
        <v>Fully Achieved</v>
      </c>
      <c r="I71" s="341"/>
      <c r="J71" s="135" t="str">
        <f>'1. ALL DATA'!V72</f>
        <v>Fully Achieved</v>
      </c>
    </row>
    <row r="72" spans="1:10" ht="99.75" customHeight="1" x14ac:dyDescent="0.25">
      <c r="A72" s="184" t="str">
        <f>'1. ALL DATA'!A73</f>
        <v>PLEG10</v>
      </c>
      <c r="B72" s="186" t="str">
        <f>'1. ALL DATA'!C73</f>
        <v xml:space="preserve">Deliver a Mixed-Use Scheme at Bargates </v>
      </c>
      <c r="C72" s="334" t="str">
        <f>'1. ALL DATA'!D73</f>
        <v xml:space="preserve">Complete the Sale of Bargates (Conditional on Planning Permission Being Granted) 
(July 2018) </v>
      </c>
      <c r="D72" s="187" t="str">
        <f>'1. ALL DATA'!H73</f>
        <v>Off Target</v>
      </c>
      <c r="E72" s="199" t="s">
        <v>222</v>
      </c>
      <c r="F72" s="187" t="str">
        <f>'1. ALL DATA'!M73</f>
        <v>Off Target</v>
      </c>
      <c r="G72" s="199" t="s">
        <v>222</v>
      </c>
      <c r="H72" s="135" t="str">
        <f>'1. ALL DATA'!R73</f>
        <v>Off target</v>
      </c>
      <c r="I72" s="341"/>
      <c r="J72" s="135" t="str">
        <f>'1. ALL DATA'!V73</f>
        <v>Off Target</v>
      </c>
    </row>
    <row r="73" spans="1:10" ht="99.75" customHeight="1" x14ac:dyDescent="0.25">
      <c r="A73" s="184" t="str">
        <f>'1. ALL DATA'!A74</f>
        <v>PLEG11</v>
      </c>
      <c r="B73" s="186" t="str">
        <f>'1. ALL DATA'!C74</f>
        <v>Facilitate Inward Investment and Support Businesses Looking for Funding and Employment Opportunities Across the Region to Position the Council as a Key Contact for Inward Investment</v>
      </c>
      <c r="C73" s="334" t="str">
        <f>'1. ALL DATA'!D74</f>
        <v>(a) Conduct a Marketing Campaign Aimed at Businesses (October 2018) and; (b) Produce an Annual Report on Activity (March 2019)</v>
      </c>
      <c r="D73" s="187" t="str">
        <f>'1. ALL DATA'!H74</f>
        <v>On Track to be Achieved</v>
      </c>
      <c r="E73" s="199" t="s">
        <v>222</v>
      </c>
      <c r="F73" s="187" t="str">
        <f>'1. ALL DATA'!M74</f>
        <v>On Track to be Achieved</v>
      </c>
      <c r="G73" s="199" t="s">
        <v>222</v>
      </c>
      <c r="H73" s="135" t="str">
        <f>'1. ALL DATA'!R74</f>
        <v>On Track to be Achieved</v>
      </c>
      <c r="I73" s="341"/>
      <c r="J73" s="135" t="str">
        <f>'1. ALL DATA'!V74</f>
        <v>Fully Achieved</v>
      </c>
    </row>
    <row r="74" spans="1:10" ht="99.75" customHeight="1" x14ac:dyDescent="0.25">
      <c r="A74" s="184" t="str">
        <f>'1. ALL DATA'!A75</f>
        <v>PLEG12</v>
      </c>
      <c r="B74" s="186" t="str">
        <f>'1. ALL DATA'!C75</f>
        <v>Facilitate Inward Investment and Support Businesses Looking for Funding and Employment Opportunities Across the Region to Position the Council as a Key Contact for Inward Investment</v>
      </c>
      <c r="C74" s="334" t="str">
        <f>'1. ALL DATA'!D75</f>
        <v>Review the Success of the Marketing Campaign and Implement any Relevant Next Steps 
(March 2019)</v>
      </c>
      <c r="D74" s="187" t="str">
        <f>'1. ALL DATA'!H75</f>
        <v>Not yet due</v>
      </c>
      <c r="E74" s="432" t="s">
        <v>47</v>
      </c>
      <c r="F74" s="187" t="str">
        <f>'1. ALL DATA'!M75</f>
        <v>Not yet due</v>
      </c>
      <c r="G74" s="432" t="s">
        <v>47</v>
      </c>
      <c r="H74" s="135" t="str">
        <f>'1. ALL DATA'!R75</f>
        <v>Not yet due</v>
      </c>
      <c r="I74" s="199"/>
      <c r="J74" s="135" t="str">
        <f>'1. ALL DATA'!V75</f>
        <v>Fully Achieved</v>
      </c>
    </row>
    <row r="75" spans="1:10" ht="99.75" customHeight="1" x14ac:dyDescent="0.25">
      <c r="A75" s="184" t="str">
        <f>'1. ALL DATA'!A76</f>
        <v>PLEG13</v>
      </c>
      <c r="B75" s="186" t="str">
        <f>'1. ALL DATA'!C76</f>
        <v xml:space="preserve">Promote Local Employment Opportunities </v>
      </c>
      <c r="C75" s="334" t="str">
        <f>'1. ALL DATA'!D76</f>
        <v>Support the Delivery of Three Job Fairs 
(March 2019)</v>
      </c>
      <c r="D75" s="187" t="str">
        <f>'1. ALL DATA'!H76</f>
        <v>On Track to be Achieved</v>
      </c>
      <c r="E75" s="199" t="s">
        <v>222</v>
      </c>
      <c r="F75" s="187" t="str">
        <f>'1. ALL DATA'!M76</f>
        <v>Fully Achieved</v>
      </c>
      <c r="G75" s="199" t="s">
        <v>222</v>
      </c>
      <c r="H75" s="135" t="str">
        <f>'1. ALL DATA'!R76</f>
        <v>Fully Achieved</v>
      </c>
      <c r="I75" s="199"/>
      <c r="J75" s="135" t="str">
        <f>'1. ALL DATA'!V76</f>
        <v>Fully Achieved</v>
      </c>
    </row>
    <row r="76" spans="1:10" ht="99.75" customHeight="1" x14ac:dyDescent="0.25">
      <c r="A76" s="184" t="str">
        <f>'1. ALL DATA'!A77</f>
        <v>PLEG14</v>
      </c>
      <c r="B76" s="186" t="str">
        <f>'1. ALL DATA'!C77</f>
        <v>Complete the Sale of Land at Lynwood Road</v>
      </c>
      <c r="C76" s="334" t="str">
        <f>'1. ALL DATA'!D77</f>
        <v>Complete the Sale of Land at Lynwood Road for a Residential Development 
(September 2018)</v>
      </c>
      <c r="D76" s="187" t="str">
        <f>'1. ALL DATA'!H77</f>
        <v>On Track to be Achieved</v>
      </c>
      <c r="E76" s="199" t="s">
        <v>222</v>
      </c>
      <c r="F76" s="187" t="str">
        <f>'1. ALL DATA'!M77</f>
        <v>Fully Achieved</v>
      </c>
      <c r="G76" s="199" t="s">
        <v>222</v>
      </c>
      <c r="H76" s="135" t="str">
        <f>'1. ALL DATA'!R77</f>
        <v>Fully Achieved</v>
      </c>
      <c r="I76" s="199"/>
      <c r="J76" s="135" t="str">
        <f>'1. ALL DATA'!V77</f>
        <v>Fully Achieved</v>
      </c>
    </row>
    <row r="77" spans="1:10" ht="25.5" customHeight="1" x14ac:dyDescent="0.25">
      <c r="A77" s="188" t="str">
        <f>'1. ALL DATA'!A78</f>
        <v>Protecting and Strengthening Communities - Love Where You Live</v>
      </c>
      <c r="B77" s="364"/>
      <c r="C77" s="364"/>
      <c r="D77" s="364"/>
      <c r="E77" s="364"/>
      <c r="F77" s="364"/>
      <c r="G77" s="364"/>
      <c r="H77" s="364"/>
      <c r="I77" s="364"/>
      <c r="J77" s="365"/>
    </row>
    <row r="78" spans="1:10" ht="99.75" customHeight="1" x14ac:dyDescent="0.25">
      <c r="A78" s="184" t="str">
        <f>'1. ALL DATA'!A79</f>
        <v>PSC01</v>
      </c>
      <c r="B78" s="186" t="str">
        <f>'1. ALL DATA'!C79</f>
        <v>Increasing Opportunity for Democratic Engagement</v>
      </c>
      <c r="C78" s="334" t="str">
        <f>'1. ALL DATA'!D79</f>
        <v>Investigate Use of Digital Engagement Software for Electoral Registration 
(December 2018)</v>
      </c>
      <c r="D78" s="187" t="str">
        <f>'1. ALL DATA'!H79</f>
        <v>On Track to be Achieved</v>
      </c>
      <c r="E78" s="199" t="s">
        <v>222</v>
      </c>
      <c r="F78" s="187" t="str">
        <f>'1. ALL DATA'!M79</f>
        <v>On Track to be Achieved</v>
      </c>
      <c r="G78" s="199" t="s">
        <v>222</v>
      </c>
      <c r="H78" s="135" t="str">
        <f>'1. ALL DATA'!R79</f>
        <v>On Track to be Achieved</v>
      </c>
      <c r="I78" s="199"/>
      <c r="J78" s="135" t="str">
        <f>'1. ALL DATA'!V79</f>
        <v>Fully Achieved</v>
      </c>
    </row>
    <row r="79" spans="1:10" ht="99.75" customHeight="1" x14ac:dyDescent="0.25">
      <c r="A79" s="184" t="str">
        <f>'1. ALL DATA'!A80</f>
        <v>PSC02</v>
      </c>
      <c r="B79" s="186" t="str">
        <f>'1. ALL DATA'!C80</f>
        <v>Increasing Opportunity for Democratic Engagement</v>
      </c>
      <c r="C79" s="334" t="str">
        <f>'1. ALL DATA'!D80</f>
        <v>Prepare for Polling District Review 
(March 2019)</v>
      </c>
      <c r="D79" s="187" t="str">
        <f>'1. ALL DATA'!H80</f>
        <v>On Track to be Achieved</v>
      </c>
      <c r="E79" s="199" t="s">
        <v>222</v>
      </c>
      <c r="F79" s="187" t="str">
        <f>'1. ALL DATA'!M80</f>
        <v>On Track to be Achieved</v>
      </c>
      <c r="G79" s="199" t="s">
        <v>222</v>
      </c>
      <c r="H79" s="135" t="str">
        <f>'1. ALL DATA'!R80</f>
        <v>On Track to be Achieved</v>
      </c>
      <c r="I79" s="199"/>
      <c r="J79" s="135" t="str">
        <f>'1. ALL DATA'!V80</f>
        <v>Fully Achieved</v>
      </c>
    </row>
    <row r="80" spans="1:10" ht="87.75" x14ac:dyDescent="0.25">
      <c r="A80" s="184" t="str">
        <f>'1. ALL DATA'!A81</f>
        <v>PSC03</v>
      </c>
      <c r="B80" s="186" t="str">
        <f>'1. ALL DATA'!C81</f>
        <v>Continue to Develop SMART/Digital Approach to Improve Public Access to Services</v>
      </c>
      <c r="C80" s="334" t="str">
        <f>'1. ALL DATA'!D81</f>
        <v>Adoption of Digital Strategy 
(October 2018)</v>
      </c>
      <c r="D80" s="187" t="str">
        <f>'1. ALL DATA'!H81</f>
        <v>Not yet due</v>
      </c>
      <c r="E80" s="432" t="s">
        <v>47</v>
      </c>
      <c r="F80" s="187" t="str">
        <f>'1. ALL DATA'!M81</f>
        <v>On Track to be Achieved</v>
      </c>
      <c r="G80" s="444" t="s">
        <v>221</v>
      </c>
      <c r="H80" s="135" t="str">
        <f>'1. ALL DATA'!R81</f>
        <v>Fully Achieved</v>
      </c>
      <c r="I80" s="199"/>
      <c r="J80" s="135" t="str">
        <f>'1. ALL DATA'!V81</f>
        <v>Fully Achieved</v>
      </c>
    </row>
    <row r="81" spans="1:46" ht="99.75" customHeight="1" x14ac:dyDescent="0.25">
      <c r="A81" s="184" t="str">
        <f>'1. ALL DATA'!A82</f>
        <v>PSC04</v>
      </c>
      <c r="B81" s="186" t="str">
        <f>'1. ALL DATA'!C82</f>
        <v>Continue to Develop SMART/Digital Approach to Improve Public Access to Services</v>
      </c>
      <c r="C81" s="334" t="str">
        <f>'1. ALL DATA'!D82</f>
        <v>80% of 2018/19 Milestones in New Digital Strategy Achieved 
(March 2019)</v>
      </c>
      <c r="D81" s="187" t="str">
        <f>'1. ALL DATA'!H82</f>
        <v>Not yet due</v>
      </c>
      <c r="E81" s="432" t="s">
        <v>47</v>
      </c>
      <c r="F81" s="187" t="str">
        <f>'1. ALL DATA'!M82</f>
        <v>Not yet due</v>
      </c>
      <c r="G81" s="432" t="s">
        <v>47</v>
      </c>
      <c r="H81" s="135" t="str">
        <f>'1. ALL DATA'!R82</f>
        <v>Not yet due</v>
      </c>
      <c r="I81" s="198"/>
      <c r="J81" s="135" t="str">
        <f>'1. ALL DATA'!V82</f>
        <v>Fully Achieved</v>
      </c>
    </row>
    <row r="82" spans="1:46" ht="99.75" customHeight="1" x14ac:dyDescent="0.25">
      <c r="A82" s="184" t="str">
        <f>'1. ALL DATA'!A83</f>
        <v>PSC05</v>
      </c>
      <c r="B82" s="186" t="str">
        <f>'1. ALL DATA'!C83</f>
        <v>Continue to Develop SMART/Digital Approach to Improve Public Access to Services</v>
      </c>
      <c r="C82" s="334" t="str">
        <f>'1. ALL DATA'!D83</f>
        <v>Corporate Website Refresh Complete 
(March 2019)</v>
      </c>
      <c r="D82" s="187" t="str">
        <f>'1. ALL DATA'!H83</f>
        <v>Not yet due</v>
      </c>
      <c r="E82" s="432" t="s">
        <v>47</v>
      </c>
      <c r="F82" s="187" t="str">
        <f>'1. ALL DATA'!M83</f>
        <v>Not yet due</v>
      </c>
      <c r="G82" s="444" t="s">
        <v>221</v>
      </c>
      <c r="H82" s="135" t="str">
        <f>'1. ALL DATA'!R83</f>
        <v>On Track to be Achieved</v>
      </c>
      <c r="I82" s="199"/>
      <c r="J82" s="135" t="str">
        <f>'1. ALL DATA'!V83</f>
        <v>Fully Achieved</v>
      </c>
    </row>
    <row r="83" spans="1:46" ht="99.75" customHeight="1" x14ac:dyDescent="0.25">
      <c r="A83" s="184" t="str">
        <f>'1. ALL DATA'!A84</f>
        <v>PSC06</v>
      </c>
      <c r="B83" s="186" t="str">
        <f>'1. ALL DATA'!C84</f>
        <v>Improving Public Art in the Borough</v>
      </c>
      <c r="C83" s="334" t="str">
        <f>'1. ALL DATA'!D84</f>
        <v>Develop a Project Plan for the Delivery of Public Art Including;    New Public Art Commissions Including Both Permanent and Temporary Pieces     Investigating the Feasibility of Moving the Malt Shovel 
(August 2018)</v>
      </c>
      <c r="D83" s="187" t="str">
        <f>'1. ALL DATA'!H84</f>
        <v>On Track to be Achieved</v>
      </c>
      <c r="E83" s="199" t="s">
        <v>222</v>
      </c>
      <c r="F83" s="187" t="str">
        <f>'1. ALL DATA'!M84</f>
        <v>Fully Achieved</v>
      </c>
      <c r="G83" s="199" t="s">
        <v>222</v>
      </c>
      <c r="H83" s="135" t="str">
        <f>'1. ALL DATA'!R84</f>
        <v>Fully Achieved</v>
      </c>
      <c r="I83" s="199"/>
      <c r="J83" s="135" t="str">
        <f>'1. ALL DATA'!V84</f>
        <v>Fully Achieved</v>
      </c>
    </row>
    <row r="84" spans="1:46" ht="99.75" customHeight="1" x14ac:dyDescent="0.25">
      <c r="A84" s="184" t="str">
        <f>'1. ALL DATA'!A85</f>
        <v>PSC07</v>
      </c>
      <c r="B84" s="186" t="str">
        <f>'1. ALL DATA'!C85</f>
        <v>Community Sport and Health Development Initiatives</v>
      </c>
      <c r="C84" s="334" t="str">
        <f>'1. ALL DATA'!D85</f>
        <v>Re-Launch the Council’s Disability Sport Programme Under the “Able Too” Brand
(July 2018)</v>
      </c>
      <c r="D84" s="187" t="str">
        <f>'1. ALL DATA'!H85</f>
        <v>On Track to be Achieved</v>
      </c>
      <c r="E84" s="199" t="s">
        <v>222</v>
      </c>
      <c r="F84" s="187" t="str">
        <f>'1. ALL DATA'!M85</f>
        <v>Fully Achieved</v>
      </c>
      <c r="G84" s="199" t="s">
        <v>222</v>
      </c>
      <c r="H84" s="135" t="str">
        <f>'1. ALL DATA'!R85</f>
        <v>Fully Achieved</v>
      </c>
      <c r="I84" s="199"/>
      <c r="J84" s="135" t="str">
        <f>'1. ALL DATA'!V85</f>
        <v>Fully Achieved</v>
      </c>
    </row>
    <row r="85" spans="1:46" s="146" customFormat="1" ht="126" x14ac:dyDescent="0.25">
      <c r="A85" s="184" t="str">
        <f>'1. ALL DATA'!A86</f>
        <v>PSC08</v>
      </c>
      <c r="B85" s="186" t="str">
        <f>'1. ALL DATA'!C86</f>
        <v xml:space="preserve">Delivering Open Space Improvement Initiatives </v>
      </c>
      <c r="C85" s="334" t="str">
        <f>'1. ALL DATA'!D86</f>
        <v>Management Strategy Prepared and Ready for 2019 Green Flag Submission, Including the Washlands and Stapenhill Gardens 
(January 2019)</v>
      </c>
      <c r="D85" s="187" t="str">
        <f>'1. ALL DATA'!H86</f>
        <v>Not yet due</v>
      </c>
      <c r="E85" s="432" t="s">
        <v>47</v>
      </c>
      <c r="F85" s="187" t="str">
        <f>'1. ALL DATA'!M86</f>
        <v>Not yet due</v>
      </c>
      <c r="G85" s="444" t="s">
        <v>221</v>
      </c>
      <c r="H85" s="135" t="str">
        <f>'1. ALL DATA'!R86</f>
        <v>On Track to be Achieved</v>
      </c>
      <c r="I85" s="199"/>
      <c r="J85" s="135" t="str">
        <f>'1. ALL DATA'!V86</f>
        <v>Fully Achieved</v>
      </c>
      <c r="K85" s="153"/>
      <c r="L85" s="153"/>
      <c r="M85" s="154"/>
      <c r="N85" s="155"/>
      <c r="O85" s="156"/>
      <c r="P85" s="156"/>
      <c r="Q85" s="156"/>
      <c r="R85" s="154"/>
      <c r="S85" s="157"/>
      <c r="T85" s="153"/>
      <c r="U85" s="153"/>
      <c r="V85" s="158"/>
      <c r="W85" s="153"/>
      <c r="X85" s="154"/>
      <c r="Y85" s="154"/>
      <c r="Z85" s="154"/>
      <c r="AA85" s="154"/>
      <c r="AB85" s="145"/>
      <c r="AC85" s="141"/>
      <c r="AD85" s="152"/>
      <c r="AE85" s="152"/>
      <c r="AF85" s="152"/>
      <c r="AG85" s="152"/>
      <c r="AH85" s="152"/>
      <c r="AI85" s="152"/>
      <c r="AJ85" s="152"/>
      <c r="AK85" s="152"/>
      <c r="AL85" s="152"/>
      <c r="AM85" s="152"/>
      <c r="AN85" s="152"/>
      <c r="AO85" s="152"/>
      <c r="AP85" s="152"/>
      <c r="AQ85" s="152"/>
      <c r="AR85" s="152"/>
      <c r="AS85" s="152"/>
      <c r="AT85" s="152"/>
    </row>
    <row r="86" spans="1:46" s="349" customFormat="1" ht="103.5" customHeight="1" x14ac:dyDescent="0.3">
      <c r="A86" s="184" t="str">
        <f>'1. ALL DATA'!A87</f>
        <v>PSC09</v>
      </c>
      <c r="B86" s="186" t="str">
        <f>'1. ALL DATA'!C87</f>
        <v>Delivering Open Space Improvement Initiatives</v>
      </c>
      <c r="C86" s="334" t="str">
        <f>'1. ALL DATA'!D87</f>
        <v>Develop Proposals for the Improvement of the Memorial Gardens, Abbot’s Garden and Andressey Passage 
(June 2018)</v>
      </c>
      <c r="D86" s="187" t="str">
        <f>'1. ALL DATA'!H87</f>
        <v>Fully Achieved</v>
      </c>
      <c r="E86" s="199" t="s">
        <v>222</v>
      </c>
      <c r="F86" s="187" t="str">
        <f>'1. ALL DATA'!M87</f>
        <v>Fully Achieved</v>
      </c>
      <c r="G86" s="199" t="s">
        <v>222</v>
      </c>
      <c r="H86" s="135" t="str">
        <f>'1. ALL DATA'!R87</f>
        <v>Fully Achieved</v>
      </c>
      <c r="I86" s="366"/>
      <c r="J86" s="135" t="str">
        <f>'1. ALL DATA'!V87</f>
        <v>Fully Achieved</v>
      </c>
      <c r="K86" s="348"/>
      <c r="L86" s="348"/>
      <c r="M86" s="348"/>
      <c r="N86" s="348"/>
      <c r="O86" s="348"/>
      <c r="P86" s="348"/>
      <c r="Q86" s="348"/>
      <c r="R86" s="348"/>
      <c r="S86" s="348"/>
      <c r="T86" s="348"/>
      <c r="U86" s="348"/>
      <c r="V86" s="348"/>
      <c r="W86" s="348"/>
      <c r="X86" s="348"/>
      <c r="Y86" s="348"/>
      <c r="Z86" s="348"/>
      <c r="AA86" s="348"/>
      <c r="AB86" s="348"/>
      <c r="AC86" s="348"/>
      <c r="AD86" s="348"/>
      <c r="AE86" s="348"/>
      <c r="AF86" s="348"/>
      <c r="AG86" s="348"/>
      <c r="AH86" s="348"/>
      <c r="AI86" s="348"/>
      <c r="AJ86" s="348"/>
      <c r="AK86" s="348"/>
      <c r="AL86" s="348"/>
      <c r="AM86" s="348"/>
      <c r="AN86" s="348"/>
      <c r="AO86" s="348"/>
      <c r="AP86" s="348"/>
      <c r="AQ86" s="348"/>
      <c r="AR86" s="348"/>
      <c r="AS86" s="348"/>
      <c r="AT86" s="348"/>
    </row>
    <row r="87" spans="1:46" ht="99.75" customHeight="1" x14ac:dyDescent="0.25">
      <c r="A87" s="184" t="str">
        <f>'1. ALL DATA'!A88</f>
        <v>PSC10</v>
      </c>
      <c r="B87" s="186" t="str">
        <f>'1. ALL DATA'!C88</f>
        <v xml:space="preserve">Delivering Open Space Improvement Initiatives </v>
      </c>
      <c r="C87" s="334" t="str">
        <f>'1. ALL DATA'!D88</f>
        <v>Submit an Application to The National Forest for Grant Support 
(November 2018)</v>
      </c>
      <c r="D87" s="187" t="str">
        <f>'1. ALL DATA'!H88</f>
        <v>Not yet due</v>
      </c>
      <c r="E87" s="432" t="s">
        <v>47</v>
      </c>
      <c r="F87" s="187" t="str">
        <f>'1. ALL DATA'!M88</f>
        <v>On Track to be Achieved</v>
      </c>
      <c r="G87" s="444" t="s">
        <v>221</v>
      </c>
      <c r="H87" s="135" t="str">
        <f>'1. ALL DATA'!R88</f>
        <v>Fully Achieved</v>
      </c>
      <c r="I87" s="199"/>
      <c r="J87" s="135" t="str">
        <f>'1. ALL DATA'!V88</f>
        <v>Fully Achieved</v>
      </c>
    </row>
    <row r="88" spans="1:46" ht="99.75" customHeight="1" x14ac:dyDescent="0.25">
      <c r="A88" s="184" t="str">
        <f>'1. ALL DATA'!A89</f>
        <v>PSC11</v>
      </c>
      <c r="B88" s="186" t="str">
        <f>'1. ALL DATA'!C89</f>
        <v>Review The Provision Of Cycle Facilities On Open Spaces And Car Parks</v>
      </c>
      <c r="C88" s="334" t="str">
        <f>'1. ALL DATA'!D89</f>
        <v>Review of Cycle Facilities Complete 
(October 2018)</v>
      </c>
      <c r="D88" s="187" t="str">
        <f>'1. ALL DATA'!H89</f>
        <v>Not yet due</v>
      </c>
      <c r="E88" s="432" t="s">
        <v>47</v>
      </c>
      <c r="F88" s="187" t="str">
        <f>'1. ALL DATA'!M89</f>
        <v>On Track to be Achieved</v>
      </c>
      <c r="G88" s="444" t="s">
        <v>221</v>
      </c>
      <c r="H88" s="135" t="str">
        <f>'1. ALL DATA'!R89</f>
        <v>Fully Achieved</v>
      </c>
      <c r="I88" s="199"/>
      <c r="J88" s="135" t="str">
        <f>'1. ALL DATA'!V89</f>
        <v>Fully Achieved</v>
      </c>
    </row>
    <row r="89" spans="1:46" ht="99.75" customHeight="1" x14ac:dyDescent="0.25">
      <c r="A89" s="184" t="str">
        <f>'1. ALL DATA'!A90</f>
        <v>PSC12</v>
      </c>
      <c r="B89" s="186" t="str">
        <f>'1. ALL DATA'!C90</f>
        <v>Green Flag Awards</v>
      </c>
      <c r="C89" s="334" t="str">
        <f>'1. ALL DATA'!D90</f>
        <v>Achieve 2 Green Flag Awards at Bramshall Park and Stapenhill Gardens</v>
      </c>
      <c r="D89" s="187" t="str">
        <f>'1. ALL DATA'!H90</f>
        <v>Not yet due</v>
      </c>
      <c r="E89" s="432" t="s">
        <v>47</v>
      </c>
      <c r="F89" s="187" t="str">
        <f>'1. ALL DATA'!M90</f>
        <v>Fully Achieved</v>
      </c>
      <c r="G89" s="199" t="s">
        <v>222</v>
      </c>
      <c r="H89" s="135" t="str">
        <f>'1. ALL DATA'!R90</f>
        <v>Fully Achieved</v>
      </c>
      <c r="I89" s="199"/>
      <c r="J89" s="135" t="str">
        <f>'1. ALL DATA'!V90</f>
        <v>Fully Achieved</v>
      </c>
    </row>
    <row r="90" spans="1:46" ht="99.75" customHeight="1" x14ac:dyDescent="0.25">
      <c r="A90" s="184" t="str">
        <f>'1. ALL DATA'!A91</f>
        <v>PSC13</v>
      </c>
      <c r="B90" s="186" t="str">
        <f>'1. ALL DATA'!C91</f>
        <v xml:space="preserve">In Bloom Awards </v>
      </c>
      <c r="C90" s="334" t="str">
        <f>'1. ALL DATA'!D91</f>
        <v>Achieve 3 In Bloom Gold Awards at Winshill, Burton And Uttoxeter</v>
      </c>
      <c r="D90" s="187" t="str">
        <f>'1. ALL DATA'!H91</f>
        <v>Not yet due</v>
      </c>
      <c r="E90" s="432" t="s">
        <v>47</v>
      </c>
      <c r="F90" s="187" t="str">
        <f>'1. ALL DATA'!M91</f>
        <v>Fully Achieved</v>
      </c>
      <c r="G90" s="199" t="s">
        <v>222</v>
      </c>
      <c r="H90" s="135" t="str">
        <f>'1. ALL DATA'!R91</f>
        <v>Fully Achieved</v>
      </c>
      <c r="I90" s="199"/>
      <c r="J90" s="135" t="str">
        <f>'1. ALL DATA'!V91</f>
        <v>Fully Achieved</v>
      </c>
    </row>
    <row r="91" spans="1:46" ht="99.75" customHeight="1" x14ac:dyDescent="0.25">
      <c r="A91" s="184" t="str">
        <f>'1. ALL DATA'!A92</f>
        <v>PSC14</v>
      </c>
      <c r="B91" s="186" t="str">
        <f>'1. ALL DATA'!C92</f>
        <v>In Bloom Awards</v>
      </c>
      <c r="C91" s="334" t="str">
        <f>'1. ALL DATA'!D92</f>
        <v>Achieve a Minimum of 5 Silver Gilt and Above for In Bloom Parks Awards. Including; Branston Water Park, Stapenhill Cemetery, Bramshall Park, Winshill (Mill Hill Lane) and Shobnall Fields.</v>
      </c>
      <c r="D91" s="187" t="str">
        <f>'1. ALL DATA'!H92</f>
        <v>Not yet due</v>
      </c>
      <c r="E91" s="432" t="s">
        <v>47</v>
      </c>
      <c r="F91" s="187" t="str">
        <f>'1. ALL DATA'!M92</f>
        <v>Fully Achieved</v>
      </c>
      <c r="G91" s="199" t="s">
        <v>222</v>
      </c>
      <c r="H91" s="135" t="str">
        <f>'1. ALL DATA'!R92</f>
        <v>Fully Achieved</v>
      </c>
      <c r="I91" s="199"/>
      <c r="J91" s="135" t="str">
        <f>'1. ALL DATA'!V92</f>
        <v>Fully Achieved</v>
      </c>
    </row>
    <row r="92" spans="1:46" ht="99.75" customHeight="1" x14ac:dyDescent="0.25">
      <c r="A92" s="184" t="str">
        <f>'1. ALL DATA'!A93</f>
        <v>PSC15</v>
      </c>
      <c r="B92" s="186" t="str">
        <f>'1. ALL DATA'!C93</f>
        <v>In Bloom Awards</v>
      </c>
      <c r="C92" s="334" t="str">
        <f>'1. ALL DATA'!D93</f>
        <v>Expand the In Bloom Federation, Achieving 1 Additional Member</v>
      </c>
      <c r="D92" s="187" t="str">
        <f>'1. ALL DATA'!H93</f>
        <v>Fully Achieved</v>
      </c>
      <c r="E92" s="199" t="s">
        <v>222</v>
      </c>
      <c r="F92" s="187" t="str">
        <f>'1. ALL DATA'!M93</f>
        <v>Fully Achieved</v>
      </c>
      <c r="G92" s="199" t="s">
        <v>222</v>
      </c>
      <c r="H92" s="135" t="str">
        <f>'1. ALL DATA'!R93</f>
        <v>Fully Achieved</v>
      </c>
      <c r="I92" s="199"/>
      <c r="J92" s="135" t="str">
        <f>'1. ALL DATA'!V93</f>
        <v>Fully Achieved</v>
      </c>
    </row>
    <row r="93" spans="1:46" ht="99.75" customHeight="1" x14ac:dyDescent="0.25">
      <c r="A93" s="184" t="str">
        <f>'1. ALL DATA'!A94</f>
        <v>PSC16</v>
      </c>
      <c r="B93" s="186" t="str">
        <f>'1. ALL DATA'!C94</f>
        <v>Adult Safeguarding Training Programme</v>
      </c>
      <c r="C93" s="334" t="str">
        <f>'1. ALL DATA'!D94</f>
        <v>Deliver Training to Services Which Have Contact With Vulnerable Adults: Housing; Licensing; Enforcement; Revenues and Benefits 
(March 2019)</v>
      </c>
      <c r="D93" s="187" t="str">
        <f>'1. ALL DATA'!H94</f>
        <v>Not yet due</v>
      </c>
      <c r="E93" s="432" t="s">
        <v>47</v>
      </c>
      <c r="F93" s="187" t="str">
        <f>'1. ALL DATA'!M94</f>
        <v>Fully Achieved</v>
      </c>
      <c r="G93" s="199" t="s">
        <v>222</v>
      </c>
      <c r="H93" s="135" t="str">
        <f>'1. ALL DATA'!R94</f>
        <v>Fully Achieved</v>
      </c>
      <c r="I93" s="199"/>
      <c r="J93" s="135" t="str">
        <f>'1. ALL DATA'!V94</f>
        <v>Fully Achieved</v>
      </c>
    </row>
    <row r="94" spans="1:46" ht="99.75" customHeight="1" x14ac:dyDescent="0.25">
      <c r="A94" s="184" t="str">
        <f>'1. ALL DATA'!A95</f>
        <v>PSC17</v>
      </c>
      <c r="B94" s="186" t="str">
        <f>'1. ALL DATA'!C95</f>
        <v>Prepare a Succession Plan for Volunteers Running the GO Garden Project</v>
      </c>
      <c r="C94" s="334" t="str">
        <f>'1. ALL DATA'!D95</f>
        <v>Plan Approved Ready for Implementation for 2019 Growing Season 
(October 2018)</v>
      </c>
      <c r="D94" s="187" t="str">
        <f>'1. ALL DATA'!H95</f>
        <v>On Track to be Achieved</v>
      </c>
      <c r="E94" s="199" t="s">
        <v>222</v>
      </c>
      <c r="F94" s="187" t="str">
        <f>'1. ALL DATA'!M95</f>
        <v>On Track to be Achieved</v>
      </c>
      <c r="G94" s="199" t="s">
        <v>222</v>
      </c>
      <c r="H94" s="135" t="str">
        <f>'1. ALL DATA'!R95</f>
        <v>Fully Achieved</v>
      </c>
      <c r="I94" s="199"/>
      <c r="J94" s="135" t="str">
        <f>'1. ALL DATA'!V95</f>
        <v>Fully Achieved</v>
      </c>
    </row>
    <row r="95" spans="1:46" ht="99.75" customHeight="1" x14ac:dyDescent="0.25">
      <c r="A95" s="184" t="str">
        <f>'1. ALL DATA'!A96</f>
        <v>PSC18</v>
      </c>
      <c r="B95" s="186" t="str">
        <f>'1. ALL DATA'!C96</f>
        <v>Maintain Top Quartile Performance For Street Cleansing - Litter</v>
      </c>
      <c r="C95" s="359">
        <v>0</v>
      </c>
      <c r="D95" s="187" t="str">
        <f>'1. ALL DATA'!H96</f>
        <v>Not yet due</v>
      </c>
      <c r="E95" s="432" t="s">
        <v>47</v>
      </c>
      <c r="F95" s="187" t="str">
        <f>'1. ALL DATA'!M96</f>
        <v>On Track to be Achieved</v>
      </c>
      <c r="G95" s="199" t="s">
        <v>222</v>
      </c>
      <c r="H95" s="135" t="str">
        <f>'1. ALL DATA'!R96</f>
        <v>On Track to be Achieved</v>
      </c>
      <c r="I95" s="199"/>
      <c r="J95" s="135" t="str">
        <f>'1. ALL DATA'!V96</f>
        <v>Fully Achieved</v>
      </c>
    </row>
    <row r="96" spans="1:46" ht="99.75" customHeight="1" x14ac:dyDescent="0.25">
      <c r="A96" s="184" t="str">
        <f>'1. ALL DATA'!A97</f>
        <v>PSC19</v>
      </c>
      <c r="B96" s="186" t="str">
        <f>'1. ALL DATA'!C97</f>
        <v>Maintain Top Quartile Performance For Street Cleansing - Detritus</v>
      </c>
      <c r="C96" s="359">
        <v>0.01</v>
      </c>
      <c r="D96" s="187" t="str">
        <f>'1. ALL DATA'!H97</f>
        <v>Not yet due</v>
      </c>
      <c r="E96" s="432" t="s">
        <v>47</v>
      </c>
      <c r="F96" s="187" t="str">
        <f>'1. ALL DATA'!M97</f>
        <v>On Track to be Achieved</v>
      </c>
      <c r="G96" s="199" t="s">
        <v>222</v>
      </c>
      <c r="H96" s="135" t="str">
        <f>'1. ALL DATA'!R97</f>
        <v>On Track to be Achieved</v>
      </c>
      <c r="I96" s="199"/>
      <c r="J96" s="135" t="str">
        <f>'1. ALL DATA'!V97</f>
        <v>Fully Achieved</v>
      </c>
    </row>
    <row r="97" spans="1:10" ht="99.75" customHeight="1" x14ac:dyDescent="0.25">
      <c r="A97" s="184" t="str">
        <f>'1. ALL DATA'!A98</f>
        <v>PSC20</v>
      </c>
      <c r="B97" s="186" t="str">
        <f>'1. ALL DATA'!C98</f>
        <v>Maintain Top Quartile Performance For Street Cleansing - Graffiti</v>
      </c>
      <c r="C97" s="359">
        <v>0</v>
      </c>
      <c r="D97" s="187" t="str">
        <f>'1. ALL DATA'!H98</f>
        <v>Not yet due</v>
      </c>
      <c r="E97" s="432" t="s">
        <v>47</v>
      </c>
      <c r="F97" s="187" t="str">
        <f>'1. ALL DATA'!M98</f>
        <v>On Track to be Achieved</v>
      </c>
      <c r="G97" s="199" t="s">
        <v>222</v>
      </c>
      <c r="H97" s="135" t="str">
        <f>'1. ALL DATA'!R98</f>
        <v>On Track to be Achieved</v>
      </c>
      <c r="I97" s="199"/>
      <c r="J97" s="135" t="str">
        <f>'1. ALL DATA'!V98</f>
        <v>Fully Achieved</v>
      </c>
    </row>
    <row r="98" spans="1:10" ht="99.75" customHeight="1" x14ac:dyDescent="0.25">
      <c r="A98" s="184" t="str">
        <f>'1. ALL DATA'!A99</f>
        <v>PSC21</v>
      </c>
      <c r="B98" s="186" t="str">
        <f>'1. ALL DATA'!C99</f>
        <v>Maintain Top Quartile Performance For Street Cleansing – Fly-Posting</v>
      </c>
      <c r="C98" s="359">
        <v>0</v>
      </c>
      <c r="D98" s="187" t="str">
        <f>'1. ALL DATA'!H99</f>
        <v>Not yet due</v>
      </c>
      <c r="E98" s="432" t="s">
        <v>47</v>
      </c>
      <c r="F98" s="187" t="str">
        <f>'1. ALL DATA'!M99</f>
        <v>On Track to be Achieved</v>
      </c>
      <c r="G98" s="199" t="s">
        <v>222</v>
      </c>
      <c r="H98" s="135" t="str">
        <f>'1. ALL DATA'!R99</f>
        <v>On Track to be Achieved</v>
      </c>
      <c r="I98" s="199"/>
      <c r="J98" s="135" t="str">
        <f>'1. ALL DATA'!V99</f>
        <v>Fully Achieved</v>
      </c>
    </row>
    <row r="99" spans="1:10" ht="99.75" customHeight="1" x14ac:dyDescent="0.25">
      <c r="A99" s="184" t="str">
        <f>'1. ALL DATA'!A100</f>
        <v>PSC22</v>
      </c>
      <c r="B99" s="186" t="str">
        <f>'1. ALL DATA'!C100</f>
        <v xml:space="preserve">Maintain Top Quartile Performance On Recycling </v>
      </c>
      <c r="C99" s="334" t="str">
        <f>'1. ALL DATA'!D100</f>
        <v>Household Waste Recycled and Composted:
50%</v>
      </c>
      <c r="D99" s="187" t="str">
        <f>'1. ALL DATA'!H100</f>
        <v>On Track to be Achieved</v>
      </c>
      <c r="E99" s="199" t="s">
        <v>222</v>
      </c>
      <c r="F99" s="187" t="str">
        <f>'1. ALL DATA'!M100</f>
        <v>On Track to be Achieved</v>
      </c>
      <c r="G99" s="444" t="s">
        <v>220</v>
      </c>
      <c r="H99" s="135" t="str">
        <f>'1. ALL DATA'!R100</f>
        <v>In Danger of Falling Behind Target</v>
      </c>
      <c r="I99" s="199"/>
      <c r="J99" s="135" t="str">
        <f>'1. ALL DATA'!V100</f>
        <v>Numerical Outturn Within 10% Tolerance</v>
      </c>
    </row>
    <row r="100" spans="1:10" ht="99.75" customHeight="1" x14ac:dyDescent="0.25">
      <c r="A100" s="184" t="str">
        <f>'1. ALL DATA'!A101</f>
        <v>PSC23</v>
      </c>
      <c r="B100" s="186" t="str">
        <f>'1. ALL DATA'!C101</f>
        <v xml:space="preserve">Maintain Top Quartile Performance On Waste Reduction </v>
      </c>
      <c r="C100" s="334" t="str">
        <f>'1. ALL DATA'!D101</f>
        <v>Residual Household Waste Per Household:
475kg</v>
      </c>
      <c r="D100" s="187" t="str">
        <f>'1. ALL DATA'!H101</f>
        <v>On Track to be Achieved</v>
      </c>
      <c r="E100" s="199" t="s">
        <v>222</v>
      </c>
      <c r="F100" s="187" t="str">
        <f>'1. ALL DATA'!M101</f>
        <v>On Track to be Achieved</v>
      </c>
      <c r="G100" s="199" t="s">
        <v>222</v>
      </c>
      <c r="H100" s="135" t="str">
        <f>'1. ALL DATA'!R101</f>
        <v>On Track to be Achieved</v>
      </c>
      <c r="I100" s="199"/>
      <c r="J100" s="135" t="str">
        <f>'1. ALL DATA'!V101</f>
        <v>Numerical Outturn Within 5% Tolerance</v>
      </c>
    </row>
    <row r="101" spans="1:10" ht="99.75" customHeight="1" x14ac:dyDescent="0.25">
      <c r="A101" s="184" t="str">
        <f>'1. ALL DATA'!A102</f>
        <v>PSC24</v>
      </c>
      <c r="B101" s="186" t="str">
        <f>'1. ALL DATA'!C102</f>
        <v>Continue to Increase Public Awareness Of Recycling and Other Environmental Issues Such as Street Cleanliness</v>
      </c>
      <c r="C101" s="334" t="str">
        <f>'1. ALL DATA'!D102</f>
        <v>Produce and Implement New Communications Plan
(December 2018)</v>
      </c>
      <c r="D101" s="187" t="str">
        <f>'1. ALL DATA'!H102</f>
        <v>Not yet due</v>
      </c>
      <c r="E101" s="432" t="s">
        <v>47</v>
      </c>
      <c r="F101" s="187" t="str">
        <f>'1. ALL DATA'!M102</f>
        <v>Not yet due</v>
      </c>
      <c r="G101" s="444" t="s">
        <v>221</v>
      </c>
      <c r="H101" s="135" t="str">
        <f>'1. ALL DATA'!R102</f>
        <v>Fully Achieved</v>
      </c>
      <c r="I101" s="199"/>
      <c r="J101" s="135" t="str">
        <f>'1. ALL DATA'!V102</f>
        <v>Fully Achieved</v>
      </c>
    </row>
    <row r="102" spans="1:10" ht="99.75" customHeight="1" x14ac:dyDescent="0.25">
      <c r="A102" s="184" t="str">
        <f>'1. ALL DATA'!A103</f>
        <v>PSC25</v>
      </c>
      <c r="B102" s="186" t="str">
        <f>'1. ALL DATA'!C103</f>
        <v>Guidance to Support Planning Services</v>
      </c>
      <c r="C102" s="334" t="str">
        <f>'1. ALL DATA'!D103</f>
        <v>Introduce New Cannock Chase Special Area of Conservation (SAC) Guidance
(April 2018)</v>
      </c>
      <c r="D102" s="187" t="str">
        <f>'1. ALL DATA'!H103</f>
        <v>Fully Achieved</v>
      </c>
      <c r="E102" s="199" t="s">
        <v>222</v>
      </c>
      <c r="F102" s="187" t="str">
        <f>'1. ALL DATA'!M103</f>
        <v>Fully Achieved</v>
      </c>
      <c r="G102" s="199" t="s">
        <v>222</v>
      </c>
      <c r="H102" s="135" t="str">
        <f>'1. ALL DATA'!R103</f>
        <v>Fully Achieved</v>
      </c>
      <c r="I102" s="199"/>
      <c r="J102" s="135" t="str">
        <f>'1. ALL DATA'!V103</f>
        <v>Fully Achieved</v>
      </c>
    </row>
    <row r="103" spans="1:10" ht="99.75" customHeight="1" x14ac:dyDescent="0.25">
      <c r="A103" s="184" t="str">
        <f>'1. ALL DATA'!A104</f>
        <v>PSC26</v>
      </c>
      <c r="B103" s="186" t="str">
        <f>'1. ALL DATA'!C104</f>
        <v>Guidance to Support Planning Services</v>
      </c>
      <c r="C103" s="334" t="str">
        <f>'1. ALL DATA'!D104</f>
        <v>Devise Borough-wide Planting Guidance 
(June 2018)</v>
      </c>
      <c r="D103" s="187" t="str">
        <f>'1. ALL DATA'!H104</f>
        <v>Fully Achieved</v>
      </c>
      <c r="E103" s="199" t="s">
        <v>222</v>
      </c>
      <c r="F103" s="187" t="str">
        <f>'1. ALL DATA'!M104</f>
        <v>Fully Achieved</v>
      </c>
      <c r="G103" s="199" t="s">
        <v>222</v>
      </c>
      <c r="H103" s="135" t="str">
        <f>'1. ALL DATA'!R104</f>
        <v>Fully Achieved</v>
      </c>
      <c r="I103" s="199"/>
      <c r="J103" s="135" t="str">
        <f>'1. ALL DATA'!V104</f>
        <v>Fully Achieved</v>
      </c>
    </row>
    <row r="104" spans="1:10" ht="99.75" customHeight="1" x14ac:dyDescent="0.25">
      <c r="A104" s="184" t="str">
        <f>'1. ALL DATA'!A105</f>
        <v>PSC27</v>
      </c>
      <c r="B104" s="186" t="str">
        <f>'1. ALL DATA'!C105</f>
        <v>Guidance to Support Planning Services</v>
      </c>
      <c r="C104" s="334" t="str">
        <f>'1. ALL DATA'!D105</f>
        <v>Introduce New Heritage Impact Assessment Guidance Notes 
(April 2018)</v>
      </c>
      <c r="D104" s="187" t="str">
        <f>'1. ALL DATA'!H105</f>
        <v>Fully Achieved</v>
      </c>
      <c r="E104" s="199" t="s">
        <v>222</v>
      </c>
      <c r="F104" s="187" t="str">
        <f>'1. ALL DATA'!M105</f>
        <v>Fully Achieved</v>
      </c>
      <c r="G104" s="199" t="s">
        <v>222</v>
      </c>
      <c r="H104" s="135" t="str">
        <f>'1. ALL DATA'!R105</f>
        <v>Fully Achieved</v>
      </c>
      <c r="I104" s="199"/>
      <c r="J104" s="135" t="str">
        <f>'1. ALL DATA'!V105</f>
        <v>Fully Achieved</v>
      </c>
    </row>
    <row r="105" spans="1:10" ht="99.75" customHeight="1" x14ac:dyDescent="0.25">
      <c r="A105" s="184" t="str">
        <f>'1. ALL DATA'!A106</f>
        <v>PSC28</v>
      </c>
      <c r="B105" s="186" t="str">
        <f>'1. ALL DATA'!C106</f>
        <v>Delivery of Strategic Housing and Employment Sites</v>
      </c>
      <c r="C105" s="334" t="str">
        <f>'1. ALL DATA'!D106</f>
        <v>Strategic Site Progress Report Prepared 
(December 2018)</v>
      </c>
      <c r="D105" s="187" t="str">
        <f>'1. ALL DATA'!H106</f>
        <v>Not yet due</v>
      </c>
      <c r="E105" s="432" t="s">
        <v>47</v>
      </c>
      <c r="F105" s="187" t="str">
        <f>'1. ALL DATA'!M106</f>
        <v>On Track to be Achieved</v>
      </c>
      <c r="G105" s="444" t="s">
        <v>221</v>
      </c>
      <c r="H105" s="135" t="str">
        <f>'1. ALL DATA'!R106</f>
        <v>Fully Achieved</v>
      </c>
      <c r="I105" s="199"/>
      <c r="J105" s="135" t="str">
        <f>'1. ALL DATA'!V106</f>
        <v>Fully Achieved</v>
      </c>
    </row>
    <row r="106" spans="1:10" ht="99.75" customHeight="1" x14ac:dyDescent="0.25">
      <c r="A106" s="184" t="str">
        <f>'1. ALL DATA'!A107</f>
        <v>PSC29</v>
      </c>
      <c r="B106" s="186" t="str">
        <f>'1. ALL DATA'!C107</f>
        <v xml:space="preserve">Monitor Local Plan Performance </v>
      </c>
      <c r="C106" s="334" t="str">
        <f>'1. ALL DATA'!D107</f>
        <v>Annual Monitoring Report Prepared
(November 2018)</v>
      </c>
      <c r="D106" s="187" t="str">
        <f>'1. ALL DATA'!H107</f>
        <v>Not yet due</v>
      </c>
      <c r="E106" s="432" t="s">
        <v>47</v>
      </c>
      <c r="F106" s="187" t="str">
        <f>'1. ALL DATA'!M107</f>
        <v>On Track to be Achieved</v>
      </c>
      <c r="G106" s="444" t="s">
        <v>221</v>
      </c>
      <c r="H106" s="135" t="str">
        <f>'1. ALL DATA'!R107</f>
        <v>Fully Achieved</v>
      </c>
      <c r="I106" s="199"/>
      <c r="J106" s="135" t="str">
        <f>'1. ALL DATA'!V107</f>
        <v>Fully Achieved</v>
      </c>
    </row>
    <row r="107" spans="1:10" ht="99.75" customHeight="1" x14ac:dyDescent="0.25">
      <c r="A107" s="184" t="str">
        <f>'1. ALL DATA'!A108</f>
        <v>PSC30</v>
      </c>
      <c r="B107" s="186" t="str">
        <f>'1. ALL DATA'!C108</f>
        <v>Guidance to Support Planning Services</v>
      </c>
      <c r="C107" s="334" t="str">
        <f>'1. ALL DATA'!D108</f>
        <v>Introduce New Protocol to Neighbourhood Planning 
(June 2018)</v>
      </c>
      <c r="D107" s="187" t="str">
        <f>'1. ALL DATA'!H108</f>
        <v>Fully Achieved</v>
      </c>
      <c r="E107" s="199" t="s">
        <v>222</v>
      </c>
      <c r="F107" s="187" t="str">
        <f>'1. ALL DATA'!M108</f>
        <v>Fully Achieved</v>
      </c>
      <c r="G107" s="199" t="s">
        <v>222</v>
      </c>
      <c r="H107" s="135" t="str">
        <f>'1. ALL DATA'!R108</f>
        <v>Fully Achieved</v>
      </c>
      <c r="I107" s="199"/>
      <c r="J107" s="135" t="str">
        <f>'1. ALL DATA'!V108</f>
        <v>Fully Achieved</v>
      </c>
    </row>
    <row r="108" spans="1:10" ht="99.75" customHeight="1" x14ac:dyDescent="0.25">
      <c r="A108" s="184" t="str">
        <f>'1. ALL DATA'!A109</f>
        <v>PSC31</v>
      </c>
      <c r="B108" s="186" t="str">
        <f>'1. ALL DATA'!C109</f>
        <v>Delivering Improvements to the Washlands</v>
      </c>
      <c r="C108" s="334" t="str">
        <f>'1. ALL DATA'!D109</f>
        <v>Adoption of a Washlands Strategy 
(December 2018)</v>
      </c>
      <c r="D108" s="187" t="str">
        <f>'1. ALL DATA'!H109</f>
        <v>On Track to be Achieved</v>
      </c>
      <c r="E108" s="199" t="s">
        <v>222</v>
      </c>
      <c r="F108" s="187" t="str">
        <f>'1. ALL DATA'!M109</f>
        <v>On Track to be Achieved</v>
      </c>
      <c r="G108" s="444" t="s">
        <v>221</v>
      </c>
      <c r="H108" s="135" t="str">
        <f>'1. ALL DATA'!R109</f>
        <v>Fully Achieved</v>
      </c>
      <c r="I108" s="199"/>
      <c r="J108" s="135" t="str">
        <f>'1. ALL DATA'!V109</f>
        <v>Fully Achieved</v>
      </c>
    </row>
    <row r="109" spans="1:10" ht="99.75" customHeight="1" x14ac:dyDescent="0.25">
      <c r="A109" s="184" t="str">
        <f>'1. ALL DATA'!A110</f>
        <v>PSC32</v>
      </c>
      <c r="B109" s="186" t="str">
        <f>'1. ALL DATA'!C110</f>
        <v>Delivering Improvements to the Washlands</v>
      </c>
      <c r="C109" s="334" t="str">
        <f>'1. ALL DATA'!D110</f>
        <v>Work With Partners to Develop a Detailed Business Case for Delivering Improvements to the Washlands
(September 2018)</v>
      </c>
      <c r="D109" s="187" t="str">
        <f>'1. ALL DATA'!H110</f>
        <v>On Track to be Achieved</v>
      </c>
      <c r="E109" s="199" t="s">
        <v>222</v>
      </c>
      <c r="F109" s="187" t="str">
        <f>'1. ALL DATA'!M110</f>
        <v>Fully Achieved</v>
      </c>
      <c r="G109" s="199" t="s">
        <v>222</v>
      </c>
      <c r="H109" s="135" t="str">
        <f>'1. ALL DATA'!R110</f>
        <v>Fully Achieved</v>
      </c>
      <c r="I109" s="199"/>
      <c r="J109" s="135" t="str">
        <f>'1. ALL DATA'!V110</f>
        <v>Fully Achieved</v>
      </c>
    </row>
    <row r="110" spans="1:10" ht="99.75" customHeight="1" x14ac:dyDescent="0.25">
      <c r="A110" s="184" t="str">
        <f>'1. ALL DATA'!A111</f>
        <v>PSC33</v>
      </c>
      <c r="B110" s="186" t="str">
        <f>'1. ALL DATA'!C111</f>
        <v>Enforcement Activities</v>
      </c>
      <c r="C110" s="334" t="str">
        <f>'1. ALL DATA'!D111</f>
        <v>Review of High Hedge Complaint Procedures and Fees Complete
(March 2019)</v>
      </c>
      <c r="D110" s="187" t="str">
        <f>'1. ALL DATA'!H111</f>
        <v>On Track to be Achieved</v>
      </c>
      <c r="E110" s="199" t="s">
        <v>222</v>
      </c>
      <c r="F110" s="187" t="str">
        <f>'1. ALL DATA'!M111</f>
        <v>On Track to be Achieved</v>
      </c>
      <c r="G110" s="199" t="s">
        <v>222</v>
      </c>
      <c r="H110" s="135" t="str">
        <f>'1. ALL DATA'!R111</f>
        <v>On Track to be Achieved</v>
      </c>
      <c r="I110" s="199"/>
      <c r="J110" s="135" t="str">
        <f>'1. ALL DATA'!V111</f>
        <v>Fully Achieved</v>
      </c>
    </row>
    <row r="111" spans="1:10" ht="99.75" customHeight="1" x14ac:dyDescent="0.25">
      <c r="A111" s="184" t="str">
        <f>'1. ALL DATA'!A112</f>
        <v>PSC34</v>
      </c>
      <c r="B111" s="186" t="str">
        <f>'1. ALL DATA'!C112</f>
        <v xml:space="preserve">Deliver Focussed Community and Civil Enforcement Initiatives </v>
      </c>
      <c r="C111" s="334" t="str">
        <f>'1. ALL DATA'!D112</f>
        <v>Undertake a Minimum of 11 Initiatives Across the Borough
(March 2019)</v>
      </c>
      <c r="D111" s="187" t="str">
        <f>'1. ALL DATA'!H112</f>
        <v>On Track to be Achieved</v>
      </c>
      <c r="E111" s="199" t="s">
        <v>222</v>
      </c>
      <c r="F111" s="187" t="str">
        <f>'1. ALL DATA'!M112</f>
        <v>Fully Achieved</v>
      </c>
      <c r="G111" s="199" t="s">
        <v>222</v>
      </c>
      <c r="H111" s="135" t="str">
        <f>'1. ALL DATA'!R112</f>
        <v>Fully Achieved</v>
      </c>
      <c r="I111" s="199"/>
      <c r="J111" s="135" t="str">
        <f>'1. ALL DATA'!V112</f>
        <v>Fully Achieved</v>
      </c>
    </row>
    <row r="112" spans="1:10" ht="99.75" customHeight="1" x14ac:dyDescent="0.25">
      <c r="A112" s="184" t="str">
        <f>'1. ALL DATA'!A113</f>
        <v>PSC35</v>
      </c>
      <c r="B112" s="186" t="str">
        <f>'1. ALL DATA'!C113</f>
        <v>Selective Licensing Scheme</v>
      </c>
      <c r="C112" s="334" t="str">
        <f>'1. ALL DATA'!D113</f>
        <v>Provide a Member Briefing on Progress With the Selective Licensing Pilot Scheme
(June 2018)</v>
      </c>
      <c r="D112" s="187" t="str">
        <f>'1. ALL DATA'!H113</f>
        <v>Fully Achieved</v>
      </c>
      <c r="E112" s="199" t="s">
        <v>222</v>
      </c>
      <c r="F112" s="187" t="str">
        <f>'1. ALL DATA'!M113</f>
        <v>Fully Achieved</v>
      </c>
      <c r="G112" s="199" t="s">
        <v>222</v>
      </c>
      <c r="H112" s="135" t="str">
        <f>'1. ALL DATA'!R113</f>
        <v>Fully Achieved</v>
      </c>
      <c r="I112" s="199"/>
      <c r="J112" s="135" t="str">
        <f>'1. ALL DATA'!V113</f>
        <v>Fully Achieved</v>
      </c>
    </row>
    <row r="113" spans="1:10" ht="99.75" customHeight="1" x14ac:dyDescent="0.25">
      <c r="A113" s="184" t="str">
        <f>'1. ALL DATA'!A114</f>
        <v>PSC36</v>
      </c>
      <c r="B113" s="186" t="str">
        <f>'1. ALL DATA'!C114</f>
        <v>Selective Licensing Scheme</v>
      </c>
      <c r="C113" s="334" t="str">
        <f>'1. ALL DATA'!D114</f>
        <v>Complete an Evaluation of Selective Licensing Scheme
(November 2018)</v>
      </c>
      <c r="D113" s="187" t="str">
        <f>'1. ALL DATA'!H114</f>
        <v>Not yet due</v>
      </c>
      <c r="E113" s="432" t="s">
        <v>47</v>
      </c>
      <c r="F113" s="187" t="str">
        <f>'1. ALL DATA'!M114</f>
        <v>On Track to be Achieved</v>
      </c>
      <c r="G113" s="444" t="s">
        <v>221</v>
      </c>
      <c r="H113" s="135" t="str">
        <f>'1. ALL DATA'!R114</f>
        <v>Fully Achieved</v>
      </c>
      <c r="I113" s="198"/>
      <c r="J113" s="135" t="str">
        <f>'1. ALL DATA'!V114</f>
        <v>Fully Achieved</v>
      </c>
    </row>
    <row r="114" spans="1:10" ht="99.75" customHeight="1" x14ac:dyDescent="0.25">
      <c r="A114" s="184" t="str">
        <f>'1. ALL DATA'!A115</f>
        <v>PSC37</v>
      </c>
      <c r="B114" s="186" t="str">
        <f>'1. ALL DATA'!C115</f>
        <v>Deliver Focussed Environmental Health Initiatives</v>
      </c>
      <c r="C114" s="334" t="str">
        <f>'1. ALL DATA'!D115</f>
        <v>Undertake a Minimum of 2 Multi-Agency Initiatives to Address Modern Slavery
(March 2019)</v>
      </c>
      <c r="D114" s="187" t="str">
        <f>'1. ALL DATA'!H115</f>
        <v>On Track to be Achieved</v>
      </c>
      <c r="E114" s="199" t="s">
        <v>222</v>
      </c>
      <c r="F114" s="187" t="str">
        <f>'1. ALL DATA'!M115</f>
        <v>Fully Achieved</v>
      </c>
      <c r="G114" s="199" t="s">
        <v>222</v>
      </c>
      <c r="H114" s="135" t="str">
        <f>'1. ALL DATA'!R115</f>
        <v>Fully Achieved</v>
      </c>
      <c r="I114" s="199"/>
      <c r="J114" s="135" t="str">
        <f>'1. ALL DATA'!V115</f>
        <v>Fully Achieved</v>
      </c>
    </row>
    <row r="115" spans="1:10" ht="99.75" customHeight="1" x14ac:dyDescent="0.25">
      <c r="A115" s="184" t="str">
        <f>'1. ALL DATA'!A116</f>
        <v>PSC38</v>
      </c>
      <c r="B115" s="186" t="str">
        <f>'1. ALL DATA'!C116</f>
        <v>Deliver Focussed Environmental Health Initiatives</v>
      </c>
      <c r="C115" s="334" t="str">
        <f>'1. ALL DATA'!D116</f>
        <v>Undertake a Minimum of 4 Initiatives With Weekend Market Traders to Ensure Compliance With Food Hygiene Legislation
(March 2019)</v>
      </c>
      <c r="D115" s="187" t="str">
        <f>'1. ALL DATA'!H116</f>
        <v>Not yet due</v>
      </c>
      <c r="E115" s="432" t="s">
        <v>47</v>
      </c>
      <c r="F115" s="187" t="str">
        <f>'1. ALL DATA'!M116</f>
        <v>On Track to be Achieved</v>
      </c>
      <c r="G115" s="444" t="s">
        <v>221</v>
      </c>
      <c r="H115" s="135" t="str">
        <f>'1. ALL DATA'!R116</f>
        <v>Fully Achieved</v>
      </c>
      <c r="I115" s="199"/>
      <c r="J115" s="135" t="str">
        <f>'1. ALL DATA'!V116</f>
        <v>Fully Achieved</v>
      </c>
    </row>
    <row r="116" spans="1:10" s="34" customFormat="1" ht="94.5" x14ac:dyDescent="0.25">
      <c r="A116" s="184" t="str">
        <f>'1. ALL DATA'!A117</f>
        <v>PSC39</v>
      </c>
      <c r="B116" s="186" t="str">
        <f>'1. ALL DATA'!C117</f>
        <v>Deliver Focussed Environmental Health Initiatives</v>
      </c>
      <c r="C116" s="334" t="str">
        <f>'1. ALL DATA'!D117</f>
        <v>Complete a Targeted Initiative Tackling Concerns on Houses in Multiple Occupation
(March 2019)</v>
      </c>
      <c r="D116" s="187" t="str">
        <f>'1. ALL DATA'!H117</f>
        <v>On Track to be Achieved</v>
      </c>
      <c r="E116" s="199" t="s">
        <v>222</v>
      </c>
      <c r="F116" s="187" t="str">
        <f>'1. ALL DATA'!M117</f>
        <v>On Track to be Achieved</v>
      </c>
      <c r="G116" s="199" t="s">
        <v>222</v>
      </c>
      <c r="H116" s="135" t="str">
        <f>'1. ALL DATA'!R117</f>
        <v>On Track to be Achieved</v>
      </c>
      <c r="I116" s="198"/>
      <c r="J116" s="135" t="str">
        <f>'1. ALL DATA'!V117</f>
        <v>Fully Achieved</v>
      </c>
    </row>
    <row r="117" spans="1:10" s="34" customFormat="1" ht="87.75" x14ac:dyDescent="0.25">
      <c r="A117" s="184" t="str">
        <f>'1. ALL DATA'!A118</f>
        <v>PSC40</v>
      </c>
      <c r="B117" s="186" t="str">
        <f>'1. ALL DATA'!C118</f>
        <v>Tackle Rough Sleeping and Supporting Homeless Residents</v>
      </c>
      <c r="C117" s="334" t="str">
        <f>'1. ALL DATA'!D118</f>
        <v>Rough Sleeper Count Completed
(December 2018)</v>
      </c>
      <c r="D117" s="187" t="str">
        <f>'1. ALL DATA'!H118</f>
        <v>Not yet due</v>
      </c>
      <c r="E117" s="432" t="s">
        <v>47</v>
      </c>
      <c r="F117" s="187" t="str">
        <f>'1. ALL DATA'!M118</f>
        <v>On Track to be Achieved</v>
      </c>
      <c r="G117" s="444" t="s">
        <v>221</v>
      </c>
      <c r="H117" s="135" t="str">
        <f>'1. ALL DATA'!R118</f>
        <v>Fully Achieved</v>
      </c>
      <c r="I117" s="199"/>
      <c r="J117" s="135" t="str">
        <f>'1. ALL DATA'!V118</f>
        <v>Fully Achieved</v>
      </c>
    </row>
    <row r="118" spans="1:10" s="34" customFormat="1" ht="87.75" x14ac:dyDescent="0.25">
      <c r="A118" s="184" t="str">
        <f>'1. ALL DATA'!A119</f>
        <v>PSC41</v>
      </c>
      <c r="B118" s="186" t="str">
        <f>'1. ALL DATA'!C119</f>
        <v>Delivering Better Services to Support Homelessness</v>
      </c>
      <c r="C118" s="334" t="str">
        <f>'1. ALL DATA'!D119</f>
        <v>100% Of Applicants Accepted for a New Homeless Duty Receiving a Personal Housing Plan</v>
      </c>
      <c r="D118" s="187" t="str">
        <f>'1. ALL DATA'!H119</f>
        <v>On Track to be Achieved</v>
      </c>
      <c r="E118" s="199" t="s">
        <v>222</v>
      </c>
      <c r="F118" s="187" t="str">
        <f>'1. ALL DATA'!M119</f>
        <v>On Track to be Achieved</v>
      </c>
      <c r="G118" s="199" t="s">
        <v>222</v>
      </c>
      <c r="H118" s="135" t="str">
        <f>'1. ALL DATA'!R119</f>
        <v>On Track to be Achieved</v>
      </c>
      <c r="I118" s="199"/>
      <c r="J118" s="135" t="str">
        <f>'1. ALL DATA'!V119</f>
        <v>Fully Achieved</v>
      </c>
    </row>
    <row r="119" spans="1:10" s="34" customFormat="1" ht="87.75" x14ac:dyDescent="0.25">
      <c r="A119" s="184" t="str">
        <f>'1. ALL DATA'!A120</f>
        <v>PSC42</v>
      </c>
      <c r="B119" s="186" t="str">
        <f>'1. ALL DATA'!C120</f>
        <v>Delivering Better Services to Support Homelessness</v>
      </c>
      <c r="C119" s="334" t="str">
        <f>'1. ALL DATA'!D120</f>
        <v>Revise Joint Allocations Policy
(December 2018)</v>
      </c>
      <c r="D119" s="187" t="str">
        <f>'1. ALL DATA'!H120</f>
        <v>On Track to be Achieved</v>
      </c>
      <c r="E119" s="199" t="s">
        <v>222</v>
      </c>
      <c r="F119" s="187" t="str">
        <f>'1. ALL DATA'!M120</f>
        <v>On Track to be Achieved</v>
      </c>
      <c r="G119" s="444" t="s">
        <v>221</v>
      </c>
      <c r="H119" s="135" t="str">
        <f>'1. ALL DATA'!R120</f>
        <v>Fully Achieved</v>
      </c>
      <c r="I119" s="199"/>
      <c r="J119" s="135" t="str">
        <f>'1. ALL DATA'!V120</f>
        <v>Fully Achieved</v>
      </c>
    </row>
    <row r="120" spans="1:10" s="34" customFormat="1" ht="87.75" x14ac:dyDescent="0.25">
      <c r="A120" s="184" t="str">
        <f>'1. ALL DATA'!A121</f>
        <v>PSC43</v>
      </c>
      <c r="B120" s="186" t="str">
        <f>'1. ALL DATA'!C121</f>
        <v>Delivering Better Services to Support Homelessness</v>
      </c>
      <c r="C120" s="334" t="str">
        <f>'1. ALL DATA'!D121</f>
        <v>Approve Refreshed Homelessness Strategy
(September 2018)</v>
      </c>
      <c r="D120" s="187" t="str">
        <f>'1. ALL DATA'!H121</f>
        <v>On Track to be Achieved</v>
      </c>
      <c r="E120" s="199" t="s">
        <v>222</v>
      </c>
      <c r="F120" s="187" t="str">
        <f>'1. ALL DATA'!M121</f>
        <v>Fully Achieved</v>
      </c>
      <c r="G120" s="199" t="s">
        <v>222</v>
      </c>
      <c r="H120" s="135" t="str">
        <f>'1. ALL DATA'!R121</f>
        <v>Fully Achieved</v>
      </c>
      <c r="I120" s="199"/>
      <c r="J120" s="135" t="str">
        <f>'1. ALL DATA'!V121</f>
        <v>Fully Achieved</v>
      </c>
    </row>
    <row r="121" spans="1:10" s="34" customFormat="1" ht="87.75" x14ac:dyDescent="0.25">
      <c r="A121" s="184" t="str">
        <f>'1. ALL DATA'!A122</f>
        <v>PSC44</v>
      </c>
      <c r="B121" s="186" t="str">
        <f>'1. ALL DATA'!C122</f>
        <v>World War One Centenary Commemorations</v>
      </c>
      <c r="C121" s="334" t="str">
        <f>'1. ALL DATA'!D122</f>
        <v>Action Plan Developed Setting Out a Schedule of Events 
(May 2018)</v>
      </c>
      <c r="D121" s="187" t="str">
        <f>'1. ALL DATA'!H122</f>
        <v>Fully Achieved</v>
      </c>
      <c r="E121" s="199" t="s">
        <v>222</v>
      </c>
      <c r="F121" s="187" t="str">
        <f>'1. ALL DATA'!M122</f>
        <v>Fully Achieved</v>
      </c>
      <c r="G121" s="199" t="s">
        <v>222</v>
      </c>
      <c r="H121" s="135" t="str">
        <f>'1. ALL DATA'!R122</f>
        <v>Fully Achieved</v>
      </c>
      <c r="I121" s="199"/>
      <c r="J121" s="135" t="str">
        <f>'1. ALL DATA'!V122</f>
        <v>Fully Achieved</v>
      </c>
    </row>
    <row r="122" spans="1:10" s="34" customFormat="1" ht="87.75" x14ac:dyDescent="0.25">
      <c r="A122" s="184" t="str">
        <f>'1. ALL DATA'!A123</f>
        <v>PSC45</v>
      </c>
      <c r="B122" s="186" t="str">
        <f>'1. ALL DATA'!C123</f>
        <v>Deliver Phase 1b of the Burton Regeneration Programme</v>
      </c>
      <c r="C122" s="334" t="str">
        <f>'1. ALL DATA'!D123</f>
        <v>Agree Project Milestones 
(May 2018)</v>
      </c>
      <c r="D122" s="135" t="str">
        <f>'1. ALL DATA'!H123</f>
        <v>Fully Achieved</v>
      </c>
      <c r="E122" s="199" t="s">
        <v>222</v>
      </c>
      <c r="F122" s="135" t="str">
        <f>'1. ALL DATA'!M123</f>
        <v>Fully Achieved</v>
      </c>
      <c r="G122" s="199" t="s">
        <v>222</v>
      </c>
      <c r="H122" s="135" t="str">
        <f>'1. ALL DATA'!R123</f>
        <v>Fully Achieved</v>
      </c>
      <c r="I122" s="199"/>
      <c r="J122" s="135" t="str">
        <f>'1. ALL DATA'!V123</f>
        <v>Fully Achieved</v>
      </c>
    </row>
    <row r="123" spans="1:10" s="34" customFormat="1" ht="87.75" x14ac:dyDescent="0.25">
      <c r="A123" s="184" t="str">
        <f>'1. ALL DATA'!A124</f>
        <v>PSC46</v>
      </c>
      <c r="B123" s="186" t="str">
        <f>'1. ALL DATA'!C124</f>
        <v>Deliver Phase 1b of the Burton Regeneration Programme</v>
      </c>
      <c r="C123" s="334" t="str">
        <f>'1. ALL DATA'!D124</f>
        <v xml:space="preserve">Deliver 80% of 2018/19 Project Milestones </v>
      </c>
      <c r="D123" s="135" t="str">
        <f>'1. ALL DATA'!H124</f>
        <v>Not yet due</v>
      </c>
      <c r="E123" s="432" t="s">
        <v>47</v>
      </c>
      <c r="F123" s="135" t="str">
        <f>'1. ALL DATA'!M124</f>
        <v>On Track to be Achieved</v>
      </c>
      <c r="G123" s="444" t="s">
        <v>221</v>
      </c>
      <c r="H123" s="135" t="str">
        <f>'1. ALL DATA'!R124</f>
        <v>Fully Achieved</v>
      </c>
      <c r="I123" s="361"/>
      <c r="J123" s="135" t="str">
        <f>'1. ALL DATA'!V124</f>
        <v>Fully Achieved</v>
      </c>
    </row>
    <row r="124" spans="1:10" s="34" customFormat="1" ht="110.25" x14ac:dyDescent="0.25">
      <c r="A124" s="184" t="str">
        <f>'1. ALL DATA'!A125</f>
        <v>PSC47</v>
      </c>
      <c r="B124" s="186" t="str">
        <f>'1. ALL DATA'!C125</f>
        <v>Deliver Phase 2 of the Burton Regeneration Programme</v>
      </c>
      <c r="C124" s="334" t="str">
        <f>'1. ALL DATA'!D125</f>
        <v>Commission Independent Consultant’s Report on “A Strategic Vision for a Better, Brighter Burton in the Future” (May 2018)</v>
      </c>
      <c r="D124" s="135" t="str">
        <f>'1. ALL DATA'!H125</f>
        <v>Fully Achieved</v>
      </c>
      <c r="E124" s="199" t="s">
        <v>222</v>
      </c>
      <c r="F124" s="135" t="str">
        <f>'1. ALL DATA'!M125</f>
        <v>Fully Achieved</v>
      </c>
      <c r="G124" s="199" t="s">
        <v>222</v>
      </c>
      <c r="H124" s="135" t="str">
        <f>'1. ALL DATA'!R125</f>
        <v>Fully Achieved</v>
      </c>
      <c r="I124" s="361"/>
      <c r="J124" s="135" t="str">
        <f>'1. ALL DATA'!V125</f>
        <v>Fully Achieved</v>
      </c>
    </row>
    <row r="125" spans="1:10" s="34" customFormat="1" ht="87.75" x14ac:dyDescent="0.25">
      <c r="A125" s="184" t="str">
        <f>'1. ALL DATA'!A126</f>
        <v>PSC48</v>
      </c>
      <c r="B125" s="186" t="str">
        <f>'1. ALL DATA'!C126</f>
        <v>Deliver Phase 2 of the Burton Regeneration Programme</v>
      </c>
      <c r="C125" s="334" t="str">
        <f>'1. ALL DATA'!D126</f>
        <v>Consider Findings of Consultant’s Report Within 6 Weeks of Receipt of Report</v>
      </c>
      <c r="D125" s="135" t="str">
        <f>'1. ALL DATA'!H126</f>
        <v>Not yet due</v>
      </c>
      <c r="E125" s="432" t="s">
        <v>47</v>
      </c>
      <c r="F125" s="135" t="str">
        <f>'1. ALL DATA'!M126</f>
        <v>Not yet due</v>
      </c>
      <c r="G125" s="444" t="s">
        <v>221</v>
      </c>
      <c r="H125" s="135" t="str">
        <f>'1. ALL DATA'!R126</f>
        <v>On Track to be Achieved</v>
      </c>
      <c r="I125" s="361"/>
      <c r="J125" s="135" t="str">
        <f>'1. ALL DATA'!V126</f>
        <v>Fully Achieved</v>
      </c>
    </row>
    <row r="126" spans="1:10" s="34" customFormat="1" ht="94.5" x14ac:dyDescent="0.25">
      <c r="A126" s="184" t="str">
        <f>'1. ALL DATA'!A127</f>
        <v>PSC49</v>
      </c>
      <c r="B126" s="186" t="str">
        <f>'1. ALL DATA'!C127</f>
        <v>Promote Tourism Across the Borough</v>
      </c>
      <c r="C126" s="334" t="str">
        <f>'1. ALL DATA'!D127</f>
        <v>Support the Council’s Strategic Tourism Partners in Promotion Activities 
(March 2019)</v>
      </c>
      <c r="D126" s="135" t="str">
        <f>'1. ALL DATA'!H127</f>
        <v>On Track to be Achieved</v>
      </c>
      <c r="E126" s="199" t="s">
        <v>222</v>
      </c>
      <c r="F126" s="135" t="str">
        <f>'1. ALL DATA'!M127</f>
        <v>On Track to be Achieved</v>
      </c>
      <c r="G126" s="199" t="s">
        <v>222</v>
      </c>
      <c r="H126" s="135" t="str">
        <f>'1. ALL DATA'!R127</f>
        <v>On Track to be Achieved</v>
      </c>
      <c r="I126" s="361"/>
      <c r="J126" s="135" t="str">
        <f>'1. ALL DATA'!V127</f>
        <v>Fully Achieved</v>
      </c>
    </row>
    <row r="127" spans="1:10" s="34" customFormat="1" ht="110.25" x14ac:dyDescent="0.25">
      <c r="A127" s="184" t="str">
        <f>'1. ALL DATA'!A128</f>
        <v>PSC50</v>
      </c>
      <c r="B127" s="186" t="str">
        <f>'1. ALL DATA'!C128</f>
        <v>Review the Provision of Physical Tourism Information</v>
      </c>
      <c r="C127" s="334" t="str">
        <f>'1. ALL DATA'!D128</f>
        <v>Consider Existing Tourism Signage and Information Boards and How These Can be Improved 
(September 2018)</v>
      </c>
      <c r="D127" s="135" t="str">
        <f>'1. ALL DATA'!H128</f>
        <v>Not yet due</v>
      </c>
      <c r="E127" s="432" t="s">
        <v>47</v>
      </c>
      <c r="F127" s="135" t="str">
        <f>'1. ALL DATA'!M128</f>
        <v>Fully Achieved</v>
      </c>
      <c r="G127" s="199" t="s">
        <v>222</v>
      </c>
      <c r="H127" s="135" t="str">
        <f>'1. ALL DATA'!R128</f>
        <v>Fully Achieved</v>
      </c>
      <c r="I127" s="361"/>
      <c r="J127" s="135" t="str">
        <f>'1. ALL DATA'!V128</f>
        <v>Fully Achieved</v>
      </c>
    </row>
    <row r="128" spans="1:10" s="34" customFormat="1" x14ac:dyDescent="0.25">
      <c r="C128" s="42"/>
    </row>
    <row r="129" spans="3:3" s="34" customFormat="1" x14ac:dyDescent="0.25">
      <c r="C129" s="42"/>
    </row>
    <row r="130" spans="3:3" s="34" customFormat="1" x14ac:dyDescent="0.25">
      <c r="C130" s="42"/>
    </row>
    <row r="131" spans="3:3" s="34" customFormat="1" x14ac:dyDescent="0.25">
      <c r="C131" s="42"/>
    </row>
    <row r="132" spans="3:3" s="34" customFormat="1" x14ac:dyDescent="0.25">
      <c r="C132" s="42"/>
    </row>
    <row r="133" spans="3:3" s="34" customFormat="1" x14ac:dyDescent="0.25">
      <c r="C133" s="42"/>
    </row>
    <row r="134" spans="3:3" s="34" customFormat="1" x14ac:dyDescent="0.25">
      <c r="C134" s="42"/>
    </row>
    <row r="135" spans="3:3" s="34" customFormat="1" x14ac:dyDescent="0.25">
      <c r="C135" s="42"/>
    </row>
    <row r="136" spans="3:3" s="34" customFormat="1" x14ac:dyDescent="0.25">
      <c r="C136" s="42"/>
    </row>
    <row r="137" spans="3:3" s="34" customFormat="1" x14ac:dyDescent="0.25">
      <c r="C137" s="42"/>
    </row>
    <row r="138" spans="3:3" s="34" customFormat="1" x14ac:dyDescent="0.25">
      <c r="C138" s="42"/>
    </row>
    <row r="139" spans="3:3" s="34" customFormat="1" x14ac:dyDescent="0.25">
      <c r="C139" s="42"/>
    </row>
    <row r="140" spans="3:3" s="34" customFormat="1" x14ac:dyDescent="0.25">
      <c r="C140" s="42"/>
    </row>
    <row r="141" spans="3:3" s="34" customFormat="1" x14ac:dyDescent="0.25">
      <c r="C141" s="42"/>
    </row>
    <row r="142" spans="3:3" s="34" customFormat="1" x14ac:dyDescent="0.25">
      <c r="C142" s="42"/>
    </row>
    <row r="143" spans="3:3" s="34" customFormat="1" x14ac:dyDescent="0.25">
      <c r="C143" s="42"/>
    </row>
    <row r="144" spans="3:3" s="34" customFormat="1" x14ac:dyDescent="0.25">
      <c r="C144" s="42"/>
    </row>
    <row r="145" spans="3:3" s="34" customFormat="1" x14ac:dyDescent="0.25">
      <c r="C145" s="42"/>
    </row>
    <row r="146" spans="3:3" x14ac:dyDescent="0.25">
      <c r="C146" s="42"/>
    </row>
  </sheetData>
  <sheetProtection autoFilter="0"/>
  <autoFilter ref="A2:J127"/>
  <conditionalFormatting sqref="V85">
    <cfRule type="containsText" dxfId="3322" priority="8333" operator="containsText" text="Numerical Outturn Within 10% Tolerance">
      <formula>NOT(ISERROR(SEARCH("Numerical Outturn Within 10% Tolerance",V85)))</formula>
    </cfRule>
    <cfRule type="containsText" dxfId="3321" priority="8334" operator="containsText" text="Numerical Outturn Within 5% Tolerance">
      <formula>NOT(ISERROR(SEARCH("Numerical Outturn Within 5% Tolerance",V85)))</formula>
    </cfRule>
    <cfRule type="containsText" dxfId="3320" priority="8335" operator="containsText" text="Target Achieved / Exceeded">
      <formula>NOT(ISERROR(SEARCH("Target Achieved / Exceeded",V85)))</formula>
    </cfRule>
    <cfRule type="containsText" dxfId="3319" priority="8336" operator="containsText" text="Full Update Not Yet Available">
      <formula>NOT(ISERROR(SEARCH("Full Update Not Yet Available",V85)))</formula>
    </cfRule>
    <cfRule type="containsText" dxfId="3318" priority="8337" operator="containsText" text="Full Update Not Yet Available">
      <formula>NOT(ISERROR(SEARCH("Full Update Not Yet Available",V85)))</formula>
    </cfRule>
  </conditionalFormatting>
  <conditionalFormatting sqref="M85 R85">
    <cfRule type="containsText" dxfId="3317" priority="8304" operator="containsText" text="Deferred">
      <formula>NOT(ISERROR(SEARCH("Deferred",M85)))</formula>
    </cfRule>
  </conditionalFormatting>
  <conditionalFormatting sqref="I43 I51 I63 I71:I73 I86 D4:D61 F4:F61 H4:H61 J4:J61 J63:J76 H63:H76 F63:F76 D63:D76 D78:D127 F78:F127 H78:H127 J78:J127">
    <cfRule type="containsText" dxfId="3316" priority="8286" operator="containsText" text="On track to be achieved">
      <formula>NOT(ISERROR(SEARCH("On track to be achieved",D4)))</formula>
    </cfRule>
    <cfRule type="containsText" dxfId="3315" priority="8299" operator="containsText" text="Deferred">
      <formula>NOT(ISERROR(SEARCH("Deferred",D4)))</formula>
    </cfRule>
    <cfRule type="containsText" dxfId="3314" priority="8300" operator="containsText" text="Deleted">
      <formula>NOT(ISERROR(SEARCH("Deleted",D4)))</formula>
    </cfRule>
    <cfRule type="containsText" dxfId="3313" priority="8301" operator="containsText" text="In Danger of Falling Behind Target">
      <formula>NOT(ISERROR(SEARCH("In Danger of Falling Behind Target",D4)))</formula>
    </cfRule>
    <cfRule type="containsText" dxfId="3312" priority="8302" operator="containsText" text="Not yet due">
      <formula>NOT(ISERROR(SEARCH("Not yet due",D4)))</formula>
    </cfRule>
    <cfRule type="containsText" dxfId="3311" priority="8305" operator="containsText" text="Update not Provided">
      <formula>NOT(ISERROR(SEARCH("Update not Provided",D4)))</formula>
    </cfRule>
    <cfRule type="containsText" dxfId="3310" priority="8306" operator="containsText" text="Not yet due">
      <formula>NOT(ISERROR(SEARCH("Not yet due",D4)))</formula>
    </cfRule>
    <cfRule type="containsText" dxfId="3309" priority="8307" operator="containsText" text="Completed Behind Schedule">
      <formula>NOT(ISERROR(SEARCH("Completed Behind Schedule",D4)))</formula>
    </cfRule>
    <cfRule type="containsText" dxfId="3308" priority="8308" operator="containsText" text="Off Target">
      <formula>NOT(ISERROR(SEARCH("Off Target",D4)))</formula>
    </cfRule>
    <cfRule type="containsText" dxfId="3307" priority="8309" operator="containsText" text="On Track to be Achieved">
      <formula>NOT(ISERROR(SEARCH("On Track to be Achieved",D4)))</formula>
    </cfRule>
    <cfRule type="containsText" dxfId="3306" priority="8310" operator="containsText" text="Fully Achieved">
      <formula>NOT(ISERROR(SEARCH("Fully Achieved",D4)))</formula>
    </cfRule>
    <cfRule type="containsText" dxfId="3305" priority="8311" operator="containsText" text="Not yet due">
      <formula>NOT(ISERROR(SEARCH("Not yet due",D4)))</formula>
    </cfRule>
    <cfRule type="containsText" dxfId="3304" priority="8312" operator="containsText" text="Not Yet Due">
      <formula>NOT(ISERROR(SEARCH("Not Yet Due",D4)))</formula>
    </cfRule>
    <cfRule type="containsText" dxfId="3303" priority="8313" operator="containsText" text="Deferred">
      <formula>NOT(ISERROR(SEARCH("Deferred",D4)))</formula>
    </cfRule>
    <cfRule type="containsText" dxfId="3302" priority="8314" operator="containsText" text="Deleted">
      <formula>NOT(ISERROR(SEARCH("Deleted",D4)))</formula>
    </cfRule>
    <cfRule type="containsText" dxfId="3301" priority="8315" operator="containsText" text="In Danger of Falling Behind Target">
      <formula>NOT(ISERROR(SEARCH("In Danger of Falling Behind Target",D4)))</formula>
    </cfRule>
    <cfRule type="containsText" dxfId="3300" priority="8316" operator="containsText" text="Not yet due">
      <formula>NOT(ISERROR(SEARCH("Not yet due",D4)))</formula>
    </cfRule>
    <cfRule type="containsText" dxfId="3299" priority="8318" operator="containsText" text="Completed Behind Schedule">
      <formula>NOT(ISERROR(SEARCH("Completed Behind Schedule",D4)))</formula>
    </cfRule>
    <cfRule type="containsText" dxfId="3298" priority="8319" operator="containsText" text="Off Target">
      <formula>NOT(ISERROR(SEARCH("Off Target",D4)))</formula>
    </cfRule>
    <cfRule type="containsText" dxfId="3297" priority="8320" operator="containsText" text="In Danger of Falling Behind Target">
      <formula>NOT(ISERROR(SEARCH("In Danger of Falling Behind Target",D4)))</formula>
    </cfRule>
    <cfRule type="containsText" dxfId="3296" priority="8321" operator="containsText" text="On Track to be Achieved">
      <formula>NOT(ISERROR(SEARCH("On Track to be Achieved",D4)))</formula>
    </cfRule>
    <cfRule type="containsText" dxfId="3295" priority="8322" operator="containsText" text="Fully Achieved">
      <formula>NOT(ISERROR(SEARCH("Fully Achieved",D4)))</formula>
    </cfRule>
    <cfRule type="containsText" dxfId="3294" priority="8338" operator="containsText" text="Update not Provided">
      <formula>NOT(ISERROR(SEARCH("Update not Provided",D4)))</formula>
    </cfRule>
    <cfRule type="containsText" dxfId="3293" priority="8339" operator="containsText" text="Not yet due">
      <formula>NOT(ISERROR(SEARCH("Not yet due",D4)))</formula>
    </cfRule>
    <cfRule type="containsText" dxfId="3292" priority="8340" operator="containsText" text="Completed Behind Schedule">
      <formula>NOT(ISERROR(SEARCH("Completed Behind Schedule",D4)))</formula>
    </cfRule>
    <cfRule type="containsText" dxfId="3291" priority="8341" operator="containsText" text="Off Target">
      <formula>NOT(ISERROR(SEARCH("Off Target",D4)))</formula>
    </cfRule>
    <cfRule type="containsText" dxfId="3290" priority="8342" operator="containsText" text="In Danger of Falling Behind Target">
      <formula>NOT(ISERROR(SEARCH("In Danger of Falling Behind Target",D4)))</formula>
    </cfRule>
    <cfRule type="containsText" dxfId="3289" priority="8343" operator="containsText" text="On Track to be Achieved">
      <formula>NOT(ISERROR(SEARCH("On Track to be Achieved",D4)))</formula>
    </cfRule>
    <cfRule type="containsText" dxfId="3288" priority="8344" operator="containsText" text="Fully Achieved">
      <formula>NOT(ISERROR(SEARCH("Fully Achieved",D4)))</formula>
    </cfRule>
    <cfRule type="containsText" dxfId="3287" priority="8345" operator="containsText" text="Fully Achieved">
      <formula>NOT(ISERROR(SEARCH("Fully Achieved",D4)))</formula>
    </cfRule>
    <cfRule type="containsText" dxfId="3286" priority="8346" operator="containsText" text="Fully Achieved">
      <formula>NOT(ISERROR(SEARCH("Fully Achieved",D4)))</formula>
    </cfRule>
    <cfRule type="containsText" dxfId="3285" priority="8366" operator="containsText" text="Deferred">
      <formula>NOT(ISERROR(SEARCH("Deferred",D4)))</formula>
    </cfRule>
    <cfRule type="containsText" dxfId="3284" priority="8367" operator="containsText" text="Deleted">
      <formula>NOT(ISERROR(SEARCH("Deleted",D4)))</formula>
    </cfRule>
    <cfRule type="containsText" dxfId="3283" priority="8368" operator="containsText" text="In Danger of Falling Behind Target">
      <formula>NOT(ISERROR(SEARCH("In Danger of Falling Behind Target",D4)))</formula>
    </cfRule>
    <cfRule type="containsText" dxfId="3282" priority="8369" operator="containsText" text="Not yet due">
      <formula>NOT(ISERROR(SEARCH("Not yet due",D4)))</formula>
    </cfRule>
    <cfRule type="containsText" dxfId="3281" priority="8370" operator="containsText" text="Update not Provided">
      <formula>NOT(ISERROR(SEARCH("Update not Provided",D4)))</formula>
    </cfRule>
  </conditionalFormatting>
  <conditionalFormatting sqref="Y5:Y6">
    <cfRule type="containsText" dxfId="3280" priority="8250" operator="containsText" text="On track to be achieved">
      <formula>NOT(ISERROR(SEARCH("On track to be achieved",Y5)))</formula>
    </cfRule>
    <cfRule type="containsText" dxfId="3279" priority="8251" operator="containsText" text="Deferred">
      <formula>NOT(ISERROR(SEARCH("Deferred",Y5)))</formula>
    </cfRule>
    <cfRule type="containsText" dxfId="3278" priority="8252" operator="containsText" text="Deleted">
      <formula>NOT(ISERROR(SEARCH("Deleted",Y5)))</formula>
    </cfRule>
    <cfRule type="containsText" dxfId="3277" priority="8253" operator="containsText" text="In Danger of Falling Behind Target">
      <formula>NOT(ISERROR(SEARCH("In Danger of Falling Behind Target",Y5)))</formula>
    </cfRule>
    <cfRule type="containsText" dxfId="3276" priority="8254" operator="containsText" text="Not yet due">
      <formula>NOT(ISERROR(SEARCH("Not yet due",Y5)))</formula>
    </cfRule>
    <cfRule type="containsText" dxfId="3275" priority="8255" operator="containsText" text="Update not Provided">
      <formula>NOT(ISERROR(SEARCH("Update not Provided",Y5)))</formula>
    </cfRule>
    <cfRule type="containsText" dxfId="3274" priority="8256" operator="containsText" text="Not yet due">
      <formula>NOT(ISERROR(SEARCH("Not yet due",Y5)))</formula>
    </cfRule>
    <cfRule type="containsText" dxfId="3273" priority="8257" operator="containsText" text="Completed Behind Schedule">
      <formula>NOT(ISERROR(SEARCH("Completed Behind Schedule",Y5)))</formula>
    </cfRule>
    <cfRule type="containsText" dxfId="3272" priority="8258" operator="containsText" text="Off Target">
      <formula>NOT(ISERROR(SEARCH("Off Target",Y5)))</formula>
    </cfRule>
    <cfRule type="containsText" dxfId="3271" priority="8259" operator="containsText" text="On Track to be Achieved">
      <formula>NOT(ISERROR(SEARCH("On Track to be Achieved",Y5)))</formula>
    </cfRule>
    <cfRule type="containsText" dxfId="3270" priority="8260" operator="containsText" text="Fully Achieved">
      <formula>NOT(ISERROR(SEARCH("Fully Achieved",Y5)))</formula>
    </cfRule>
    <cfRule type="containsText" dxfId="3269" priority="8261" operator="containsText" text="Not yet due">
      <formula>NOT(ISERROR(SEARCH("Not yet due",Y5)))</formula>
    </cfRule>
    <cfRule type="containsText" dxfId="3268" priority="8262" operator="containsText" text="Not Yet Due">
      <formula>NOT(ISERROR(SEARCH("Not Yet Due",Y5)))</formula>
    </cfRule>
    <cfRule type="containsText" dxfId="3267" priority="8263" operator="containsText" text="Deferred">
      <formula>NOT(ISERROR(SEARCH("Deferred",Y5)))</formula>
    </cfRule>
    <cfRule type="containsText" dxfId="3266" priority="8264" operator="containsText" text="Deleted">
      <formula>NOT(ISERROR(SEARCH("Deleted",Y5)))</formula>
    </cfRule>
    <cfRule type="containsText" dxfId="3265" priority="8265" operator="containsText" text="In Danger of Falling Behind Target">
      <formula>NOT(ISERROR(SEARCH("In Danger of Falling Behind Target",Y5)))</formula>
    </cfRule>
    <cfRule type="containsText" dxfId="3264" priority="8266" operator="containsText" text="Not yet due">
      <formula>NOT(ISERROR(SEARCH("Not yet due",Y5)))</formula>
    </cfRule>
    <cfRule type="containsText" dxfId="3263" priority="8267" operator="containsText" text="Completed Behind Schedule">
      <formula>NOT(ISERROR(SEARCH("Completed Behind Schedule",Y5)))</formula>
    </cfRule>
    <cfRule type="containsText" dxfId="3262" priority="8268" operator="containsText" text="Off Target">
      <formula>NOT(ISERROR(SEARCH("Off Target",Y5)))</formula>
    </cfRule>
    <cfRule type="containsText" dxfId="3261" priority="8269" operator="containsText" text="In Danger of Falling Behind Target">
      <formula>NOT(ISERROR(SEARCH("In Danger of Falling Behind Target",Y5)))</formula>
    </cfRule>
    <cfRule type="containsText" dxfId="3260" priority="8270" operator="containsText" text="On Track to be Achieved">
      <formula>NOT(ISERROR(SEARCH("On Track to be Achieved",Y5)))</formula>
    </cfRule>
    <cfRule type="containsText" dxfId="3259" priority="8271" operator="containsText" text="Fully Achieved">
      <formula>NOT(ISERROR(SEARCH("Fully Achieved",Y5)))</formula>
    </cfRule>
    <cfRule type="containsText" dxfId="3258" priority="8272" operator="containsText" text="Update not Provided">
      <formula>NOT(ISERROR(SEARCH("Update not Provided",Y5)))</formula>
    </cfRule>
    <cfRule type="containsText" dxfId="3257" priority="8273" operator="containsText" text="Not yet due">
      <formula>NOT(ISERROR(SEARCH("Not yet due",Y5)))</formula>
    </cfRule>
    <cfRule type="containsText" dxfId="3256" priority="8274" operator="containsText" text="Completed Behind Schedule">
      <formula>NOT(ISERROR(SEARCH("Completed Behind Schedule",Y5)))</formula>
    </cfRule>
    <cfRule type="containsText" dxfId="3255" priority="8275" operator="containsText" text="Off Target">
      <formula>NOT(ISERROR(SEARCH("Off Target",Y5)))</formula>
    </cfRule>
    <cfRule type="containsText" dxfId="3254" priority="8276" operator="containsText" text="In Danger of Falling Behind Target">
      <formula>NOT(ISERROR(SEARCH("In Danger of Falling Behind Target",Y5)))</formula>
    </cfRule>
    <cfRule type="containsText" dxfId="3253" priority="8277" operator="containsText" text="On Track to be Achieved">
      <formula>NOT(ISERROR(SEARCH("On Track to be Achieved",Y5)))</formula>
    </cfRule>
    <cfRule type="containsText" dxfId="3252" priority="8278" operator="containsText" text="Fully Achieved">
      <formula>NOT(ISERROR(SEARCH("Fully Achieved",Y5)))</formula>
    </cfRule>
    <cfRule type="containsText" dxfId="3251" priority="8279" operator="containsText" text="Fully Achieved">
      <formula>NOT(ISERROR(SEARCH("Fully Achieved",Y5)))</formula>
    </cfRule>
    <cfRule type="containsText" dxfId="3250" priority="8280" operator="containsText" text="Fully Achieved">
      <formula>NOT(ISERROR(SEARCH("Fully Achieved",Y5)))</formula>
    </cfRule>
    <cfRule type="containsText" dxfId="3249" priority="8281" operator="containsText" text="Deferred">
      <formula>NOT(ISERROR(SEARCH("Deferred",Y5)))</formula>
    </cfRule>
    <cfRule type="containsText" dxfId="3248" priority="8282" operator="containsText" text="Deleted">
      <formula>NOT(ISERROR(SEARCH("Deleted",Y5)))</formula>
    </cfRule>
    <cfRule type="containsText" dxfId="3247" priority="8283" operator="containsText" text="In Danger of Falling Behind Target">
      <formula>NOT(ISERROR(SEARCH("In Danger of Falling Behind Target",Y5)))</formula>
    </cfRule>
    <cfRule type="containsText" dxfId="3246" priority="8284" operator="containsText" text="Not yet due">
      <formula>NOT(ISERROR(SEARCH("Not yet due",Y5)))</formula>
    </cfRule>
    <cfRule type="containsText" dxfId="3245" priority="8285" operator="containsText" text="Update not Provided">
      <formula>NOT(ISERROR(SEARCH("Update not Provided",Y5)))</formula>
    </cfRule>
  </conditionalFormatting>
  <conditionalFormatting sqref="J1:J61 J63:J76 J78:J1048576">
    <cfRule type="containsText" dxfId="3244" priority="6520" operator="containsText" text="numerical outturn within 5% tolerance">
      <formula>NOT(ISERROR(SEARCH("numerical outturn within 5% tolerance",J1)))</formula>
    </cfRule>
    <cfRule type="containsText" dxfId="3243" priority="6521" operator="containsText" text="Target Partially Met">
      <formula>NOT(ISERROR(SEARCH("Target Partially Met",J1)))</formula>
    </cfRule>
  </conditionalFormatting>
  <conditionalFormatting sqref="I43">
    <cfRule type="containsText" dxfId="3242" priority="6088" operator="containsText" text="On track to be achieved">
      <formula>NOT(ISERROR(SEARCH("On track to be achieved",I43)))</formula>
    </cfRule>
    <cfRule type="containsText" dxfId="3241" priority="6089" operator="containsText" text="Deferred">
      <formula>NOT(ISERROR(SEARCH("Deferred",I43)))</formula>
    </cfRule>
    <cfRule type="containsText" dxfId="3240" priority="6090" operator="containsText" text="Deleted">
      <formula>NOT(ISERROR(SEARCH("Deleted",I43)))</formula>
    </cfRule>
    <cfRule type="containsText" dxfId="3239" priority="6091" operator="containsText" text="In Danger of Falling Behind Target">
      <formula>NOT(ISERROR(SEARCH("In Danger of Falling Behind Target",I43)))</formula>
    </cfRule>
    <cfRule type="containsText" dxfId="3238" priority="6092" operator="containsText" text="Not yet due">
      <formula>NOT(ISERROR(SEARCH("Not yet due",I43)))</formula>
    </cfRule>
    <cfRule type="containsText" dxfId="3237" priority="6093" operator="containsText" text="Update not Provided">
      <formula>NOT(ISERROR(SEARCH("Update not Provided",I43)))</formula>
    </cfRule>
    <cfRule type="containsText" dxfId="3236" priority="6094" operator="containsText" text="Not yet due">
      <formula>NOT(ISERROR(SEARCH("Not yet due",I43)))</formula>
    </cfRule>
    <cfRule type="containsText" dxfId="3235" priority="6095" operator="containsText" text="Completed Behind Schedule">
      <formula>NOT(ISERROR(SEARCH("Completed Behind Schedule",I43)))</formula>
    </cfRule>
    <cfRule type="containsText" dxfId="3234" priority="6096" operator="containsText" text="Off Target">
      <formula>NOT(ISERROR(SEARCH("Off Target",I43)))</formula>
    </cfRule>
    <cfRule type="containsText" dxfId="3233" priority="6097" operator="containsText" text="On Track to be Achieved">
      <formula>NOT(ISERROR(SEARCH("On Track to be Achieved",I43)))</formula>
    </cfRule>
    <cfRule type="containsText" dxfId="3232" priority="6098" operator="containsText" text="Fully Achieved">
      <formula>NOT(ISERROR(SEARCH("Fully Achieved",I43)))</formula>
    </cfRule>
    <cfRule type="containsText" dxfId="3231" priority="6099" operator="containsText" text="Not yet due">
      <formula>NOT(ISERROR(SEARCH("Not yet due",I43)))</formula>
    </cfRule>
    <cfRule type="containsText" dxfId="3230" priority="6100" operator="containsText" text="Not Yet Due">
      <formula>NOT(ISERROR(SEARCH("Not Yet Due",I43)))</formula>
    </cfRule>
    <cfRule type="containsText" dxfId="3229" priority="6101" operator="containsText" text="Deferred">
      <formula>NOT(ISERROR(SEARCH("Deferred",I43)))</formula>
    </cfRule>
    <cfRule type="containsText" dxfId="3228" priority="6102" operator="containsText" text="Deleted">
      <formula>NOT(ISERROR(SEARCH("Deleted",I43)))</formula>
    </cfRule>
    <cfRule type="containsText" dxfId="3227" priority="6103" operator="containsText" text="In Danger of Falling Behind Target">
      <formula>NOT(ISERROR(SEARCH("In Danger of Falling Behind Target",I43)))</formula>
    </cfRule>
    <cfRule type="containsText" dxfId="3226" priority="6104" operator="containsText" text="Not yet due">
      <formula>NOT(ISERROR(SEARCH("Not yet due",I43)))</formula>
    </cfRule>
    <cfRule type="containsText" dxfId="3225" priority="6105" operator="containsText" text="Completed Behind Schedule">
      <formula>NOT(ISERROR(SEARCH("Completed Behind Schedule",I43)))</formula>
    </cfRule>
    <cfRule type="containsText" dxfId="3224" priority="6106" operator="containsText" text="Off Target">
      <formula>NOT(ISERROR(SEARCH("Off Target",I43)))</formula>
    </cfRule>
    <cfRule type="containsText" dxfId="3223" priority="6107" operator="containsText" text="In Danger of Falling Behind Target">
      <formula>NOT(ISERROR(SEARCH("In Danger of Falling Behind Target",I43)))</formula>
    </cfRule>
    <cfRule type="containsText" dxfId="3222" priority="6108" operator="containsText" text="On Track to be Achieved">
      <formula>NOT(ISERROR(SEARCH("On Track to be Achieved",I43)))</formula>
    </cfRule>
    <cfRule type="containsText" dxfId="3221" priority="6109" operator="containsText" text="Fully Achieved">
      <formula>NOT(ISERROR(SEARCH("Fully Achieved",I43)))</formula>
    </cfRule>
    <cfRule type="containsText" dxfId="3220" priority="6110" operator="containsText" text="Update not Provided">
      <formula>NOT(ISERROR(SEARCH("Update not Provided",I43)))</formula>
    </cfRule>
    <cfRule type="containsText" dxfId="3219" priority="6111" operator="containsText" text="Not yet due">
      <formula>NOT(ISERROR(SEARCH("Not yet due",I43)))</formula>
    </cfRule>
    <cfRule type="containsText" dxfId="3218" priority="6112" operator="containsText" text="Completed Behind Schedule">
      <formula>NOT(ISERROR(SEARCH("Completed Behind Schedule",I43)))</formula>
    </cfRule>
    <cfRule type="containsText" dxfId="3217" priority="6113" operator="containsText" text="Off Target">
      <formula>NOT(ISERROR(SEARCH("Off Target",I43)))</formula>
    </cfRule>
    <cfRule type="containsText" dxfId="3216" priority="6114" operator="containsText" text="In Danger of Falling Behind Target">
      <formula>NOT(ISERROR(SEARCH("In Danger of Falling Behind Target",I43)))</formula>
    </cfRule>
    <cfRule type="containsText" dxfId="3215" priority="6115" operator="containsText" text="On Track to be Achieved">
      <formula>NOT(ISERROR(SEARCH("On Track to be Achieved",I43)))</formula>
    </cfRule>
    <cfRule type="containsText" dxfId="3214" priority="6116" operator="containsText" text="Fully Achieved">
      <formula>NOT(ISERROR(SEARCH("Fully Achieved",I43)))</formula>
    </cfRule>
    <cfRule type="containsText" dxfId="3213" priority="6117" operator="containsText" text="Fully Achieved">
      <formula>NOT(ISERROR(SEARCH("Fully Achieved",I43)))</formula>
    </cfRule>
    <cfRule type="containsText" dxfId="3212" priority="6118" operator="containsText" text="Fully Achieved">
      <formula>NOT(ISERROR(SEARCH("Fully Achieved",I43)))</formula>
    </cfRule>
    <cfRule type="containsText" dxfId="3211" priority="6119" operator="containsText" text="Deferred">
      <formula>NOT(ISERROR(SEARCH("Deferred",I43)))</formula>
    </cfRule>
    <cfRule type="containsText" dxfId="3210" priority="6120" operator="containsText" text="Deleted">
      <formula>NOT(ISERROR(SEARCH("Deleted",I43)))</formula>
    </cfRule>
    <cfRule type="containsText" dxfId="3209" priority="6121" operator="containsText" text="In Danger of Falling Behind Target">
      <formula>NOT(ISERROR(SEARCH("In Danger of Falling Behind Target",I43)))</formula>
    </cfRule>
    <cfRule type="containsText" dxfId="3208" priority="6122" operator="containsText" text="Not yet due">
      <formula>NOT(ISERROR(SEARCH("Not yet due",I43)))</formula>
    </cfRule>
    <cfRule type="containsText" dxfId="3207" priority="6123" operator="containsText" text="Update not Provided">
      <formula>NOT(ISERROR(SEARCH("Update not Provided",I43)))</formula>
    </cfRule>
  </conditionalFormatting>
  <conditionalFormatting sqref="I51">
    <cfRule type="containsText" dxfId="3206" priority="6016" operator="containsText" text="On track to be achieved">
      <formula>NOT(ISERROR(SEARCH("On track to be achieved",I51)))</formula>
    </cfRule>
    <cfRule type="containsText" dxfId="3205" priority="6017" operator="containsText" text="Deferred">
      <formula>NOT(ISERROR(SEARCH("Deferred",I51)))</formula>
    </cfRule>
    <cfRule type="containsText" dxfId="3204" priority="6018" operator="containsText" text="Deleted">
      <formula>NOT(ISERROR(SEARCH("Deleted",I51)))</formula>
    </cfRule>
    <cfRule type="containsText" dxfId="3203" priority="6019" operator="containsText" text="In Danger of Falling Behind Target">
      <formula>NOT(ISERROR(SEARCH("In Danger of Falling Behind Target",I51)))</formula>
    </cfRule>
    <cfRule type="containsText" dxfId="3202" priority="6020" operator="containsText" text="Not yet due">
      <formula>NOT(ISERROR(SEARCH("Not yet due",I51)))</formula>
    </cfRule>
    <cfRule type="containsText" dxfId="3201" priority="6021" operator="containsText" text="Update not Provided">
      <formula>NOT(ISERROR(SEARCH("Update not Provided",I51)))</formula>
    </cfRule>
    <cfRule type="containsText" dxfId="3200" priority="6022" operator="containsText" text="Not yet due">
      <formula>NOT(ISERROR(SEARCH("Not yet due",I51)))</formula>
    </cfRule>
    <cfRule type="containsText" dxfId="3199" priority="6023" operator="containsText" text="Completed Behind Schedule">
      <formula>NOT(ISERROR(SEARCH("Completed Behind Schedule",I51)))</formula>
    </cfRule>
    <cfRule type="containsText" dxfId="3198" priority="6024" operator="containsText" text="Off Target">
      <formula>NOT(ISERROR(SEARCH("Off Target",I51)))</formula>
    </cfRule>
    <cfRule type="containsText" dxfId="3197" priority="6025" operator="containsText" text="On Track to be Achieved">
      <formula>NOT(ISERROR(SEARCH("On Track to be Achieved",I51)))</formula>
    </cfRule>
    <cfRule type="containsText" dxfId="3196" priority="6026" operator="containsText" text="Fully Achieved">
      <formula>NOT(ISERROR(SEARCH("Fully Achieved",I51)))</formula>
    </cfRule>
    <cfRule type="containsText" dxfId="3195" priority="6027" operator="containsText" text="Not yet due">
      <formula>NOT(ISERROR(SEARCH("Not yet due",I51)))</formula>
    </cfRule>
    <cfRule type="containsText" dxfId="3194" priority="6028" operator="containsText" text="Not Yet Due">
      <formula>NOT(ISERROR(SEARCH("Not Yet Due",I51)))</formula>
    </cfRule>
    <cfRule type="containsText" dxfId="3193" priority="6029" operator="containsText" text="Deferred">
      <formula>NOT(ISERROR(SEARCH("Deferred",I51)))</formula>
    </cfRule>
    <cfRule type="containsText" dxfId="3192" priority="6030" operator="containsText" text="Deleted">
      <formula>NOT(ISERROR(SEARCH("Deleted",I51)))</formula>
    </cfRule>
    <cfRule type="containsText" dxfId="3191" priority="6031" operator="containsText" text="In Danger of Falling Behind Target">
      <formula>NOT(ISERROR(SEARCH("In Danger of Falling Behind Target",I51)))</formula>
    </cfRule>
    <cfRule type="containsText" dxfId="3190" priority="6032" operator="containsText" text="Not yet due">
      <formula>NOT(ISERROR(SEARCH("Not yet due",I51)))</formula>
    </cfRule>
    <cfRule type="containsText" dxfId="3189" priority="6033" operator="containsText" text="Completed Behind Schedule">
      <formula>NOT(ISERROR(SEARCH("Completed Behind Schedule",I51)))</formula>
    </cfRule>
    <cfRule type="containsText" dxfId="3188" priority="6034" operator="containsText" text="Off Target">
      <formula>NOT(ISERROR(SEARCH("Off Target",I51)))</formula>
    </cfRule>
    <cfRule type="containsText" dxfId="3187" priority="6035" operator="containsText" text="In Danger of Falling Behind Target">
      <formula>NOT(ISERROR(SEARCH("In Danger of Falling Behind Target",I51)))</formula>
    </cfRule>
    <cfRule type="containsText" dxfId="3186" priority="6036" operator="containsText" text="On Track to be Achieved">
      <formula>NOT(ISERROR(SEARCH("On Track to be Achieved",I51)))</formula>
    </cfRule>
    <cfRule type="containsText" dxfId="3185" priority="6037" operator="containsText" text="Fully Achieved">
      <formula>NOT(ISERROR(SEARCH("Fully Achieved",I51)))</formula>
    </cfRule>
    <cfRule type="containsText" dxfId="3184" priority="6038" operator="containsText" text="Update not Provided">
      <formula>NOT(ISERROR(SEARCH("Update not Provided",I51)))</formula>
    </cfRule>
    <cfRule type="containsText" dxfId="3183" priority="6039" operator="containsText" text="Not yet due">
      <formula>NOT(ISERROR(SEARCH("Not yet due",I51)))</formula>
    </cfRule>
    <cfRule type="containsText" dxfId="3182" priority="6040" operator="containsText" text="Completed Behind Schedule">
      <formula>NOT(ISERROR(SEARCH("Completed Behind Schedule",I51)))</formula>
    </cfRule>
    <cfRule type="containsText" dxfId="3181" priority="6041" operator="containsText" text="Off Target">
      <formula>NOT(ISERROR(SEARCH("Off Target",I51)))</formula>
    </cfRule>
    <cfRule type="containsText" dxfId="3180" priority="6042" operator="containsText" text="In Danger of Falling Behind Target">
      <formula>NOT(ISERROR(SEARCH("In Danger of Falling Behind Target",I51)))</formula>
    </cfRule>
    <cfRule type="containsText" dxfId="3179" priority="6043" operator="containsText" text="On Track to be Achieved">
      <formula>NOT(ISERROR(SEARCH("On Track to be Achieved",I51)))</formula>
    </cfRule>
    <cfRule type="containsText" dxfId="3178" priority="6044" operator="containsText" text="Fully Achieved">
      <formula>NOT(ISERROR(SEARCH("Fully Achieved",I51)))</formula>
    </cfRule>
    <cfRule type="containsText" dxfId="3177" priority="6045" operator="containsText" text="Fully Achieved">
      <formula>NOT(ISERROR(SEARCH("Fully Achieved",I51)))</formula>
    </cfRule>
    <cfRule type="containsText" dxfId="3176" priority="6046" operator="containsText" text="Fully Achieved">
      <formula>NOT(ISERROR(SEARCH("Fully Achieved",I51)))</formula>
    </cfRule>
    <cfRule type="containsText" dxfId="3175" priority="6047" operator="containsText" text="Deferred">
      <formula>NOT(ISERROR(SEARCH("Deferred",I51)))</formula>
    </cfRule>
    <cfRule type="containsText" dxfId="3174" priority="6048" operator="containsText" text="Deleted">
      <formula>NOT(ISERROR(SEARCH("Deleted",I51)))</formula>
    </cfRule>
    <cfRule type="containsText" dxfId="3173" priority="6049" operator="containsText" text="In Danger of Falling Behind Target">
      <formula>NOT(ISERROR(SEARCH("In Danger of Falling Behind Target",I51)))</formula>
    </cfRule>
    <cfRule type="containsText" dxfId="3172" priority="6050" operator="containsText" text="Not yet due">
      <formula>NOT(ISERROR(SEARCH("Not yet due",I51)))</formula>
    </cfRule>
    <cfRule type="containsText" dxfId="3171" priority="6051" operator="containsText" text="Update not Provided">
      <formula>NOT(ISERROR(SEARCH("Update not Provided",I51)))</formula>
    </cfRule>
  </conditionalFormatting>
  <conditionalFormatting sqref="I63">
    <cfRule type="containsText" dxfId="3170" priority="5944" operator="containsText" text="On track to be achieved">
      <formula>NOT(ISERROR(SEARCH("On track to be achieved",I63)))</formula>
    </cfRule>
    <cfRule type="containsText" dxfId="3169" priority="5945" operator="containsText" text="Deferred">
      <formula>NOT(ISERROR(SEARCH("Deferred",I63)))</formula>
    </cfRule>
    <cfRule type="containsText" dxfId="3168" priority="5946" operator="containsText" text="Deleted">
      <formula>NOT(ISERROR(SEARCH("Deleted",I63)))</formula>
    </cfRule>
    <cfRule type="containsText" dxfId="3167" priority="5947" operator="containsText" text="In Danger of Falling Behind Target">
      <formula>NOT(ISERROR(SEARCH("In Danger of Falling Behind Target",I63)))</formula>
    </cfRule>
    <cfRule type="containsText" dxfId="3166" priority="5948" operator="containsText" text="Not yet due">
      <formula>NOT(ISERROR(SEARCH("Not yet due",I63)))</formula>
    </cfRule>
    <cfRule type="containsText" dxfId="3165" priority="5949" operator="containsText" text="Update not Provided">
      <formula>NOT(ISERROR(SEARCH("Update not Provided",I63)))</formula>
    </cfRule>
    <cfRule type="containsText" dxfId="3164" priority="5950" operator="containsText" text="Not yet due">
      <formula>NOT(ISERROR(SEARCH("Not yet due",I63)))</formula>
    </cfRule>
    <cfRule type="containsText" dxfId="3163" priority="5951" operator="containsText" text="Completed Behind Schedule">
      <formula>NOT(ISERROR(SEARCH("Completed Behind Schedule",I63)))</formula>
    </cfRule>
    <cfRule type="containsText" dxfId="3162" priority="5952" operator="containsText" text="Off Target">
      <formula>NOT(ISERROR(SEARCH("Off Target",I63)))</formula>
    </cfRule>
    <cfRule type="containsText" dxfId="3161" priority="5953" operator="containsText" text="On Track to be Achieved">
      <formula>NOT(ISERROR(SEARCH("On Track to be Achieved",I63)))</formula>
    </cfRule>
    <cfRule type="containsText" dxfId="3160" priority="5954" operator="containsText" text="Fully Achieved">
      <formula>NOT(ISERROR(SEARCH("Fully Achieved",I63)))</formula>
    </cfRule>
    <cfRule type="containsText" dxfId="3159" priority="5955" operator="containsText" text="Not yet due">
      <formula>NOT(ISERROR(SEARCH("Not yet due",I63)))</formula>
    </cfRule>
    <cfRule type="containsText" dxfId="3158" priority="5956" operator="containsText" text="Not Yet Due">
      <formula>NOT(ISERROR(SEARCH("Not Yet Due",I63)))</formula>
    </cfRule>
    <cfRule type="containsText" dxfId="3157" priority="5957" operator="containsText" text="Deferred">
      <formula>NOT(ISERROR(SEARCH("Deferred",I63)))</formula>
    </cfRule>
    <cfRule type="containsText" dxfId="3156" priority="5958" operator="containsText" text="Deleted">
      <formula>NOT(ISERROR(SEARCH("Deleted",I63)))</formula>
    </cfRule>
    <cfRule type="containsText" dxfId="3155" priority="5959" operator="containsText" text="In Danger of Falling Behind Target">
      <formula>NOT(ISERROR(SEARCH("In Danger of Falling Behind Target",I63)))</formula>
    </cfRule>
    <cfRule type="containsText" dxfId="3154" priority="5960" operator="containsText" text="Not yet due">
      <formula>NOT(ISERROR(SEARCH("Not yet due",I63)))</formula>
    </cfRule>
    <cfRule type="containsText" dxfId="3153" priority="5961" operator="containsText" text="Completed Behind Schedule">
      <formula>NOT(ISERROR(SEARCH("Completed Behind Schedule",I63)))</formula>
    </cfRule>
    <cfRule type="containsText" dxfId="3152" priority="5962" operator="containsText" text="Off Target">
      <formula>NOT(ISERROR(SEARCH("Off Target",I63)))</formula>
    </cfRule>
    <cfRule type="containsText" dxfId="3151" priority="5963" operator="containsText" text="In Danger of Falling Behind Target">
      <formula>NOT(ISERROR(SEARCH("In Danger of Falling Behind Target",I63)))</formula>
    </cfRule>
    <cfRule type="containsText" dxfId="3150" priority="5964" operator="containsText" text="On Track to be Achieved">
      <formula>NOT(ISERROR(SEARCH("On Track to be Achieved",I63)))</formula>
    </cfRule>
    <cfRule type="containsText" dxfId="3149" priority="5965" operator="containsText" text="Fully Achieved">
      <formula>NOT(ISERROR(SEARCH("Fully Achieved",I63)))</formula>
    </cfRule>
    <cfRule type="containsText" dxfId="3148" priority="5966" operator="containsText" text="Update not Provided">
      <formula>NOT(ISERROR(SEARCH("Update not Provided",I63)))</formula>
    </cfRule>
    <cfRule type="containsText" dxfId="3147" priority="5967" operator="containsText" text="Not yet due">
      <formula>NOT(ISERROR(SEARCH("Not yet due",I63)))</formula>
    </cfRule>
    <cfRule type="containsText" dxfId="3146" priority="5968" operator="containsText" text="Completed Behind Schedule">
      <formula>NOT(ISERROR(SEARCH("Completed Behind Schedule",I63)))</formula>
    </cfRule>
    <cfRule type="containsText" dxfId="3145" priority="5969" operator="containsText" text="Off Target">
      <formula>NOT(ISERROR(SEARCH("Off Target",I63)))</formula>
    </cfRule>
    <cfRule type="containsText" dxfId="3144" priority="5970" operator="containsText" text="In Danger of Falling Behind Target">
      <formula>NOT(ISERROR(SEARCH("In Danger of Falling Behind Target",I63)))</formula>
    </cfRule>
    <cfRule type="containsText" dxfId="3143" priority="5971" operator="containsText" text="On Track to be Achieved">
      <formula>NOT(ISERROR(SEARCH("On Track to be Achieved",I63)))</formula>
    </cfRule>
    <cfRule type="containsText" dxfId="3142" priority="5972" operator="containsText" text="Fully Achieved">
      <formula>NOT(ISERROR(SEARCH("Fully Achieved",I63)))</formula>
    </cfRule>
    <cfRule type="containsText" dxfId="3141" priority="5973" operator="containsText" text="Fully Achieved">
      <formula>NOT(ISERROR(SEARCH("Fully Achieved",I63)))</formula>
    </cfRule>
    <cfRule type="containsText" dxfId="3140" priority="5974" operator="containsText" text="Fully Achieved">
      <formula>NOT(ISERROR(SEARCH("Fully Achieved",I63)))</formula>
    </cfRule>
    <cfRule type="containsText" dxfId="3139" priority="5975" operator="containsText" text="Deferred">
      <formula>NOT(ISERROR(SEARCH("Deferred",I63)))</formula>
    </cfRule>
    <cfRule type="containsText" dxfId="3138" priority="5976" operator="containsText" text="Deleted">
      <formula>NOT(ISERROR(SEARCH("Deleted",I63)))</formula>
    </cfRule>
    <cfRule type="containsText" dxfId="3137" priority="5977" operator="containsText" text="In Danger of Falling Behind Target">
      <formula>NOT(ISERROR(SEARCH("In Danger of Falling Behind Target",I63)))</formula>
    </cfRule>
    <cfRule type="containsText" dxfId="3136" priority="5978" operator="containsText" text="Not yet due">
      <formula>NOT(ISERROR(SEARCH("Not yet due",I63)))</formula>
    </cfRule>
    <cfRule type="containsText" dxfId="3135" priority="5979" operator="containsText" text="Update not Provided">
      <formula>NOT(ISERROR(SEARCH("Update not Provided",I63)))</formula>
    </cfRule>
  </conditionalFormatting>
  <conditionalFormatting sqref="I71:I73">
    <cfRule type="containsText" dxfId="3134" priority="5908" operator="containsText" text="On track to be achieved">
      <formula>NOT(ISERROR(SEARCH("On track to be achieved",I71)))</formula>
    </cfRule>
    <cfRule type="containsText" dxfId="3133" priority="5909" operator="containsText" text="Deferred">
      <formula>NOT(ISERROR(SEARCH("Deferred",I71)))</formula>
    </cfRule>
    <cfRule type="containsText" dxfId="3132" priority="5910" operator="containsText" text="Deleted">
      <formula>NOT(ISERROR(SEARCH("Deleted",I71)))</formula>
    </cfRule>
    <cfRule type="containsText" dxfId="3131" priority="5911" operator="containsText" text="In Danger of Falling Behind Target">
      <formula>NOT(ISERROR(SEARCH("In Danger of Falling Behind Target",I71)))</formula>
    </cfRule>
    <cfRule type="containsText" dxfId="3130" priority="5912" operator="containsText" text="Not yet due">
      <formula>NOT(ISERROR(SEARCH("Not yet due",I71)))</formula>
    </cfRule>
    <cfRule type="containsText" dxfId="3129" priority="5913" operator="containsText" text="Update not Provided">
      <formula>NOT(ISERROR(SEARCH("Update not Provided",I71)))</formula>
    </cfRule>
    <cfRule type="containsText" dxfId="3128" priority="5914" operator="containsText" text="Not yet due">
      <formula>NOT(ISERROR(SEARCH("Not yet due",I71)))</formula>
    </cfRule>
    <cfRule type="containsText" dxfId="3127" priority="5915" operator="containsText" text="Completed Behind Schedule">
      <formula>NOT(ISERROR(SEARCH("Completed Behind Schedule",I71)))</formula>
    </cfRule>
    <cfRule type="containsText" dxfId="3126" priority="5916" operator="containsText" text="Off Target">
      <formula>NOT(ISERROR(SEARCH("Off Target",I71)))</formula>
    </cfRule>
    <cfRule type="containsText" dxfId="3125" priority="5917" operator="containsText" text="On Track to be Achieved">
      <formula>NOT(ISERROR(SEARCH("On Track to be Achieved",I71)))</formula>
    </cfRule>
    <cfRule type="containsText" dxfId="3124" priority="5918" operator="containsText" text="Fully Achieved">
      <formula>NOT(ISERROR(SEARCH("Fully Achieved",I71)))</formula>
    </cfRule>
    <cfRule type="containsText" dxfId="3123" priority="5919" operator="containsText" text="Not yet due">
      <formula>NOT(ISERROR(SEARCH("Not yet due",I71)))</formula>
    </cfRule>
    <cfRule type="containsText" dxfId="3122" priority="5920" operator="containsText" text="Not Yet Due">
      <formula>NOT(ISERROR(SEARCH("Not Yet Due",I71)))</formula>
    </cfRule>
    <cfRule type="containsText" dxfId="3121" priority="5921" operator="containsText" text="Deferred">
      <formula>NOT(ISERROR(SEARCH("Deferred",I71)))</formula>
    </cfRule>
    <cfRule type="containsText" dxfId="3120" priority="5922" operator="containsText" text="Deleted">
      <formula>NOT(ISERROR(SEARCH("Deleted",I71)))</formula>
    </cfRule>
    <cfRule type="containsText" dxfId="3119" priority="5923" operator="containsText" text="In Danger of Falling Behind Target">
      <formula>NOT(ISERROR(SEARCH("In Danger of Falling Behind Target",I71)))</formula>
    </cfRule>
    <cfRule type="containsText" dxfId="3118" priority="5924" operator="containsText" text="Not yet due">
      <formula>NOT(ISERROR(SEARCH("Not yet due",I71)))</formula>
    </cfRule>
    <cfRule type="containsText" dxfId="3117" priority="5925" operator="containsText" text="Completed Behind Schedule">
      <formula>NOT(ISERROR(SEARCH("Completed Behind Schedule",I71)))</formula>
    </cfRule>
    <cfRule type="containsText" dxfId="3116" priority="5926" operator="containsText" text="Off Target">
      <formula>NOT(ISERROR(SEARCH("Off Target",I71)))</formula>
    </cfRule>
    <cfRule type="containsText" dxfId="3115" priority="5927" operator="containsText" text="In Danger of Falling Behind Target">
      <formula>NOT(ISERROR(SEARCH("In Danger of Falling Behind Target",I71)))</formula>
    </cfRule>
    <cfRule type="containsText" dxfId="3114" priority="5928" operator="containsText" text="On Track to be Achieved">
      <formula>NOT(ISERROR(SEARCH("On Track to be Achieved",I71)))</formula>
    </cfRule>
    <cfRule type="containsText" dxfId="3113" priority="5929" operator="containsText" text="Fully Achieved">
      <formula>NOT(ISERROR(SEARCH("Fully Achieved",I71)))</formula>
    </cfRule>
    <cfRule type="containsText" dxfId="3112" priority="5930" operator="containsText" text="Update not Provided">
      <formula>NOT(ISERROR(SEARCH("Update not Provided",I71)))</formula>
    </cfRule>
    <cfRule type="containsText" dxfId="3111" priority="5931" operator="containsText" text="Not yet due">
      <formula>NOT(ISERROR(SEARCH("Not yet due",I71)))</formula>
    </cfRule>
    <cfRule type="containsText" dxfId="3110" priority="5932" operator="containsText" text="Completed Behind Schedule">
      <formula>NOT(ISERROR(SEARCH("Completed Behind Schedule",I71)))</formula>
    </cfRule>
    <cfRule type="containsText" dxfId="3109" priority="5933" operator="containsText" text="Off Target">
      <formula>NOT(ISERROR(SEARCH("Off Target",I71)))</formula>
    </cfRule>
    <cfRule type="containsText" dxfId="3108" priority="5934" operator="containsText" text="In Danger of Falling Behind Target">
      <formula>NOT(ISERROR(SEARCH("In Danger of Falling Behind Target",I71)))</formula>
    </cfRule>
    <cfRule type="containsText" dxfId="3107" priority="5935" operator="containsText" text="On Track to be Achieved">
      <formula>NOT(ISERROR(SEARCH("On Track to be Achieved",I71)))</formula>
    </cfRule>
    <cfRule type="containsText" dxfId="3106" priority="5936" operator="containsText" text="Fully Achieved">
      <formula>NOT(ISERROR(SEARCH("Fully Achieved",I71)))</formula>
    </cfRule>
    <cfRule type="containsText" dxfId="3105" priority="5937" operator="containsText" text="Fully Achieved">
      <formula>NOT(ISERROR(SEARCH("Fully Achieved",I71)))</formula>
    </cfRule>
    <cfRule type="containsText" dxfId="3104" priority="5938" operator="containsText" text="Fully Achieved">
      <formula>NOT(ISERROR(SEARCH("Fully Achieved",I71)))</formula>
    </cfRule>
    <cfRule type="containsText" dxfId="3103" priority="5939" operator="containsText" text="Deferred">
      <formula>NOT(ISERROR(SEARCH("Deferred",I71)))</formula>
    </cfRule>
    <cfRule type="containsText" dxfId="3102" priority="5940" operator="containsText" text="Deleted">
      <formula>NOT(ISERROR(SEARCH("Deleted",I71)))</formula>
    </cfRule>
    <cfRule type="containsText" dxfId="3101" priority="5941" operator="containsText" text="In Danger of Falling Behind Target">
      <formula>NOT(ISERROR(SEARCH("In Danger of Falling Behind Target",I71)))</formula>
    </cfRule>
    <cfRule type="containsText" dxfId="3100" priority="5942" operator="containsText" text="Not yet due">
      <formula>NOT(ISERROR(SEARCH("Not yet due",I71)))</formula>
    </cfRule>
    <cfRule type="containsText" dxfId="3099" priority="5943" operator="containsText" text="Update not Provided">
      <formula>NOT(ISERROR(SEARCH("Update not Provided",I71)))</formula>
    </cfRule>
  </conditionalFormatting>
  <conditionalFormatting sqref="I86">
    <cfRule type="containsText" dxfId="3098" priority="5800" operator="containsText" text="On track to be achieved">
      <formula>NOT(ISERROR(SEARCH("On track to be achieved",I86)))</formula>
    </cfRule>
    <cfRule type="containsText" dxfId="3097" priority="5801" operator="containsText" text="Deferred">
      <formula>NOT(ISERROR(SEARCH("Deferred",I86)))</formula>
    </cfRule>
    <cfRule type="containsText" dxfId="3096" priority="5802" operator="containsText" text="Deleted">
      <formula>NOT(ISERROR(SEARCH("Deleted",I86)))</formula>
    </cfRule>
    <cfRule type="containsText" dxfId="3095" priority="5803" operator="containsText" text="In Danger of Falling Behind Target">
      <formula>NOT(ISERROR(SEARCH("In Danger of Falling Behind Target",I86)))</formula>
    </cfRule>
    <cfRule type="containsText" dxfId="3094" priority="5804" operator="containsText" text="Not yet due">
      <formula>NOT(ISERROR(SEARCH("Not yet due",I86)))</formula>
    </cfRule>
    <cfRule type="containsText" dxfId="3093" priority="5805" operator="containsText" text="Update not Provided">
      <formula>NOT(ISERROR(SEARCH("Update not Provided",I86)))</formula>
    </cfRule>
    <cfRule type="containsText" dxfId="3092" priority="5806" operator="containsText" text="Not yet due">
      <formula>NOT(ISERROR(SEARCH("Not yet due",I86)))</formula>
    </cfRule>
    <cfRule type="containsText" dxfId="3091" priority="5807" operator="containsText" text="Completed Behind Schedule">
      <formula>NOT(ISERROR(SEARCH("Completed Behind Schedule",I86)))</formula>
    </cfRule>
    <cfRule type="containsText" dxfId="3090" priority="5808" operator="containsText" text="Off Target">
      <formula>NOT(ISERROR(SEARCH("Off Target",I86)))</formula>
    </cfRule>
    <cfRule type="containsText" dxfId="3089" priority="5809" operator="containsText" text="On Track to be Achieved">
      <formula>NOT(ISERROR(SEARCH("On Track to be Achieved",I86)))</formula>
    </cfRule>
    <cfRule type="containsText" dxfId="3088" priority="5810" operator="containsText" text="Fully Achieved">
      <formula>NOT(ISERROR(SEARCH("Fully Achieved",I86)))</formula>
    </cfRule>
    <cfRule type="containsText" dxfId="3087" priority="5811" operator="containsText" text="Not yet due">
      <formula>NOT(ISERROR(SEARCH("Not yet due",I86)))</formula>
    </cfRule>
    <cfRule type="containsText" dxfId="3086" priority="5812" operator="containsText" text="Not Yet Due">
      <formula>NOT(ISERROR(SEARCH("Not Yet Due",I86)))</formula>
    </cfRule>
    <cfRule type="containsText" dxfId="3085" priority="5813" operator="containsText" text="Deferred">
      <formula>NOT(ISERROR(SEARCH("Deferred",I86)))</formula>
    </cfRule>
    <cfRule type="containsText" dxfId="3084" priority="5814" operator="containsText" text="Deleted">
      <formula>NOT(ISERROR(SEARCH("Deleted",I86)))</formula>
    </cfRule>
    <cfRule type="containsText" dxfId="3083" priority="5815" operator="containsText" text="In Danger of Falling Behind Target">
      <formula>NOT(ISERROR(SEARCH("In Danger of Falling Behind Target",I86)))</formula>
    </cfRule>
    <cfRule type="containsText" dxfId="3082" priority="5816" operator="containsText" text="Not yet due">
      <formula>NOT(ISERROR(SEARCH("Not yet due",I86)))</formula>
    </cfRule>
    <cfRule type="containsText" dxfId="3081" priority="5817" operator="containsText" text="Completed Behind Schedule">
      <formula>NOT(ISERROR(SEARCH("Completed Behind Schedule",I86)))</formula>
    </cfRule>
    <cfRule type="containsText" dxfId="3080" priority="5818" operator="containsText" text="Off Target">
      <formula>NOT(ISERROR(SEARCH("Off Target",I86)))</formula>
    </cfRule>
    <cfRule type="containsText" dxfId="3079" priority="5819" operator="containsText" text="In Danger of Falling Behind Target">
      <formula>NOT(ISERROR(SEARCH("In Danger of Falling Behind Target",I86)))</formula>
    </cfRule>
    <cfRule type="containsText" dxfId="3078" priority="5820" operator="containsText" text="On Track to be Achieved">
      <formula>NOT(ISERROR(SEARCH("On Track to be Achieved",I86)))</formula>
    </cfRule>
    <cfRule type="containsText" dxfId="3077" priority="5821" operator="containsText" text="Fully Achieved">
      <formula>NOT(ISERROR(SEARCH("Fully Achieved",I86)))</formula>
    </cfRule>
    <cfRule type="containsText" dxfId="3076" priority="5822" operator="containsText" text="Update not Provided">
      <formula>NOT(ISERROR(SEARCH("Update not Provided",I86)))</formula>
    </cfRule>
    <cfRule type="containsText" dxfId="3075" priority="5823" operator="containsText" text="Not yet due">
      <formula>NOT(ISERROR(SEARCH("Not yet due",I86)))</formula>
    </cfRule>
    <cfRule type="containsText" dxfId="3074" priority="5824" operator="containsText" text="Completed Behind Schedule">
      <formula>NOT(ISERROR(SEARCH("Completed Behind Schedule",I86)))</formula>
    </cfRule>
    <cfRule type="containsText" dxfId="3073" priority="5825" operator="containsText" text="Off Target">
      <formula>NOT(ISERROR(SEARCH("Off Target",I86)))</formula>
    </cfRule>
    <cfRule type="containsText" dxfId="3072" priority="5826" operator="containsText" text="In Danger of Falling Behind Target">
      <formula>NOT(ISERROR(SEARCH("In Danger of Falling Behind Target",I86)))</formula>
    </cfRule>
    <cfRule type="containsText" dxfId="3071" priority="5827" operator="containsText" text="On Track to be Achieved">
      <formula>NOT(ISERROR(SEARCH("On Track to be Achieved",I86)))</formula>
    </cfRule>
    <cfRule type="containsText" dxfId="3070" priority="5828" operator="containsText" text="Fully Achieved">
      <formula>NOT(ISERROR(SEARCH("Fully Achieved",I86)))</formula>
    </cfRule>
    <cfRule type="containsText" dxfId="3069" priority="5829" operator="containsText" text="Fully Achieved">
      <formula>NOT(ISERROR(SEARCH("Fully Achieved",I86)))</formula>
    </cfRule>
    <cfRule type="containsText" dxfId="3068" priority="5830" operator="containsText" text="Fully Achieved">
      <formula>NOT(ISERROR(SEARCH("Fully Achieved",I86)))</formula>
    </cfRule>
    <cfRule type="containsText" dxfId="3067" priority="5831" operator="containsText" text="Deferred">
      <formula>NOT(ISERROR(SEARCH("Deferred",I86)))</formula>
    </cfRule>
    <cfRule type="containsText" dxfId="3066" priority="5832" operator="containsText" text="Deleted">
      <formula>NOT(ISERROR(SEARCH("Deleted",I86)))</formula>
    </cfRule>
    <cfRule type="containsText" dxfId="3065" priority="5833" operator="containsText" text="In Danger of Falling Behind Target">
      <formula>NOT(ISERROR(SEARCH("In Danger of Falling Behind Target",I86)))</formula>
    </cfRule>
    <cfRule type="containsText" dxfId="3064" priority="5834" operator="containsText" text="Not yet due">
      <formula>NOT(ISERROR(SEARCH("Not yet due",I86)))</formula>
    </cfRule>
    <cfRule type="containsText" dxfId="3063" priority="5835" operator="containsText" text="Update not Provided">
      <formula>NOT(ISERROR(SEARCH("Update not Provided",I86)))</formula>
    </cfRule>
  </conditionalFormatting>
  <conditionalFormatting sqref="I4:I12">
    <cfRule type="containsText" dxfId="3062" priority="3100" operator="containsText" text="On track to be achieved">
      <formula>NOT(ISERROR(SEARCH("On track to be achieved",I4)))</formula>
    </cfRule>
    <cfRule type="containsText" dxfId="3061" priority="3101" operator="containsText" text="Deferred">
      <formula>NOT(ISERROR(SEARCH("Deferred",I4)))</formula>
    </cfRule>
    <cfRule type="containsText" dxfId="3060" priority="3102" operator="containsText" text="Deleted">
      <formula>NOT(ISERROR(SEARCH("Deleted",I4)))</formula>
    </cfRule>
    <cfRule type="containsText" dxfId="3059" priority="3103" operator="containsText" text="In Danger of Falling Behind Target">
      <formula>NOT(ISERROR(SEARCH("In Danger of Falling Behind Target",I4)))</formula>
    </cfRule>
    <cfRule type="containsText" dxfId="3058" priority="3104" operator="containsText" text="Not yet due">
      <formula>NOT(ISERROR(SEARCH("Not yet due",I4)))</formula>
    </cfRule>
    <cfRule type="containsText" dxfId="3057" priority="3105" operator="containsText" text="Update not Provided">
      <formula>NOT(ISERROR(SEARCH("Update not Provided",I4)))</formula>
    </cfRule>
    <cfRule type="containsText" dxfId="3056" priority="3106" operator="containsText" text="Not yet due">
      <formula>NOT(ISERROR(SEARCH("Not yet due",I4)))</formula>
    </cfRule>
    <cfRule type="containsText" dxfId="3055" priority="3107" operator="containsText" text="Completed Behind Schedule">
      <formula>NOT(ISERROR(SEARCH("Completed Behind Schedule",I4)))</formula>
    </cfRule>
    <cfRule type="containsText" dxfId="3054" priority="3108" operator="containsText" text="Off Target">
      <formula>NOT(ISERROR(SEARCH("Off Target",I4)))</formula>
    </cfRule>
    <cfRule type="containsText" dxfId="3053" priority="3109" operator="containsText" text="On Track to be Achieved">
      <formula>NOT(ISERROR(SEARCH("On Track to be Achieved",I4)))</formula>
    </cfRule>
    <cfRule type="containsText" dxfId="3052" priority="3110" operator="containsText" text="Fully Achieved">
      <formula>NOT(ISERROR(SEARCH("Fully Achieved",I4)))</formula>
    </cfRule>
    <cfRule type="containsText" dxfId="3051" priority="3111" operator="containsText" text="Not yet due">
      <formula>NOT(ISERROR(SEARCH("Not yet due",I4)))</formula>
    </cfRule>
    <cfRule type="containsText" dxfId="3050" priority="3112" operator="containsText" text="Not Yet Due">
      <formula>NOT(ISERROR(SEARCH("Not Yet Due",I4)))</formula>
    </cfRule>
    <cfRule type="containsText" dxfId="3049" priority="3113" operator="containsText" text="Deferred">
      <formula>NOT(ISERROR(SEARCH("Deferred",I4)))</formula>
    </cfRule>
    <cfRule type="containsText" dxfId="3048" priority="3114" operator="containsText" text="Deleted">
      <formula>NOT(ISERROR(SEARCH("Deleted",I4)))</formula>
    </cfRule>
    <cfRule type="containsText" dxfId="3047" priority="3115" operator="containsText" text="In Danger of Falling Behind Target">
      <formula>NOT(ISERROR(SEARCH("In Danger of Falling Behind Target",I4)))</formula>
    </cfRule>
    <cfRule type="containsText" dxfId="3046" priority="3116" operator="containsText" text="Not yet due">
      <formula>NOT(ISERROR(SEARCH("Not yet due",I4)))</formula>
    </cfRule>
    <cfRule type="containsText" dxfId="3045" priority="3117" operator="containsText" text="Completed Behind Schedule">
      <formula>NOT(ISERROR(SEARCH("Completed Behind Schedule",I4)))</formula>
    </cfRule>
    <cfRule type="containsText" dxfId="3044" priority="3118" operator="containsText" text="Off Target">
      <formula>NOT(ISERROR(SEARCH("Off Target",I4)))</formula>
    </cfRule>
    <cfRule type="containsText" dxfId="3043" priority="3119" operator="containsText" text="In Danger of Falling Behind Target">
      <formula>NOT(ISERROR(SEARCH("In Danger of Falling Behind Target",I4)))</formula>
    </cfRule>
    <cfRule type="containsText" dxfId="3042" priority="3120" operator="containsText" text="On Track to be Achieved">
      <formula>NOT(ISERROR(SEARCH("On Track to be Achieved",I4)))</formula>
    </cfRule>
    <cfRule type="containsText" dxfId="3041" priority="3121" operator="containsText" text="Fully Achieved">
      <formula>NOT(ISERROR(SEARCH("Fully Achieved",I4)))</formula>
    </cfRule>
    <cfRule type="containsText" dxfId="3040" priority="3122" operator="containsText" text="Update not Provided">
      <formula>NOT(ISERROR(SEARCH("Update not Provided",I4)))</formula>
    </cfRule>
    <cfRule type="containsText" dxfId="3039" priority="3123" operator="containsText" text="Not yet due">
      <formula>NOT(ISERROR(SEARCH("Not yet due",I4)))</formula>
    </cfRule>
    <cfRule type="containsText" dxfId="3038" priority="3124" operator="containsText" text="Completed Behind Schedule">
      <formula>NOT(ISERROR(SEARCH("Completed Behind Schedule",I4)))</formula>
    </cfRule>
    <cfRule type="containsText" dxfId="3037" priority="3125" operator="containsText" text="Off Target">
      <formula>NOT(ISERROR(SEARCH("Off Target",I4)))</formula>
    </cfRule>
    <cfRule type="containsText" dxfId="3036" priority="3126" operator="containsText" text="In Danger of Falling Behind Target">
      <formula>NOT(ISERROR(SEARCH("In Danger of Falling Behind Target",I4)))</formula>
    </cfRule>
    <cfRule type="containsText" dxfId="3035" priority="3127" operator="containsText" text="On Track to be Achieved">
      <formula>NOT(ISERROR(SEARCH("On Track to be Achieved",I4)))</formula>
    </cfRule>
    <cfRule type="containsText" dxfId="3034" priority="3128" operator="containsText" text="Fully Achieved">
      <formula>NOT(ISERROR(SEARCH("Fully Achieved",I4)))</formula>
    </cfRule>
    <cfRule type="containsText" dxfId="3033" priority="3129" operator="containsText" text="Fully Achieved">
      <formula>NOT(ISERROR(SEARCH("Fully Achieved",I4)))</formula>
    </cfRule>
    <cfRule type="containsText" dxfId="3032" priority="3130" operator="containsText" text="Fully Achieved">
      <formula>NOT(ISERROR(SEARCH("Fully Achieved",I4)))</formula>
    </cfRule>
    <cfRule type="containsText" dxfId="3031" priority="3131" operator="containsText" text="Deferred">
      <formula>NOT(ISERROR(SEARCH("Deferred",I4)))</formula>
    </cfRule>
    <cfRule type="containsText" dxfId="3030" priority="3132" operator="containsText" text="Deleted">
      <formula>NOT(ISERROR(SEARCH("Deleted",I4)))</formula>
    </cfRule>
    <cfRule type="containsText" dxfId="3029" priority="3133" operator="containsText" text="In Danger of Falling Behind Target">
      <formula>NOT(ISERROR(SEARCH("In Danger of Falling Behind Target",I4)))</formula>
    </cfRule>
    <cfRule type="containsText" dxfId="3028" priority="3134" operator="containsText" text="Not yet due">
      <formula>NOT(ISERROR(SEARCH("Not yet due",I4)))</formula>
    </cfRule>
    <cfRule type="containsText" dxfId="3027" priority="3135" operator="containsText" text="Update not Provided">
      <formula>NOT(ISERROR(SEARCH("Update not Provided",I4)))</formula>
    </cfRule>
  </conditionalFormatting>
  <conditionalFormatting sqref="I14:I31">
    <cfRule type="containsText" dxfId="3026" priority="3064" operator="containsText" text="On track to be achieved">
      <formula>NOT(ISERROR(SEARCH("On track to be achieved",I14)))</formula>
    </cfRule>
    <cfRule type="containsText" dxfId="3025" priority="3065" operator="containsText" text="Deferred">
      <formula>NOT(ISERROR(SEARCH("Deferred",I14)))</formula>
    </cfRule>
    <cfRule type="containsText" dxfId="3024" priority="3066" operator="containsText" text="Deleted">
      <formula>NOT(ISERROR(SEARCH("Deleted",I14)))</formula>
    </cfRule>
    <cfRule type="containsText" dxfId="3023" priority="3067" operator="containsText" text="In Danger of Falling Behind Target">
      <formula>NOT(ISERROR(SEARCH("In Danger of Falling Behind Target",I14)))</formula>
    </cfRule>
    <cfRule type="containsText" dxfId="3022" priority="3068" operator="containsText" text="Not yet due">
      <formula>NOT(ISERROR(SEARCH("Not yet due",I14)))</formula>
    </cfRule>
    <cfRule type="containsText" dxfId="3021" priority="3069" operator="containsText" text="Update not Provided">
      <formula>NOT(ISERROR(SEARCH("Update not Provided",I14)))</formula>
    </cfRule>
    <cfRule type="containsText" dxfId="3020" priority="3070" operator="containsText" text="Not yet due">
      <formula>NOT(ISERROR(SEARCH("Not yet due",I14)))</formula>
    </cfRule>
    <cfRule type="containsText" dxfId="3019" priority="3071" operator="containsText" text="Completed Behind Schedule">
      <formula>NOT(ISERROR(SEARCH("Completed Behind Schedule",I14)))</formula>
    </cfRule>
    <cfRule type="containsText" dxfId="3018" priority="3072" operator="containsText" text="Off Target">
      <formula>NOT(ISERROR(SEARCH("Off Target",I14)))</formula>
    </cfRule>
    <cfRule type="containsText" dxfId="3017" priority="3073" operator="containsText" text="On Track to be Achieved">
      <formula>NOT(ISERROR(SEARCH("On Track to be Achieved",I14)))</formula>
    </cfRule>
    <cfRule type="containsText" dxfId="3016" priority="3074" operator="containsText" text="Fully Achieved">
      <formula>NOT(ISERROR(SEARCH("Fully Achieved",I14)))</formula>
    </cfRule>
    <cfRule type="containsText" dxfId="3015" priority="3075" operator="containsText" text="Not yet due">
      <formula>NOT(ISERROR(SEARCH("Not yet due",I14)))</formula>
    </cfRule>
    <cfRule type="containsText" dxfId="3014" priority="3076" operator="containsText" text="Not Yet Due">
      <formula>NOT(ISERROR(SEARCH("Not Yet Due",I14)))</formula>
    </cfRule>
    <cfRule type="containsText" dxfId="3013" priority="3077" operator="containsText" text="Deferred">
      <formula>NOT(ISERROR(SEARCH("Deferred",I14)))</formula>
    </cfRule>
    <cfRule type="containsText" dxfId="3012" priority="3078" operator="containsText" text="Deleted">
      <formula>NOT(ISERROR(SEARCH("Deleted",I14)))</formula>
    </cfRule>
    <cfRule type="containsText" dxfId="3011" priority="3079" operator="containsText" text="In Danger of Falling Behind Target">
      <formula>NOT(ISERROR(SEARCH("In Danger of Falling Behind Target",I14)))</formula>
    </cfRule>
    <cfRule type="containsText" dxfId="3010" priority="3080" operator="containsText" text="Not yet due">
      <formula>NOT(ISERROR(SEARCH("Not yet due",I14)))</formula>
    </cfRule>
    <cfRule type="containsText" dxfId="3009" priority="3081" operator="containsText" text="Completed Behind Schedule">
      <formula>NOT(ISERROR(SEARCH("Completed Behind Schedule",I14)))</formula>
    </cfRule>
    <cfRule type="containsText" dxfId="3008" priority="3082" operator="containsText" text="Off Target">
      <formula>NOT(ISERROR(SEARCH("Off Target",I14)))</formula>
    </cfRule>
    <cfRule type="containsText" dxfId="3007" priority="3083" operator="containsText" text="In Danger of Falling Behind Target">
      <formula>NOT(ISERROR(SEARCH("In Danger of Falling Behind Target",I14)))</formula>
    </cfRule>
    <cfRule type="containsText" dxfId="3006" priority="3084" operator="containsText" text="On Track to be Achieved">
      <formula>NOT(ISERROR(SEARCH("On Track to be Achieved",I14)))</formula>
    </cfRule>
    <cfRule type="containsText" dxfId="3005" priority="3085" operator="containsText" text="Fully Achieved">
      <formula>NOT(ISERROR(SEARCH("Fully Achieved",I14)))</formula>
    </cfRule>
    <cfRule type="containsText" dxfId="3004" priority="3086" operator="containsText" text="Update not Provided">
      <formula>NOT(ISERROR(SEARCH("Update not Provided",I14)))</formula>
    </cfRule>
    <cfRule type="containsText" dxfId="3003" priority="3087" operator="containsText" text="Not yet due">
      <formula>NOT(ISERROR(SEARCH("Not yet due",I14)))</formula>
    </cfRule>
    <cfRule type="containsText" dxfId="3002" priority="3088" operator="containsText" text="Completed Behind Schedule">
      <formula>NOT(ISERROR(SEARCH("Completed Behind Schedule",I14)))</formula>
    </cfRule>
    <cfRule type="containsText" dxfId="3001" priority="3089" operator="containsText" text="Off Target">
      <formula>NOT(ISERROR(SEARCH("Off Target",I14)))</formula>
    </cfRule>
    <cfRule type="containsText" dxfId="3000" priority="3090" operator="containsText" text="In Danger of Falling Behind Target">
      <formula>NOT(ISERROR(SEARCH("In Danger of Falling Behind Target",I14)))</formula>
    </cfRule>
    <cfRule type="containsText" dxfId="2999" priority="3091" operator="containsText" text="On Track to be Achieved">
      <formula>NOT(ISERROR(SEARCH("On Track to be Achieved",I14)))</formula>
    </cfRule>
    <cfRule type="containsText" dxfId="2998" priority="3092" operator="containsText" text="Fully Achieved">
      <formula>NOT(ISERROR(SEARCH("Fully Achieved",I14)))</formula>
    </cfRule>
    <cfRule type="containsText" dxfId="2997" priority="3093" operator="containsText" text="Fully Achieved">
      <formula>NOT(ISERROR(SEARCH("Fully Achieved",I14)))</formula>
    </cfRule>
    <cfRule type="containsText" dxfId="2996" priority="3094" operator="containsText" text="Fully Achieved">
      <formula>NOT(ISERROR(SEARCH("Fully Achieved",I14)))</formula>
    </cfRule>
    <cfRule type="containsText" dxfId="2995" priority="3095" operator="containsText" text="Deferred">
      <formula>NOT(ISERROR(SEARCH("Deferred",I14)))</formula>
    </cfRule>
    <cfRule type="containsText" dxfId="2994" priority="3096" operator="containsText" text="Deleted">
      <formula>NOT(ISERROR(SEARCH("Deleted",I14)))</formula>
    </cfRule>
    <cfRule type="containsText" dxfId="2993" priority="3097" operator="containsText" text="In Danger of Falling Behind Target">
      <formula>NOT(ISERROR(SEARCH("In Danger of Falling Behind Target",I14)))</formula>
    </cfRule>
    <cfRule type="containsText" dxfId="2992" priority="3098" operator="containsText" text="Not yet due">
      <formula>NOT(ISERROR(SEARCH("Not yet due",I14)))</formula>
    </cfRule>
    <cfRule type="containsText" dxfId="2991" priority="3099" operator="containsText" text="Update not Provided">
      <formula>NOT(ISERROR(SEARCH("Update not Provided",I14)))</formula>
    </cfRule>
  </conditionalFormatting>
  <conditionalFormatting sqref="I32:I42">
    <cfRule type="containsText" dxfId="2990" priority="3028" operator="containsText" text="On track to be achieved">
      <formula>NOT(ISERROR(SEARCH("On track to be achieved",I32)))</formula>
    </cfRule>
    <cfRule type="containsText" dxfId="2989" priority="3029" operator="containsText" text="Deferred">
      <formula>NOT(ISERROR(SEARCH("Deferred",I32)))</formula>
    </cfRule>
    <cfRule type="containsText" dxfId="2988" priority="3030" operator="containsText" text="Deleted">
      <formula>NOT(ISERROR(SEARCH("Deleted",I32)))</formula>
    </cfRule>
    <cfRule type="containsText" dxfId="2987" priority="3031" operator="containsText" text="In Danger of Falling Behind Target">
      <formula>NOT(ISERROR(SEARCH("In Danger of Falling Behind Target",I32)))</formula>
    </cfRule>
    <cfRule type="containsText" dxfId="2986" priority="3032" operator="containsText" text="Not yet due">
      <formula>NOT(ISERROR(SEARCH("Not yet due",I32)))</formula>
    </cfRule>
    <cfRule type="containsText" dxfId="2985" priority="3033" operator="containsText" text="Update not Provided">
      <formula>NOT(ISERROR(SEARCH("Update not Provided",I32)))</formula>
    </cfRule>
    <cfRule type="containsText" dxfId="2984" priority="3034" operator="containsText" text="Not yet due">
      <formula>NOT(ISERROR(SEARCH("Not yet due",I32)))</formula>
    </cfRule>
    <cfRule type="containsText" dxfId="2983" priority="3035" operator="containsText" text="Completed Behind Schedule">
      <formula>NOT(ISERROR(SEARCH("Completed Behind Schedule",I32)))</formula>
    </cfRule>
    <cfRule type="containsText" dxfId="2982" priority="3036" operator="containsText" text="Off Target">
      <formula>NOT(ISERROR(SEARCH("Off Target",I32)))</formula>
    </cfRule>
    <cfRule type="containsText" dxfId="2981" priority="3037" operator="containsText" text="On Track to be Achieved">
      <formula>NOT(ISERROR(SEARCH("On Track to be Achieved",I32)))</formula>
    </cfRule>
    <cfRule type="containsText" dxfId="2980" priority="3038" operator="containsText" text="Fully Achieved">
      <formula>NOT(ISERROR(SEARCH("Fully Achieved",I32)))</formula>
    </cfRule>
    <cfRule type="containsText" dxfId="2979" priority="3039" operator="containsText" text="Not yet due">
      <formula>NOT(ISERROR(SEARCH("Not yet due",I32)))</formula>
    </cfRule>
    <cfRule type="containsText" dxfId="2978" priority="3040" operator="containsText" text="Not Yet Due">
      <formula>NOT(ISERROR(SEARCH("Not Yet Due",I32)))</formula>
    </cfRule>
    <cfRule type="containsText" dxfId="2977" priority="3041" operator="containsText" text="Deferred">
      <formula>NOT(ISERROR(SEARCH("Deferred",I32)))</formula>
    </cfRule>
    <cfRule type="containsText" dxfId="2976" priority="3042" operator="containsText" text="Deleted">
      <formula>NOT(ISERROR(SEARCH("Deleted",I32)))</formula>
    </cfRule>
    <cfRule type="containsText" dxfId="2975" priority="3043" operator="containsText" text="In Danger of Falling Behind Target">
      <formula>NOT(ISERROR(SEARCH("In Danger of Falling Behind Target",I32)))</formula>
    </cfRule>
    <cfRule type="containsText" dxfId="2974" priority="3044" operator="containsText" text="Not yet due">
      <formula>NOT(ISERROR(SEARCH("Not yet due",I32)))</formula>
    </cfRule>
    <cfRule type="containsText" dxfId="2973" priority="3045" operator="containsText" text="Completed Behind Schedule">
      <formula>NOT(ISERROR(SEARCH("Completed Behind Schedule",I32)))</formula>
    </cfRule>
    <cfRule type="containsText" dxfId="2972" priority="3046" operator="containsText" text="Off Target">
      <formula>NOT(ISERROR(SEARCH("Off Target",I32)))</formula>
    </cfRule>
    <cfRule type="containsText" dxfId="2971" priority="3047" operator="containsText" text="In Danger of Falling Behind Target">
      <formula>NOT(ISERROR(SEARCH("In Danger of Falling Behind Target",I32)))</formula>
    </cfRule>
    <cfRule type="containsText" dxfId="2970" priority="3048" operator="containsText" text="On Track to be Achieved">
      <formula>NOT(ISERROR(SEARCH("On Track to be Achieved",I32)))</formula>
    </cfRule>
    <cfRule type="containsText" dxfId="2969" priority="3049" operator="containsText" text="Fully Achieved">
      <formula>NOT(ISERROR(SEARCH("Fully Achieved",I32)))</formula>
    </cfRule>
    <cfRule type="containsText" dxfId="2968" priority="3050" operator="containsText" text="Update not Provided">
      <formula>NOT(ISERROR(SEARCH("Update not Provided",I32)))</formula>
    </cfRule>
    <cfRule type="containsText" dxfId="2967" priority="3051" operator="containsText" text="Not yet due">
      <formula>NOT(ISERROR(SEARCH("Not yet due",I32)))</formula>
    </cfRule>
    <cfRule type="containsText" dxfId="2966" priority="3052" operator="containsText" text="Completed Behind Schedule">
      <formula>NOT(ISERROR(SEARCH("Completed Behind Schedule",I32)))</formula>
    </cfRule>
    <cfRule type="containsText" dxfId="2965" priority="3053" operator="containsText" text="Off Target">
      <formula>NOT(ISERROR(SEARCH("Off Target",I32)))</formula>
    </cfRule>
    <cfRule type="containsText" dxfId="2964" priority="3054" operator="containsText" text="In Danger of Falling Behind Target">
      <formula>NOT(ISERROR(SEARCH("In Danger of Falling Behind Target",I32)))</formula>
    </cfRule>
    <cfRule type="containsText" dxfId="2963" priority="3055" operator="containsText" text="On Track to be Achieved">
      <formula>NOT(ISERROR(SEARCH("On Track to be Achieved",I32)))</formula>
    </cfRule>
    <cfRule type="containsText" dxfId="2962" priority="3056" operator="containsText" text="Fully Achieved">
      <formula>NOT(ISERROR(SEARCH("Fully Achieved",I32)))</formula>
    </cfRule>
    <cfRule type="containsText" dxfId="2961" priority="3057" operator="containsText" text="Fully Achieved">
      <formula>NOT(ISERROR(SEARCH("Fully Achieved",I32)))</formula>
    </cfRule>
    <cfRule type="containsText" dxfId="2960" priority="3058" operator="containsText" text="Fully Achieved">
      <formula>NOT(ISERROR(SEARCH("Fully Achieved",I32)))</formula>
    </cfRule>
    <cfRule type="containsText" dxfId="2959" priority="3059" operator="containsText" text="Deferred">
      <formula>NOT(ISERROR(SEARCH("Deferred",I32)))</formula>
    </cfRule>
    <cfRule type="containsText" dxfId="2958" priority="3060" operator="containsText" text="Deleted">
      <formula>NOT(ISERROR(SEARCH("Deleted",I32)))</formula>
    </cfRule>
    <cfRule type="containsText" dxfId="2957" priority="3061" operator="containsText" text="In Danger of Falling Behind Target">
      <formula>NOT(ISERROR(SEARCH("In Danger of Falling Behind Target",I32)))</formula>
    </cfRule>
    <cfRule type="containsText" dxfId="2956" priority="3062" operator="containsText" text="Not yet due">
      <formula>NOT(ISERROR(SEARCH("Not yet due",I32)))</formula>
    </cfRule>
    <cfRule type="containsText" dxfId="2955" priority="3063" operator="containsText" text="Update not Provided">
      <formula>NOT(ISERROR(SEARCH("Update not Provided",I32)))</formula>
    </cfRule>
  </conditionalFormatting>
  <conditionalFormatting sqref="I43">
    <cfRule type="containsText" dxfId="2954" priority="2992" operator="containsText" text="On track to be achieved">
      <formula>NOT(ISERROR(SEARCH("On track to be achieved",I43)))</formula>
    </cfRule>
    <cfRule type="containsText" dxfId="2953" priority="2993" operator="containsText" text="Deferred">
      <formula>NOT(ISERROR(SEARCH("Deferred",I43)))</formula>
    </cfRule>
    <cfRule type="containsText" dxfId="2952" priority="2994" operator="containsText" text="Deleted">
      <formula>NOT(ISERROR(SEARCH("Deleted",I43)))</formula>
    </cfRule>
    <cfRule type="containsText" dxfId="2951" priority="2995" operator="containsText" text="In Danger of Falling Behind Target">
      <formula>NOT(ISERROR(SEARCH("In Danger of Falling Behind Target",I43)))</formula>
    </cfRule>
    <cfRule type="containsText" dxfId="2950" priority="2996" operator="containsText" text="Not yet due">
      <formula>NOT(ISERROR(SEARCH("Not yet due",I43)))</formula>
    </cfRule>
    <cfRule type="containsText" dxfId="2949" priority="2997" operator="containsText" text="Update not Provided">
      <formula>NOT(ISERROR(SEARCH("Update not Provided",I43)))</formula>
    </cfRule>
    <cfRule type="containsText" dxfId="2948" priority="2998" operator="containsText" text="Not yet due">
      <formula>NOT(ISERROR(SEARCH("Not yet due",I43)))</formula>
    </cfRule>
    <cfRule type="containsText" dxfId="2947" priority="2999" operator="containsText" text="Completed Behind Schedule">
      <formula>NOT(ISERROR(SEARCH("Completed Behind Schedule",I43)))</formula>
    </cfRule>
    <cfRule type="containsText" dxfId="2946" priority="3000" operator="containsText" text="Off Target">
      <formula>NOT(ISERROR(SEARCH("Off Target",I43)))</formula>
    </cfRule>
    <cfRule type="containsText" dxfId="2945" priority="3001" operator="containsText" text="On Track to be Achieved">
      <formula>NOT(ISERROR(SEARCH("On Track to be Achieved",I43)))</formula>
    </cfRule>
    <cfRule type="containsText" dxfId="2944" priority="3002" operator="containsText" text="Fully Achieved">
      <formula>NOT(ISERROR(SEARCH("Fully Achieved",I43)))</formula>
    </cfRule>
    <cfRule type="containsText" dxfId="2943" priority="3003" operator="containsText" text="Not yet due">
      <formula>NOT(ISERROR(SEARCH("Not yet due",I43)))</formula>
    </cfRule>
    <cfRule type="containsText" dxfId="2942" priority="3004" operator="containsText" text="Not Yet Due">
      <formula>NOT(ISERROR(SEARCH("Not Yet Due",I43)))</formula>
    </cfRule>
    <cfRule type="containsText" dxfId="2941" priority="3005" operator="containsText" text="Deferred">
      <formula>NOT(ISERROR(SEARCH("Deferred",I43)))</formula>
    </cfRule>
    <cfRule type="containsText" dxfId="2940" priority="3006" operator="containsText" text="Deleted">
      <formula>NOT(ISERROR(SEARCH("Deleted",I43)))</formula>
    </cfRule>
    <cfRule type="containsText" dxfId="2939" priority="3007" operator="containsText" text="In Danger of Falling Behind Target">
      <formula>NOT(ISERROR(SEARCH("In Danger of Falling Behind Target",I43)))</formula>
    </cfRule>
    <cfRule type="containsText" dxfId="2938" priority="3008" operator="containsText" text="Not yet due">
      <formula>NOT(ISERROR(SEARCH("Not yet due",I43)))</formula>
    </cfRule>
    <cfRule type="containsText" dxfId="2937" priority="3009" operator="containsText" text="Completed Behind Schedule">
      <formula>NOT(ISERROR(SEARCH("Completed Behind Schedule",I43)))</formula>
    </cfRule>
    <cfRule type="containsText" dxfId="2936" priority="3010" operator="containsText" text="Off Target">
      <formula>NOT(ISERROR(SEARCH("Off Target",I43)))</formula>
    </cfRule>
    <cfRule type="containsText" dxfId="2935" priority="3011" operator="containsText" text="In Danger of Falling Behind Target">
      <formula>NOT(ISERROR(SEARCH("In Danger of Falling Behind Target",I43)))</formula>
    </cfRule>
    <cfRule type="containsText" dxfId="2934" priority="3012" operator="containsText" text="On Track to be Achieved">
      <formula>NOT(ISERROR(SEARCH("On Track to be Achieved",I43)))</formula>
    </cfRule>
    <cfRule type="containsText" dxfId="2933" priority="3013" operator="containsText" text="Fully Achieved">
      <formula>NOT(ISERROR(SEARCH("Fully Achieved",I43)))</formula>
    </cfRule>
    <cfRule type="containsText" dxfId="2932" priority="3014" operator="containsText" text="Update not Provided">
      <formula>NOT(ISERROR(SEARCH("Update not Provided",I43)))</formula>
    </cfRule>
    <cfRule type="containsText" dxfId="2931" priority="3015" operator="containsText" text="Not yet due">
      <formula>NOT(ISERROR(SEARCH("Not yet due",I43)))</formula>
    </cfRule>
    <cfRule type="containsText" dxfId="2930" priority="3016" operator="containsText" text="Completed Behind Schedule">
      <formula>NOT(ISERROR(SEARCH("Completed Behind Schedule",I43)))</formula>
    </cfRule>
    <cfRule type="containsText" dxfId="2929" priority="3017" operator="containsText" text="Off Target">
      <formula>NOT(ISERROR(SEARCH("Off Target",I43)))</formula>
    </cfRule>
    <cfRule type="containsText" dxfId="2928" priority="3018" operator="containsText" text="In Danger of Falling Behind Target">
      <formula>NOT(ISERROR(SEARCH("In Danger of Falling Behind Target",I43)))</formula>
    </cfRule>
    <cfRule type="containsText" dxfId="2927" priority="3019" operator="containsText" text="On Track to be Achieved">
      <formula>NOT(ISERROR(SEARCH("On Track to be Achieved",I43)))</formula>
    </cfRule>
    <cfRule type="containsText" dxfId="2926" priority="3020" operator="containsText" text="Fully Achieved">
      <formula>NOT(ISERROR(SEARCH("Fully Achieved",I43)))</formula>
    </cfRule>
    <cfRule type="containsText" dxfId="2925" priority="3021" operator="containsText" text="Fully Achieved">
      <formula>NOT(ISERROR(SEARCH("Fully Achieved",I43)))</formula>
    </cfRule>
    <cfRule type="containsText" dxfId="2924" priority="3022" operator="containsText" text="Fully Achieved">
      <formula>NOT(ISERROR(SEARCH("Fully Achieved",I43)))</formula>
    </cfRule>
    <cfRule type="containsText" dxfId="2923" priority="3023" operator="containsText" text="Deferred">
      <formula>NOT(ISERROR(SEARCH("Deferred",I43)))</formula>
    </cfRule>
    <cfRule type="containsText" dxfId="2922" priority="3024" operator="containsText" text="Deleted">
      <formula>NOT(ISERROR(SEARCH("Deleted",I43)))</formula>
    </cfRule>
    <cfRule type="containsText" dxfId="2921" priority="3025" operator="containsText" text="In Danger of Falling Behind Target">
      <formula>NOT(ISERROR(SEARCH("In Danger of Falling Behind Target",I43)))</formula>
    </cfRule>
    <cfRule type="containsText" dxfId="2920" priority="3026" operator="containsText" text="Not yet due">
      <formula>NOT(ISERROR(SEARCH("Not yet due",I43)))</formula>
    </cfRule>
    <cfRule type="containsText" dxfId="2919" priority="3027" operator="containsText" text="Update not Provided">
      <formula>NOT(ISERROR(SEARCH("Update not Provided",I43)))</formula>
    </cfRule>
  </conditionalFormatting>
  <conditionalFormatting sqref="I43">
    <cfRule type="containsText" dxfId="2918" priority="2956" operator="containsText" text="On track to be achieved">
      <formula>NOT(ISERROR(SEARCH("On track to be achieved",I43)))</formula>
    </cfRule>
    <cfRule type="containsText" dxfId="2917" priority="2957" operator="containsText" text="Deferred">
      <formula>NOT(ISERROR(SEARCH("Deferred",I43)))</formula>
    </cfRule>
    <cfRule type="containsText" dxfId="2916" priority="2958" operator="containsText" text="Deleted">
      <formula>NOT(ISERROR(SEARCH("Deleted",I43)))</formula>
    </cfRule>
    <cfRule type="containsText" dxfId="2915" priority="2959" operator="containsText" text="In Danger of Falling Behind Target">
      <formula>NOT(ISERROR(SEARCH("In Danger of Falling Behind Target",I43)))</formula>
    </cfRule>
    <cfRule type="containsText" dxfId="2914" priority="2960" operator="containsText" text="Not yet due">
      <formula>NOT(ISERROR(SEARCH("Not yet due",I43)))</formula>
    </cfRule>
    <cfRule type="containsText" dxfId="2913" priority="2961" operator="containsText" text="Update not Provided">
      <formula>NOT(ISERROR(SEARCH("Update not Provided",I43)))</formula>
    </cfRule>
    <cfRule type="containsText" dxfId="2912" priority="2962" operator="containsText" text="Not yet due">
      <formula>NOT(ISERROR(SEARCH("Not yet due",I43)))</formula>
    </cfRule>
    <cfRule type="containsText" dxfId="2911" priority="2963" operator="containsText" text="Completed Behind Schedule">
      <formula>NOT(ISERROR(SEARCH("Completed Behind Schedule",I43)))</formula>
    </cfRule>
    <cfRule type="containsText" dxfId="2910" priority="2964" operator="containsText" text="Off Target">
      <formula>NOT(ISERROR(SEARCH("Off Target",I43)))</formula>
    </cfRule>
    <cfRule type="containsText" dxfId="2909" priority="2965" operator="containsText" text="On Track to be Achieved">
      <formula>NOT(ISERROR(SEARCH("On Track to be Achieved",I43)))</formula>
    </cfRule>
    <cfRule type="containsText" dxfId="2908" priority="2966" operator="containsText" text="Fully Achieved">
      <formula>NOT(ISERROR(SEARCH("Fully Achieved",I43)))</formula>
    </cfRule>
    <cfRule type="containsText" dxfId="2907" priority="2967" operator="containsText" text="Not yet due">
      <formula>NOT(ISERROR(SEARCH("Not yet due",I43)))</formula>
    </cfRule>
    <cfRule type="containsText" dxfId="2906" priority="2968" operator="containsText" text="Not Yet Due">
      <formula>NOT(ISERROR(SEARCH("Not Yet Due",I43)))</formula>
    </cfRule>
    <cfRule type="containsText" dxfId="2905" priority="2969" operator="containsText" text="Deferred">
      <formula>NOT(ISERROR(SEARCH("Deferred",I43)))</formula>
    </cfRule>
    <cfRule type="containsText" dxfId="2904" priority="2970" operator="containsText" text="Deleted">
      <formula>NOT(ISERROR(SEARCH("Deleted",I43)))</formula>
    </cfRule>
    <cfRule type="containsText" dxfId="2903" priority="2971" operator="containsText" text="In Danger of Falling Behind Target">
      <formula>NOT(ISERROR(SEARCH("In Danger of Falling Behind Target",I43)))</formula>
    </cfRule>
    <cfRule type="containsText" dxfId="2902" priority="2972" operator="containsText" text="Not yet due">
      <formula>NOT(ISERROR(SEARCH("Not yet due",I43)))</formula>
    </cfRule>
    <cfRule type="containsText" dxfId="2901" priority="2973" operator="containsText" text="Completed Behind Schedule">
      <formula>NOT(ISERROR(SEARCH("Completed Behind Schedule",I43)))</formula>
    </cfRule>
    <cfRule type="containsText" dxfId="2900" priority="2974" operator="containsText" text="Off Target">
      <formula>NOT(ISERROR(SEARCH("Off Target",I43)))</formula>
    </cfRule>
    <cfRule type="containsText" dxfId="2899" priority="2975" operator="containsText" text="In Danger of Falling Behind Target">
      <formula>NOT(ISERROR(SEARCH("In Danger of Falling Behind Target",I43)))</formula>
    </cfRule>
    <cfRule type="containsText" dxfId="2898" priority="2976" operator="containsText" text="On Track to be Achieved">
      <formula>NOT(ISERROR(SEARCH("On Track to be Achieved",I43)))</formula>
    </cfRule>
    <cfRule type="containsText" dxfId="2897" priority="2977" operator="containsText" text="Fully Achieved">
      <formula>NOT(ISERROR(SEARCH("Fully Achieved",I43)))</formula>
    </cfRule>
    <cfRule type="containsText" dxfId="2896" priority="2978" operator="containsText" text="Update not Provided">
      <formula>NOT(ISERROR(SEARCH("Update not Provided",I43)))</formula>
    </cfRule>
    <cfRule type="containsText" dxfId="2895" priority="2979" operator="containsText" text="Not yet due">
      <formula>NOT(ISERROR(SEARCH("Not yet due",I43)))</formula>
    </cfRule>
    <cfRule type="containsText" dxfId="2894" priority="2980" operator="containsText" text="Completed Behind Schedule">
      <formula>NOT(ISERROR(SEARCH("Completed Behind Schedule",I43)))</formula>
    </cfRule>
    <cfRule type="containsText" dxfId="2893" priority="2981" operator="containsText" text="Off Target">
      <formula>NOT(ISERROR(SEARCH("Off Target",I43)))</formula>
    </cfRule>
    <cfRule type="containsText" dxfId="2892" priority="2982" operator="containsText" text="In Danger of Falling Behind Target">
      <formula>NOT(ISERROR(SEARCH("In Danger of Falling Behind Target",I43)))</formula>
    </cfRule>
    <cfRule type="containsText" dxfId="2891" priority="2983" operator="containsText" text="On Track to be Achieved">
      <formula>NOT(ISERROR(SEARCH("On Track to be Achieved",I43)))</formula>
    </cfRule>
    <cfRule type="containsText" dxfId="2890" priority="2984" operator="containsText" text="Fully Achieved">
      <formula>NOT(ISERROR(SEARCH("Fully Achieved",I43)))</formula>
    </cfRule>
    <cfRule type="containsText" dxfId="2889" priority="2985" operator="containsText" text="Fully Achieved">
      <formula>NOT(ISERROR(SEARCH("Fully Achieved",I43)))</formula>
    </cfRule>
    <cfRule type="containsText" dxfId="2888" priority="2986" operator="containsText" text="Fully Achieved">
      <formula>NOT(ISERROR(SEARCH("Fully Achieved",I43)))</formula>
    </cfRule>
    <cfRule type="containsText" dxfId="2887" priority="2987" operator="containsText" text="Deferred">
      <formula>NOT(ISERROR(SEARCH("Deferred",I43)))</formula>
    </cfRule>
    <cfRule type="containsText" dxfId="2886" priority="2988" operator="containsText" text="Deleted">
      <formula>NOT(ISERROR(SEARCH("Deleted",I43)))</formula>
    </cfRule>
    <cfRule type="containsText" dxfId="2885" priority="2989" operator="containsText" text="In Danger of Falling Behind Target">
      <formula>NOT(ISERROR(SEARCH("In Danger of Falling Behind Target",I43)))</formula>
    </cfRule>
    <cfRule type="containsText" dxfId="2884" priority="2990" operator="containsText" text="Not yet due">
      <formula>NOT(ISERROR(SEARCH("Not yet due",I43)))</formula>
    </cfRule>
    <cfRule type="containsText" dxfId="2883" priority="2991" operator="containsText" text="Update not Provided">
      <formula>NOT(ISERROR(SEARCH("Update not Provided",I43)))</formula>
    </cfRule>
  </conditionalFormatting>
  <conditionalFormatting sqref="I43">
    <cfRule type="containsText" dxfId="2882" priority="2920" operator="containsText" text="On track to be achieved">
      <formula>NOT(ISERROR(SEARCH("On track to be achieved",I43)))</formula>
    </cfRule>
    <cfRule type="containsText" dxfId="2881" priority="2921" operator="containsText" text="Deferred">
      <formula>NOT(ISERROR(SEARCH("Deferred",I43)))</formula>
    </cfRule>
    <cfRule type="containsText" dxfId="2880" priority="2922" operator="containsText" text="Deleted">
      <formula>NOT(ISERROR(SEARCH("Deleted",I43)))</formula>
    </cfRule>
    <cfRule type="containsText" dxfId="2879" priority="2923" operator="containsText" text="In Danger of Falling Behind Target">
      <formula>NOT(ISERROR(SEARCH("In Danger of Falling Behind Target",I43)))</formula>
    </cfRule>
    <cfRule type="containsText" dxfId="2878" priority="2924" operator="containsText" text="Not yet due">
      <formula>NOT(ISERROR(SEARCH("Not yet due",I43)))</formula>
    </cfRule>
    <cfRule type="containsText" dxfId="2877" priority="2925" operator="containsText" text="Update not Provided">
      <formula>NOT(ISERROR(SEARCH("Update not Provided",I43)))</formula>
    </cfRule>
    <cfRule type="containsText" dxfId="2876" priority="2926" operator="containsText" text="Not yet due">
      <formula>NOT(ISERROR(SEARCH("Not yet due",I43)))</formula>
    </cfRule>
    <cfRule type="containsText" dxfId="2875" priority="2927" operator="containsText" text="Completed Behind Schedule">
      <formula>NOT(ISERROR(SEARCH("Completed Behind Schedule",I43)))</formula>
    </cfRule>
    <cfRule type="containsText" dxfId="2874" priority="2928" operator="containsText" text="Off Target">
      <formula>NOT(ISERROR(SEARCH("Off Target",I43)))</formula>
    </cfRule>
    <cfRule type="containsText" dxfId="2873" priority="2929" operator="containsText" text="On Track to be Achieved">
      <formula>NOT(ISERROR(SEARCH("On Track to be Achieved",I43)))</formula>
    </cfRule>
    <cfRule type="containsText" dxfId="2872" priority="2930" operator="containsText" text="Fully Achieved">
      <formula>NOT(ISERROR(SEARCH("Fully Achieved",I43)))</formula>
    </cfRule>
    <cfRule type="containsText" dxfId="2871" priority="2931" operator="containsText" text="Not yet due">
      <formula>NOT(ISERROR(SEARCH("Not yet due",I43)))</formula>
    </cfRule>
    <cfRule type="containsText" dxfId="2870" priority="2932" operator="containsText" text="Not Yet Due">
      <formula>NOT(ISERROR(SEARCH("Not Yet Due",I43)))</formula>
    </cfRule>
    <cfRule type="containsText" dxfId="2869" priority="2933" operator="containsText" text="Deferred">
      <formula>NOT(ISERROR(SEARCH("Deferred",I43)))</formula>
    </cfRule>
    <cfRule type="containsText" dxfId="2868" priority="2934" operator="containsText" text="Deleted">
      <formula>NOT(ISERROR(SEARCH("Deleted",I43)))</formula>
    </cfRule>
    <cfRule type="containsText" dxfId="2867" priority="2935" operator="containsText" text="In Danger of Falling Behind Target">
      <formula>NOT(ISERROR(SEARCH("In Danger of Falling Behind Target",I43)))</formula>
    </cfRule>
    <cfRule type="containsText" dxfId="2866" priority="2936" operator="containsText" text="Not yet due">
      <formula>NOT(ISERROR(SEARCH("Not yet due",I43)))</formula>
    </cfRule>
    <cfRule type="containsText" dxfId="2865" priority="2937" operator="containsText" text="Completed Behind Schedule">
      <formula>NOT(ISERROR(SEARCH("Completed Behind Schedule",I43)))</formula>
    </cfRule>
    <cfRule type="containsText" dxfId="2864" priority="2938" operator="containsText" text="Off Target">
      <formula>NOT(ISERROR(SEARCH("Off Target",I43)))</formula>
    </cfRule>
    <cfRule type="containsText" dxfId="2863" priority="2939" operator="containsText" text="In Danger of Falling Behind Target">
      <formula>NOT(ISERROR(SEARCH("In Danger of Falling Behind Target",I43)))</formula>
    </cfRule>
    <cfRule type="containsText" dxfId="2862" priority="2940" operator="containsText" text="On Track to be Achieved">
      <formula>NOT(ISERROR(SEARCH("On Track to be Achieved",I43)))</formula>
    </cfRule>
    <cfRule type="containsText" dxfId="2861" priority="2941" operator="containsText" text="Fully Achieved">
      <formula>NOT(ISERROR(SEARCH("Fully Achieved",I43)))</formula>
    </cfRule>
    <cfRule type="containsText" dxfId="2860" priority="2942" operator="containsText" text="Update not Provided">
      <formula>NOT(ISERROR(SEARCH("Update not Provided",I43)))</formula>
    </cfRule>
    <cfRule type="containsText" dxfId="2859" priority="2943" operator="containsText" text="Not yet due">
      <formula>NOT(ISERROR(SEARCH("Not yet due",I43)))</formula>
    </cfRule>
    <cfRule type="containsText" dxfId="2858" priority="2944" operator="containsText" text="Completed Behind Schedule">
      <formula>NOT(ISERROR(SEARCH("Completed Behind Schedule",I43)))</formula>
    </cfRule>
    <cfRule type="containsText" dxfId="2857" priority="2945" operator="containsText" text="Off Target">
      <formula>NOT(ISERROR(SEARCH("Off Target",I43)))</formula>
    </cfRule>
    <cfRule type="containsText" dxfId="2856" priority="2946" operator="containsText" text="In Danger of Falling Behind Target">
      <formula>NOT(ISERROR(SEARCH("In Danger of Falling Behind Target",I43)))</formula>
    </cfRule>
    <cfRule type="containsText" dxfId="2855" priority="2947" operator="containsText" text="On Track to be Achieved">
      <formula>NOT(ISERROR(SEARCH("On Track to be Achieved",I43)))</formula>
    </cfRule>
    <cfRule type="containsText" dxfId="2854" priority="2948" operator="containsText" text="Fully Achieved">
      <formula>NOT(ISERROR(SEARCH("Fully Achieved",I43)))</formula>
    </cfRule>
    <cfRule type="containsText" dxfId="2853" priority="2949" operator="containsText" text="Fully Achieved">
      <formula>NOT(ISERROR(SEARCH("Fully Achieved",I43)))</formula>
    </cfRule>
    <cfRule type="containsText" dxfId="2852" priority="2950" operator="containsText" text="Fully Achieved">
      <formula>NOT(ISERROR(SEARCH("Fully Achieved",I43)))</formula>
    </cfRule>
    <cfRule type="containsText" dxfId="2851" priority="2951" operator="containsText" text="Deferred">
      <formula>NOT(ISERROR(SEARCH("Deferred",I43)))</formula>
    </cfRule>
    <cfRule type="containsText" dxfId="2850" priority="2952" operator="containsText" text="Deleted">
      <formula>NOT(ISERROR(SEARCH("Deleted",I43)))</formula>
    </cfRule>
    <cfRule type="containsText" dxfId="2849" priority="2953" operator="containsText" text="In Danger of Falling Behind Target">
      <formula>NOT(ISERROR(SEARCH("In Danger of Falling Behind Target",I43)))</formula>
    </cfRule>
    <cfRule type="containsText" dxfId="2848" priority="2954" operator="containsText" text="Not yet due">
      <formula>NOT(ISERROR(SEARCH("Not yet due",I43)))</formula>
    </cfRule>
    <cfRule type="containsText" dxfId="2847" priority="2955" operator="containsText" text="Update not Provided">
      <formula>NOT(ISERROR(SEARCH("Update not Provided",I43)))</formula>
    </cfRule>
  </conditionalFormatting>
  <conditionalFormatting sqref="I44:I50">
    <cfRule type="containsText" dxfId="2846" priority="2884" operator="containsText" text="On track to be achieved">
      <formula>NOT(ISERROR(SEARCH("On track to be achieved",I44)))</formula>
    </cfRule>
    <cfRule type="containsText" dxfId="2845" priority="2885" operator="containsText" text="Deferred">
      <formula>NOT(ISERROR(SEARCH("Deferred",I44)))</formula>
    </cfRule>
    <cfRule type="containsText" dxfId="2844" priority="2886" operator="containsText" text="Deleted">
      <formula>NOT(ISERROR(SEARCH("Deleted",I44)))</formula>
    </cfRule>
    <cfRule type="containsText" dxfId="2843" priority="2887" operator="containsText" text="In Danger of Falling Behind Target">
      <formula>NOT(ISERROR(SEARCH("In Danger of Falling Behind Target",I44)))</formula>
    </cfRule>
    <cfRule type="containsText" dxfId="2842" priority="2888" operator="containsText" text="Not yet due">
      <formula>NOT(ISERROR(SEARCH("Not yet due",I44)))</formula>
    </cfRule>
    <cfRule type="containsText" dxfId="2841" priority="2889" operator="containsText" text="Update not Provided">
      <formula>NOT(ISERROR(SEARCH("Update not Provided",I44)))</formula>
    </cfRule>
    <cfRule type="containsText" dxfId="2840" priority="2890" operator="containsText" text="Not yet due">
      <formula>NOT(ISERROR(SEARCH("Not yet due",I44)))</formula>
    </cfRule>
    <cfRule type="containsText" dxfId="2839" priority="2891" operator="containsText" text="Completed Behind Schedule">
      <formula>NOT(ISERROR(SEARCH("Completed Behind Schedule",I44)))</formula>
    </cfRule>
    <cfRule type="containsText" dxfId="2838" priority="2892" operator="containsText" text="Off Target">
      <formula>NOT(ISERROR(SEARCH("Off Target",I44)))</formula>
    </cfRule>
    <cfRule type="containsText" dxfId="2837" priority="2893" operator="containsText" text="On Track to be Achieved">
      <formula>NOT(ISERROR(SEARCH("On Track to be Achieved",I44)))</formula>
    </cfRule>
    <cfRule type="containsText" dxfId="2836" priority="2894" operator="containsText" text="Fully Achieved">
      <formula>NOT(ISERROR(SEARCH("Fully Achieved",I44)))</formula>
    </cfRule>
    <cfRule type="containsText" dxfId="2835" priority="2895" operator="containsText" text="Not yet due">
      <formula>NOT(ISERROR(SEARCH("Not yet due",I44)))</formula>
    </cfRule>
    <cfRule type="containsText" dxfId="2834" priority="2896" operator="containsText" text="Not Yet Due">
      <formula>NOT(ISERROR(SEARCH("Not Yet Due",I44)))</formula>
    </cfRule>
    <cfRule type="containsText" dxfId="2833" priority="2897" operator="containsText" text="Deferred">
      <formula>NOT(ISERROR(SEARCH("Deferred",I44)))</formula>
    </cfRule>
    <cfRule type="containsText" dxfId="2832" priority="2898" operator="containsText" text="Deleted">
      <formula>NOT(ISERROR(SEARCH("Deleted",I44)))</formula>
    </cfRule>
    <cfRule type="containsText" dxfId="2831" priority="2899" operator="containsText" text="In Danger of Falling Behind Target">
      <formula>NOT(ISERROR(SEARCH("In Danger of Falling Behind Target",I44)))</formula>
    </cfRule>
    <cfRule type="containsText" dxfId="2830" priority="2900" operator="containsText" text="Not yet due">
      <formula>NOT(ISERROR(SEARCH("Not yet due",I44)))</formula>
    </cfRule>
    <cfRule type="containsText" dxfId="2829" priority="2901" operator="containsText" text="Completed Behind Schedule">
      <formula>NOT(ISERROR(SEARCH("Completed Behind Schedule",I44)))</formula>
    </cfRule>
    <cfRule type="containsText" dxfId="2828" priority="2902" operator="containsText" text="Off Target">
      <formula>NOT(ISERROR(SEARCH("Off Target",I44)))</formula>
    </cfRule>
    <cfRule type="containsText" dxfId="2827" priority="2903" operator="containsText" text="In Danger of Falling Behind Target">
      <formula>NOT(ISERROR(SEARCH("In Danger of Falling Behind Target",I44)))</formula>
    </cfRule>
    <cfRule type="containsText" dxfId="2826" priority="2904" operator="containsText" text="On Track to be Achieved">
      <formula>NOT(ISERROR(SEARCH("On Track to be Achieved",I44)))</formula>
    </cfRule>
    <cfRule type="containsText" dxfId="2825" priority="2905" operator="containsText" text="Fully Achieved">
      <formula>NOT(ISERROR(SEARCH("Fully Achieved",I44)))</formula>
    </cfRule>
    <cfRule type="containsText" dxfId="2824" priority="2906" operator="containsText" text="Update not Provided">
      <formula>NOT(ISERROR(SEARCH("Update not Provided",I44)))</formula>
    </cfRule>
    <cfRule type="containsText" dxfId="2823" priority="2907" operator="containsText" text="Not yet due">
      <formula>NOT(ISERROR(SEARCH("Not yet due",I44)))</formula>
    </cfRule>
    <cfRule type="containsText" dxfId="2822" priority="2908" operator="containsText" text="Completed Behind Schedule">
      <formula>NOT(ISERROR(SEARCH("Completed Behind Schedule",I44)))</formula>
    </cfRule>
    <cfRule type="containsText" dxfId="2821" priority="2909" operator="containsText" text="Off Target">
      <formula>NOT(ISERROR(SEARCH("Off Target",I44)))</formula>
    </cfRule>
    <cfRule type="containsText" dxfId="2820" priority="2910" operator="containsText" text="In Danger of Falling Behind Target">
      <formula>NOT(ISERROR(SEARCH("In Danger of Falling Behind Target",I44)))</formula>
    </cfRule>
    <cfRule type="containsText" dxfId="2819" priority="2911" operator="containsText" text="On Track to be Achieved">
      <formula>NOT(ISERROR(SEARCH("On Track to be Achieved",I44)))</formula>
    </cfRule>
    <cfRule type="containsText" dxfId="2818" priority="2912" operator="containsText" text="Fully Achieved">
      <formula>NOT(ISERROR(SEARCH("Fully Achieved",I44)))</formula>
    </cfRule>
    <cfRule type="containsText" dxfId="2817" priority="2913" operator="containsText" text="Fully Achieved">
      <formula>NOT(ISERROR(SEARCH("Fully Achieved",I44)))</formula>
    </cfRule>
    <cfRule type="containsText" dxfId="2816" priority="2914" operator="containsText" text="Fully Achieved">
      <formula>NOT(ISERROR(SEARCH("Fully Achieved",I44)))</formula>
    </cfRule>
    <cfRule type="containsText" dxfId="2815" priority="2915" operator="containsText" text="Deferred">
      <formula>NOT(ISERROR(SEARCH("Deferred",I44)))</formula>
    </cfRule>
    <cfRule type="containsText" dxfId="2814" priority="2916" operator="containsText" text="Deleted">
      <formula>NOT(ISERROR(SEARCH("Deleted",I44)))</formula>
    </cfRule>
    <cfRule type="containsText" dxfId="2813" priority="2917" operator="containsText" text="In Danger of Falling Behind Target">
      <formula>NOT(ISERROR(SEARCH("In Danger of Falling Behind Target",I44)))</formula>
    </cfRule>
    <cfRule type="containsText" dxfId="2812" priority="2918" operator="containsText" text="Not yet due">
      <formula>NOT(ISERROR(SEARCH("Not yet due",I44)))</formula>
    </cfRule>
    <cfRule type="containsText" dxfId="2811" priority="2919" operator="containsText" text="Update not Provided">
      <formula>NOT(ISERROR(SEARCH("Update not Provided",I44)))</formula>
    </cfRule>
  </conditionalFormatting>
  <conditionalFormatting sqref="I51">
    <cfRule type="containsText" dxfId="2810" priority="2848" operator="containsText" text="On track to be achieved">
      <formula>NOT(ISERROR(SEARCH("On track to be achieved",I51)))</formula>
    </cfRule>
    <cfRule type="containsText" dxfId="2809" priority="2849" operator="containsText" text="Deferred">
      <formula>NOT(ISERROR(SEARCH("Deferred",I51)))</formula>
    </cfRule>
    <cfRule type="containsText" dxfId="2808" priority="2850" operator="containsText" text="Deleted">
      <formula>NOT(ISERROR(SEARCH("Deleted",I51)))</formula>
    </cfRule>
    <cfRule type="containsText" dxfId="2807" priority="2851" operator="containsText" text="In Danger of Falling Behind Target">
      <formula>NOT(ISERROR(SEARCH("In Danger of Falling Behind Target",I51)))</formula>
    </cfRule>
    <cfRule type="containsText" dxfId="2806" priority="2852" operator="containsText" text="Not yet due">
      <formula>NOT(ISERROR(SEARCH("Not yet due",I51)))</formula>
    </cfRule>
    <cfRule type="containsText" dxfId="2805" priority="2853" operator="containsText" text="Update not Provided">
      <formula>NOT(ISERROR(SEARCH("Update not Provided",I51)))</formula>
    </cfRule>
    <cfRule type="containsText" dxfId="2804" priority="2854" operator="containsText" text="Not yet due">
      <formula>NOT(ISERROR(SEARCH("Not yet due",I51)))</formula>
    </cfRule>
    <cfRule type="containsText" dxfId="2803" priority="2855" operator="containsText" text="Completed Behind Schedule">
      <formula>NOT(ISERROR(SEARCH("Completed Behind Schedule",I51)))</formula>
    </cfRule>
    <cfRule type="containsText" dxfId="2802" priority="2856" operator="containsText" text="Off Target">
      <formula>NOT(ISERROR(SEARCH("Off Target",I51)))</formula>
    </cfRule>
    <cfRule type="containsText" dxfId="2801" priority="2857" operator="containsText" text="On Track to be Achieved">
      <formula>NOT(ISERROR(SEARCH("On Track to be Achieved",I51)))</formula>
    </cfRule>
    <cfRule type="containsText" dxfId="2800" priority="2858" operator="containsText" text="Fully Achieved">
      <formula>NOT(ISERROR(SEARCH("Fully Achieved",I51)))</formula>
    </cfRule>
    <cfRule type="containsText" dxfId="2799" priority="2859" operator="containsText" text="Not yet due">
      <formula>NOT(ISERROR(SEARCH("Not yet due",I51)))</formula>
    </cfRule>
    <cfRule type="containsText" dxfId="2798" priority="2860" operator="containsText" text="Not Yet Due">
      <formula>NOT(ISERROR(SEARCH("Not Yet Due",I51)))</formula>
    </cfRule>
    <cfRule type="containsText" dxfId="2797" priority="2861" operator="containsText" text="Deferred">
      <formula>NOT(ISERROR(SEARCH("Deferred",I51)))</formula>
    </cfRule>
    <cfRule type="containsText" dxfId="2796" priority="2862" operator="containsText" text="Deleted">
      <formula>NOT(ISERROR(SEARCH("Deleted",I51)))</formula>
    </cfRule>
    <cfRule type="containsText" dxfId="2795" priority="2863" operator="containsText" text="In Danger of Falling Behind Target">
      <formula>NOT(ISERROR(SEARCH("In Danger of Falling Behind Target",I51)))</formula>
    </cfRule>
    <cfRule type="containsText" dxfId="2794" priority="2864" operator="containsText" text="Not yet due">
      <formula>NOT(ISERROR(SEARCH("Not yet due",I51)))</formula>
    </cfRule>
    <cfRule type="containsText" dxfId="2793" priority="2865" operator="containsText" text="Completed Behind Schedule">
      <formula>NOT(ISERROR(SEARCH("Completed Behind Schedule",I51)))</formula>
    </cfRule>
    <cfRule type="containsText" dxfId="2792" priority="2866" operator="containsText" text="Off Target">
      <formula>NOT(ISERROR(SEARCH("Off Target",I51)))</formula>
    </cfRule>
    <cfRule type="containsText" dxfId="2791" priority="2867" operator="containsText" text="In Danger of Falling Behind Target">
      <formula>NOT(ISERROR(SEARCH("In Danger of Falling Behind Target",I51)))</formula>
    </cfRule>
    <cfRule type="containsText" dxfId="2790" priority="2868" operator="containsText" text="On Track to be Achieved">
      <formula>NOT(ISERROR(SEARCH("On Track to be Achieved",I51)))</formula>
    </cfRule>
    <cfRule type="containsText" dxfId="2789" priority="2869" operator="containsText" text="Fully Achieved">
      <formula>NOT(ISERROR(SEARCH("Fully Achieved",I51)))</formula>
    </cfRule>
    <cfRule type="containsText" dxfId="2788" priority="2870" operator="containsText" text="Update not Provided">
      <formula>NOT(ISERROR(SEARCH("Update not Provided",I51)))</formula>
    </cfRule>
    <cfRule type="containsText" dxfId="2787" priority="2871" operator="containsText" text="Not yet due">
      <formula>NOT(ISERROR(SEARCH("Not yet due",I51)))</formula>
    </cfRule>
    <cfRule type="containsText" dxfId="2786" priority="2872" operator="containsText" text="Completed Behind Schedule">
      <formula>NOT(ISERROR(SEARCH("Completed Behind Schedule",I51)))</formula>
    </cfRule>
    <cfRule type="containsText" dxfId="2785" priority="2873" operator="containsText" text="Off Target">
      <formula>NOT(ISERROR(SEARCH("Off Target",I51)))</formula>
    </cfRule>
    <cfRule type="containsText" dxfId="2784" priority="2874" operator="containsText" text="In Danger of Falling Behind Target">
      <formula>NOT(ISERROR(SEARCH("In Danger of Falling Behind Target",I51)))</formula>
    </cfRule>
    <cfRule type="containsText" dxfId="2783" priority="2875" operator="containsText" text="On Track to be Achieved">
      <formula>NOT(ISERROR(SEARCH("On Track to be Achieved",I51)))</formula>
    </cfRule>
    <cfRule type="containsText" dxfId="2782" priority="2876" operator="containsText" text="Fully Achieved">
      <formula>NOT(ISERROR(SEARCH("Fully Achieved",I51)))</formula>
    </cfRule>
    <cfRule type="containsText" dxfId="2781" priority="2877" operator="containsText" text="Fully Achieved">
      <formula>NOT(ISERROR(SEARCH("Fully Achieved",I51)))</formula>
    </cfRule>
    <cfRule type="containsText" dxfId="2780" priority="2878" operator="containsText" text="Fully Achieved">
      <formula>NOT(ISERROR(SEARCH("Fully Achieved",I51)))</formula>
    </cfRule>
    <cfRule type="containsText" dxfId="2779" priority="2879" operator="containsText" text="Deferred">
      <formula>NOT(ISERROR(SEARCH("Deferred",I51)))</formula>
    </cfRule>
    <cfRule type="containsText" dxfId="2778" priority="2880" operator="containsText" text="Deleted">
      <formula>NOT(ISERROR(SEARCH("Deleted",I51)))</formula>
    </cfRule>
    <cfRule type="containsText" dxfId="2777" priority="2881" operator="containsText" text="In Danger of Falling Behind Target">
      <formula>NOT(ISERROR(SEARCH("In Danger of Falling Behind Target",I51)))</formula>
    </cfRule>
    <cfRule type="containsText" dxfId="2776" priority="2882" operator="containsText" text="Not yet due">
      <formula>NOT(ISERROR(SEARCH("Not yet due",I51)))</formula>
    </cfRule>
    <cfRule type="containsText" dxfId="2775" priority="2883" operator="containsText" text="Update not Provided">
      <formula>NOT(ISERROR(SEARCH("Update not Provided",I51)))</formula>
    </cfRule>
  </conditionalFormatting>
  <conditionalFormatting sqref="I51">
    <cfRule type="containsText" dxfId="2774" priority="2812" operator="containsText" text="On track to be achieved">
      <formula>NOT(ISERROR(SEARCH("On track to be achieved",I51)))</formula>
    </cfRule>
    <cfRule type="containsText" dxfId="2773" priority="2813" operator="containsText" text="Deferred">
      <formula>NOT(ISERROR(SEARCH("Deferred",I51)))</formula>
    </cfRule>
    <cfRule type="containsText" dxfId="2772" priority="2814" operator="containsText" text="Deleted">
      <formula>NOT(ISERROR(SEARCH("Deleted",I51)))</formula>
    </cfRule>
    <cfRule type="containsText" dxfId="2771" priority="2815" operator="containsText" text="In Danger of Falling Behind Target">
      <formula>NOT(ISERROR(SEARCH("In Danger of Falling Behind Target",I51)))</formula>
    </cfRule>
    <cfRule type="containsText" dxfId="2770" priority="2816" operator="containsText" text="Not yet due">
      <formula>NOT(ISERROR(SEARCH("Not yet due",I51)))</formula>
    </cfRule>
    <cfRule type="containsText" dxfId="2769" priority="2817" operator="containsText" text="Update not Provided">
      <formula>NOT(ISERROR(SEARCH("Update not Provided",I51)))</formula>
    </cfRule>
    <cfRule type="containsText" dxfId="2768" priority="2818" operator="containsText" text="Not yet due">
      <formula>NOT(ISERROR(SEARCH("Not yet due",I51)))</formula>
    </cfRule>
    <cfRule type="containsText" dxfId="2767" priority="2819" operator="containsText" text="Completed Behind Schedule">
      <formula>NOT(ISERROR(SEARCH("Completed Behind Schedule",I51)))</formula>
    </cfRule>
    <cfRule type="containsText" dxfId="2766" priority="2820" operator="containsText" text="Off Target">
      <formula>NOT(ISERROR(SEARCH("Off Target",I51)))</formula>
    </cfRule>
    <cfRule type="containsText" dxfId="2765" priority="2821" operator="containsText" text="On Track to be Achieved">
      <formula>NOT(ISERROR(SEARCH("On Track to be Achieved",I51)))</formula>
    </cfRule>
    <cfRule type="containsText" dxfId="2764" priority="2822" operator="containsText" text="Fully Achieved">
      <formula>NOT(ISERROR(SEARCH("Fully Achieved",I51)))</formula>
    </cfRule>
    <cfRule type="containsText" dxfId="2763" priority="2823" operator="containsText" text="Not yet due">
      <formula>NOT(ISERROR(SEARCH("Not yet due",I51)))</formula>
    </cfRule>
    <cfRule type="containsText" dxfId="2762" priority="2824" operator="containsText" text="Not Yet Due">
      <formula>NOT(ISERROR(SEARCH("Not Yet Due",I51)))</formula>
    </cfRule>
    <cfRule type="containsText" dxfId="2761" priority="2825" operator="containsText" text="Deferred">
      <formula>NOT(ISERROR(SEARCH("Deferred",I51)))</formula>
    </cfRule>
    <cfRule type="containsText" dxfId="2760" priority="2826" operator="containsText" text="Deleted">
      <formula>NOT(ISERROR(SEARCH("Deleted",I51)))</formula>
    </cfRule>
    <cfRule type="containsText" dxfId="2759" priority="2827" operator="containsText" text="In Danger of Falling Behind Target">
      <formula>NOT(ISERROR(SEARCH("In Danger of Falling Behind Target",I51)))</formula>
    </cfRule>
    <cfRule type="containsText" dxfId="2758" priority="2828" operator="containsText" text="Not yet due">
      <formula>NOT(ISERROR(SEARCH("Not yet due",I51)))</formula>
    </cfRule>
    <cfRule type="containsText" dxfId="2757" priority="2829" operator="containsText" text="Completed Behind Schedule">
      <formula>NOT(ISERROR(SEARCH("Completed Behind Schedule",I51)))</formula>
    </cfRule>
    <cfRule type="containsText" dxfId="2756" priority="2830" operator="containsText" text="Off Target">
      <formula>NOT(ISERROR(SEARCH("Off Target",I51)))</formula>
    </cfRule>
    <cfRule type="containsText" dxfId="2755" priority="2831" operator="containsText" text="In Danger of Falling Behind Target">
      <formula>NOT(ISERROR(SEARCH("In Danger of Falling Behind Target",I51)))</formula>
    </cfRule>
    <cfRule type="containsText" dxfId="2754" priority="2832" operator="containsText" text="On Track to be Achieved">
      <formula>NOT(ISERROR(SEARCH("On Track to be Achieved",I51)))</formula>
    </cfRule>
    <cfRule type="containsText" dxfId="2753" priority="2833" operator="containsText" text="Fully Achieved">
      <formula>NOT(ISERROR(SEARCH("Fully Achieved",I51)))</formula>
    </cfRule>
    <cfRule type="containsText" dxfId="2752" priority="2834" operator="containsText" text="Update not Provided">
      <formula>NOT(ISERROR(SEARCH("Update not Provided",I51)))</formula>
    </cfRule>
    <cfRule type="containsText" dxfId="2751" priority="2835" operator="containsText" text="Not yet due">
      <formula>NOT(ISERROR(SEARCH("Not yet due",I51)))</formula>
    </cfRule>
    <cfRule type="containsText" dxfId="2750" priority="2836" operator="containsText" text="Completed Behind Schedule">
      <formula>NOT(ISERROR(SEARCH("Completed Behind Schedule",I51)))</formula>
    </cfRule>
    <cfRule type="containsText" dxfId="2749" priority="2837" operator="containsText" text="Off Target">
      <formula>NOT(ISERROR(SEARCH("Off Target",I51)))</formula>
    </cfRule>
    <cfRule type="containsText" dxfId="2748" priority="2838" operator="containsText" text="In Danger of Falling Behind Target">
      <formula>NOT(ISERROR(SEARCH("In Danger of Falling Behind Target",I51)))</formula>
    </cfRule>
    <cfRule type="containsText" dxfId="2747" priority="2839" operator="containsText" text="On Track to be Achieved">
      <formula>NOT(ISERROR(SEARCH("On Track to be Achieved",I51)))</formula>
    </cfRule>
    <cfRule type="containsText" dxfId="2746" priority="2840" operator="containsText" text="Fully Achieved">
      <formula>NOT(ISERROR(SEARCH("Fully Achieved",I51)))</formula>
    </cfRule>
    <cfRule type="containsText" dxfId="2745" priority="2841" operator="containsText" text="Fully Achieved">
      <formula>NOT(ISERROR(SEARCH("Fully Achieved",I51)))</formula>
    </cfRule>
    <cfRule type="containsText" dxfId="2744" priority="2842" operator="containsText" text="Fully Achieved">
      <formula>NOT(ISERROR(SEARCH("Fully Achieved",I51)))</formula>
    </cfRule>
    <cfRule type="containsText" dxfId="2743" priority="2843" operator="containsText" text="Deferred">
      <formula>NOT(ISERROR(SEARCH("Deferred",I51)))</formula>
    </cfRule>
    <cfRule type="containsText" dxfId="2742" priority="2844" operator="containsText" text="Deleted">
      <formula>NOT(ISERROR(SEARCH("Deleted",I51)))</formula>
    </cfRule>
    <cfRule type="containsText" dxfId="2741" priority="2845" operator="containsText" text="In Danger of Falling Behind Target">
      <formula>NOT(ISERROR(SEARCH("In Danger of Falling Behind Target",I51)))</formula>
    </cfRule>
    <cfRule type="containsText" dxfId="2740" priority="2846" operator="containsText" text="Not yet due">
      <formula>NOT(ISERROR(SEARCH("Not yet due",I51)))</formula>
    </cfRule>
    <cfRule type="containsText" dxfId="2739" priority="2847" operator="containsText" text="Update not Provided">
      <formula>NOT(ISERROR(SEARCH("Update not Provided",I51)))</formula>
    </cfRule>
  </conditionalFormatting>
  <conditionalFormatting sqref="I51">
    <cfRule type="containsText" dxfId="2738" priority="2776" operator="containsText" text="On track to be achieved">
      <formula>NOT(ISERROR(SEARCH("On track to be achieved",I51)))</formula>
    </cfRule>
    <cfRule type="containsText" dxfId="2737" priority="2777" operator="containsText" text="Deferred">
      <formula>NOT(ISERROR(SEARCH("Deferred",I51)))</formula>
    </cfRule>
    <cfRule type="containsText" dxfId="2736" priority="2778" operator="containsText" text="Deleted">
      <formula>NOT(ISERROR(SEARCH("Deleted",I51)))</formula>
    </cfRule>
    <cfRule type="containsText" dxfId="2735" priority="2779" operator="containsText" text="In Danger of Falling Behind Target">
      <formula>NOT(ISERROR(SEARCH("In Danger of Falling Behind Target",I51)))</formula>
    </cfRule>
    <cfRule type="containsText" dxfId="2734" priority="2780" operator="containsText" text="Not yet due">
      <formula>NOT(ISERROR(SEARCH("Not yet due",I51)))</formula>
    </cfRule>
    <cfRule type="containsText" dxfId="2733" priority="2781" operator="containsText" text="Update not Provided">
      <formula>NOT(ISERROR(SEARCH("Update not Provided",I51)))</formula>
    </cfRule>
    <cfRule type="containsText" dxfId="2732" priority="2782" operator="containsText" text="Not yet due">
      <formula>NOT(ISERROR(SEARCH("Not yet due",I51)))</formula>
    </cfRule>
    <cfRule type="containsText" dxfId="2731" priority="2783" operator="containsText" text="Completed Behind Schedule">
      <formula>NOT(ISERROR(SEARCH("Completed Behind Schedule",I51)))</formula>
    </cfRule>
    <cfRule type="containsText" dxfId="2730" priority="2784" operator="containsText" text="Off Target">
      <formula>NOT(ISERROR(SEARCH("Off Target",I51)))</formula>
    </cfRule>
    <cfRule type="containsText" dxfId="2729" priority="2785" operator="containsText" text="On Track to be Achieved">
      <formula>NOT(ISERROR(SEARCH("On Track to be Achieved",I51)))</formula>
    </cfRule>
    <cfRule type="containsText" dxfId="2728" priority="2786" operator="containsText" text="Fully Achieved">
      <formula>NOT(ISERROR(SEARCH("Fully Achieved",I51)))</formula>
    </cfRule>
    <cfRule type="containsText" dxfId="2727" priority="2787" operator="containsText" text="Not yet due">
      <formula>NOT(ISERROR(SEARCH("Not yet due",I51)))</formula>
    </cfRule>
    <cfRule type="containsText" dxfId="2726" priority="2788" operator="containsText" text="Not Yet Due">
      <formula>NOT(ISERROR(SEARCH("Not Yet Due",I51)))</formula>
    </cfRule>
    <cfRule type="containsText" dxfId="2725" priority="2789" operator="containsText" text="Deferred">
      <formula>NOT(ISERROR(SEARCH("Deferred",I51)))</formula>
    </cfRule>
    <cfRule type="containsText" dxfId="2724" priority="2790" operator="containsText" text="Deleted">
      <formula>NOT(ISERROR(SEARCH("Deleted",I51)))</formula>
    </cfRule>
    <cfRule type="containsText" dxfId="2723" priority="2791" operator="containsText" text="In Danger of Falling Behind Target">
      <formula>NOT(ISERROR(SEARCH("In Danger of Falling Behind Target",I51)))</formula>
    </cfRule>
    <cfRule type="containsText" dxfId="2722" priority="2792" operator="containsText" text="Not yet due">
      <formula>NOT(ISERROR(SEARCH("Not yet due",I51)))</formula>
    </cfRule>
    <cfRule type="containsText" dxfId="2721" priority="2793" operator="containsText" text="Completed Behind Schedule">
      <formula>NOT(ISERROR(SEARCH("Completed Behind Schedule",I51)))</formula>
    </cfRule>
    <cfRule type="containsText" dxfId="2720" priority="2794" operator="containsText" text="Off Target">
      <formula>NOT(ISERROR(SEARCH("Off Target",I51)))</formula>
    </cfRule>
    <cfRule type="containsText" dxfId="2719" priority="2795" operator="containsText" text="In Danger of Falling Behind Target">
      <formula>NOT(ISERROR(SEARCH("In Danger of Falling Behind Target",I51)))</formula>
    </cfRule>
    <cfRule type="containsText" dxfId="2718" priority="2796" operator="containsText" text="On Track to be Achieved">
      <formula>NOT(ISERROR(SEARCH("On Track to be Achieved",I51)))</formula>
    </cfRule>
    <cfRule type="containsText" dxfId="2717" priority="2797" operator="containsText" text="Fully Achieved">
      <formula>NOT(ISERROR(SEARCH("Fully Achieved",I51)))</formula>
    </cfRule>
    <cfRule type="containsText" dxfId="2716" priority="2798" operator="containsText" text="Update not Provided">
      <formula>NOT(ISERROR(SEARCH("Update not Provided",I51)))</formula>
    </cfRule>
    <cfRule type="containsText" dxfId="2715" priority="2799" operator="containsText" text="Not yet due">
      <formula>NOT(ISERROR(SEARCH("Not yet due",I51)))</formula>
    </cfRule>
    <cfRule type="containsText" dxfId="2714" priority="2800" operator="containsText" text="Completed Behind Schedule">
      <formula>NOT(ISERROR(SEARCH("Completed Behind Schedule",I51)))</formula>
    </cfRule>
    <cfRule type="containsText" dxfId="2713" priority="2801" operator="containsText" text="Off Target">
      <formula>NOT(ISERROR(SEARCH("Off Target",I51)))</formula>
    </cfRule>
    <cfRule type="containsText" dxfId="2712" priority="2802" operator="containsText" text="In Danger of Falling Behind Target">
      <formula>NOT(ISERROR(SEARCH("In Danger of Falling Behind Target",I51)))</formula>
    </cfRule>
    <cfRule type="containsText" dxfId="2711" priority="2803" operator="containsText" text="On Track to be Achieved">
      <formula>NOT(ISERROR(SEARCH("On Track to be Achieved",I51)))</formula>
    </cfRule>
    <cfRule type="containsText" dxfId="2710" priority="2804" operator="containsText" text="Fully Achieved">
      <formula>NOT(ISERROR(SEARCH("Fully Achieved",I51)))</formula>
    </cfRule>
    <cfRule type="containsText" dxfId="2709" priority="2805" operator="containsText" text="Fully Achieved">
      <formula>NOT(ISERROR(SEARCH("Fully Achieved",I51)))</formula>
    </cfRule>
    <cfRule type="containsText" dxfId="2708" priority="2806" operator="containsText" text="Fully Achieved">
      <formula>NOT(ISERROR(SEARCH("Fully Achieved",I51)))</formula>
    </cfRule>
    <cfRule type="containsText" dxfId="2707" priority="2807" operator="containsText" text="Deferred">
      <formula>NOT(ISERROR(SEARCH("Deferred",I51)))</formula>
    </cfRule>
    <cfRule type="containsText" dxfId="2706" priority="2808" operator="containsText" text="Deleted">
      <formula>NOT(ISERROR(SEARCH("Deleted",I51)))</formula>
    </cfRule>
    <cfRule type="containsText" dxfId="2705" priority="2809" operator="containsText" text="In Danger of Falling Behind Target">
      <formula>NOT(ISERROR(SEARCH("In Danger of Falling Behind Target",I51)))</formula>
    </cfRule>
    <cfRule type="containsText" dxfId="2704" priority="2810" operator="containsText" text="Not yet due">
      <formula>NOT(ISERROR(SEARCH("Not yet due",I51)))</formula>
    </cfRule>
    <cfRule type="containsText" dxfId="2703" priority="2811" operator="containsText" text="Update not Provided">
      <formula>NOT(ISERROR(SEARCH("Update not Provided",I51)))</formula>
    </cfRule>
  </conditionalFormatting>
  <conditionalFormatting sqref="I52:I61">
    <cfRule type="containsText" dxfId="2702" priority="2740" operator="containsText" text="On track to be achieved">
      <formula>NOT(ISERROR(SEARCH("On track to be achieved",I52)))</formula>
    </cfRule>
    <cfRule type="containsText" dxfId="2701" priority="2741" operator="containsText" text="Deferred">
      <formula>NOT(ISERROR(SEARCH("Deferred",I52)))</formula>
    </cfRule>
    <cfRule type="containsText" dxfId="2700" priority="2742" operator="containsText" text="Deleted">
      <formula>NOT(ISERROR(SEARCH("Deleted",I52)))</formula>
    </cfRule>
    <cfRule type="containsText" dxfId="2699" priority="2743" operator="containsText" text="In Danger of Falling Behind Target">
      <formula>NOT(ISERROR(SEARCH("In Danger of Falling Behind Target",I52)))</formula>
    </cfRule>
    <cfRule type="containsText" dxfId="2698" priority="2744" operator="containsText" text="Not yet due">
      <formula>NOT(ISERROR(SEARCH("Not yet due",I52)))</formula>
    </cfRule>
    <cfRule type="containsText" dxfId="2697" priority="2745" operator="containsText" text="Update not Provided">
      <formula>NOT(ISERROR(SEARCH("Update not Provided",I52)))</formula>
    </cfRule>
    <cfRule type="containsText" dxfId="2696" priority="2746" operator="containsText" text="Not yet due">
      <formula>NOT(ISERROR(SEARCH("Not yet due",I52)))</formula>
    </cfRule>
    <cfRule type="containsText" dxfId="2695" priority="2747" operator="containsText" text="Completed Behind Schedule">
      <formula>NOT(ISERROR(SEARCH("Completed Behind Schedule",I52)))</formula>
    </cfRule>
    <cfRule type="containsText" dxfId="2694" priority="2748" operator="containsText" text="Off Target">
      <formula>NOT(ISERROR(SEARCH("Off Target",I52)))</formula>
    </cfRule>
    <cfRule type="containsText" dxfId="2693" priority="2749" operator="containsText" text="On Track to be Achieved">
      <formula>NOT(ISERROR(SEARCH("On Track to be Achieved",I52)))</formula>
    </cfRule>
    <cfRule type="containsText" dxfId="2692" priority="2750" operator="containsText" text="Fully Achieved">
      <formula>NOT(ISERROR(SEARCH("Fully Achieved",I52)))</formula>
    </cfRule>
    <cfRule type="containsText" dxfId="2691" priority="2751" operator="containsText" text="Not yet due">
      <formula>NOT(ISERROR(SEARCH("Not yet due",I52)))</formula>
    </cfRule>
    <cfRule type="containsText" dxfId="2690" priority="2752" operator="containsText" text="Not Yet Due">
      <formula>NOT(ISERROR(SEARCH("Not Yet Due",I52)))</formula>
    </cfRule>
    <cfRule type="containsText" dxfId="2689" priority="2753" operator="containsText" text="Deferred">
      <formula>NOT(ISERROR(SEARCH("Deferred",I52)))</formula>
    </cfRule>
    <cfRule type="containsText" dxfId="2688" priority="2754" operator="containsText" text="Deleted">
      <formula>NOT(ISERROR(SEARCH("Deleted",I52)))</formula>
    </cfRule>
    <cfRule type="containsText" dxfId="2687" priority="2755" operator="containsText" text="In Danger of Falling Behind Target">
      <formula>NOT(ISERROR(SEARCH("In Danger of Falling Behind Target",I52)))</formula>
    </cfRule>
    <cfRule type="containsText" dxfId="2686" priority="2756" operator="containsText" text="Not yet due">
      <formula>NOT(ISERROR(SEARCH("Not yet due",I52)))</formula>
    </cfRule>
    <cfRule type="containsText" dxfId="2685" priority="2757" operator="containsText" text="Completed Behind Schedule">
      <formula>NOT(ISERROR(SEARCH("Completed Behind Schedule",I52)))</formula>
    </cfRule>
    <cfRule type="containsText" dxfId="2684" priority="2758" operator="containsText" text="Off Target">
      <formula>NOT(ISERROR(SEARCH("Off Target",I52)))</formula>
    </cfRule>
    <cfRule type="containsText" dxfId="2683" priority="2759" operator="containsText" text="In Danger of Falling Behind Target">
      <formula>NOT(ISERROR(SEARCH("In Danger of Falling Behind Target",I52)))</formula>
    </cfRule>
    <cfRule type="containsText" dxfId="2682" priority="2760" operator="containsText" text="On Track to be Achieved">
      <formula>NOT(ISERROR(SEARCH("On Track to be Achieved",I52)))</formula>
    </cfRule>
    <cfRule type="containsText" dxfId="2681" priority="2761" operator="containsText" text="Fully Achieved">
      <formula>NOT(ISERROR(SEARCH("Fully Achieved",I52)))</formula>
    </cfRule>
    <cfRule type="containsText" dxfId="2680" priority="2762" operator="containsText" text="Update not Provided">
      <formula>NOT(ISERROR(SEARCH("Update not Provided",I52)))</formula>
    </cfRule>
    <cfRule type="containsText" dxfId="2679" priority="2763" operator="containsText" text="Not yet due">
      <formula>NOT(ISERROR(SEARCH("Not yet due",I52)))</formula>
    </cfRule>
    <cfRule type="containsText" dxfId="2678" priority="2764" operator="containsText" text="Completed Behind Schedule">
      <formula>NOT(ISERROR(SEARCH("Completed Behind Schedule",I52)))</formula>
    </cfRule>
    <cfRule type="containsText" dxfId="2677" priority="2765" operator="containsText" text="Off Target">
      <formula>NOT(ISERROR(SEARCH("Off Target",I52)))</formula>
    </cfRule>
    <cfRule type="containsText" dxfId="2676" priority="2766" operator="containsText" text="In Danger of Falling Behind Target">
      <formula>NOT(ISERROR(SEARCH("In Danger of Falling Behind Target",I52)))</formula>
    </cfRule>
    <cfRule type="containsText" dxfId="2675" priority="2767" operator="containsText" text="On Track to be Achieved">
      <formula>NOT(ISERROR(SEARCH("On Track to be Achieved",I52)))</formula>
    </cfRule>
    <cfRule type="containsText" dxfId="2674" priority="2768" operator="containsText" text="Fully Achieved">
      <formula>NOT(ISERROR(SEARCH("Fully Achieved",I52)))</formula>
    </cfRule>
    <cfRule type="containsText" dxfId="2673" priority="2769" operator="containsText" text="Fully Achieved">
      <formula>NOT(ISERROR(SEARCH("Fully Achieved",I52)))</formula>
    </cfRule>
    <cfRule type="containsText" dxfId="2672" priority="2770" operator="containsText" text="Fully Achieved">
      <formula>NOT(ISERROR(SEARCH("Fully Achieved",I52)))</formula>
    </cfRule>
    <cfRule type="containsText" dxfId="2671" priority="2771" operator="containsText" text="Deferred">
      <formula>NOT(ISERROR(SEARCH("Deferred",I52)))</formula>
    </cfRule>
    <cfRule type="containsText" dxfId="2670" priority="2772" operator="containsText" text="Deleted">
      <formula>NOT(ISERROR(SEARCH("Deleted",I52)))</formula>
    </cfRule>
    <cfRule type="containsText" dxfId="2669" priority="2773" operator="containsText" text="In Danger of Falling Behind Target">
      <formula>NOT(ISERROR(SEARCH("In Danger of Falling Behind Target",I52)))</formula>
    </cfRule>
    <cfRule type="containsText" dxfId="2668" priority="2774" operator="containsText" text="Not yet due">
      <formula>NOT(ISERROR(SEARCH("Not yet due",I52)))</formula>
    </cfRule>
    <cfRule type="containsText" dxfId="2667" priority="2775" operator="containsText" text="Update not Provided">
      <formula>NOT(ISERROR(SEARCH("Update not Provided",I52)))</formula>
    </cfRule>
  </conditionalFormatting>
  <conditionalFormatting sqref="I64:I70">
    <cfRule type="containsText" dxfId="2666" priority="2704" operator="containsText" text="On track to be achieved">
      <formula>NOT(ISERROR(SEARCH("On track to be achieved",I64)))</formula>
    </cfRule>
    <cfRule type="containsText" dxfId="2665" priority="2705" operator="containsText" text="Deferred">
      <formula>NOT(ISERROR(SEARCH("Deferred",I64)))</formula>
    </cfRule>
    <cfRule type="containsText" dxfId="2664" priority="2706" operator="containsText" text="Deleted">
      <formula>NOT(ISERROR(SEARCH("Deleted",I64)))</formula>
    </cfRule>
    <cfRule type="containsText" dxfId="2663" priority="2707" operator="containsText" text="In Danger of Falling Behind Target">
      <formula>NOT(ISERROR(SEARCH("In Danger of Falling Behind Target",I64)))</formula>
    </cfRule>
    <cfRule type="containsText" dxfId="2662" priority="2708" operator="containsText" text="Not yet due">
      <formula>NOT(ISERROR(SEARCH("Not yet due",I64)))</formula>
    </cfRule>
    <cfRule type="containsText" dxfId="2661" priority="2709" operator="containsText" text="Update not Provided">
      <formula>NOT(ISERROR(SEARCH("Update not Provided",I64)))</formula>
    </cfRule>
    <cfRule type="containsText" dxfId="2660" priority="2710" operator="containsText" text="Not yet due">
      <formula>NOT(ISERROR(SEARCH("Not yet due",I64)))</formula>
    </cfRule>
    <cfRule type="containsText" dxfId="2659" priority="2711" operator="containsText" text="Completed Behind Schedule">
      <formula>NOT(ISERROR(SEARCH("Completed Behind Schedule",I64)))</formula>
    </cfRule>
    <cfRule type="containsText" dxfId="2658" priority="2712" operator="containsText" text="Off Target">
      <formula>NOT(ISERROR(SEARCH("Off Target",I64)))</formula>
    </cfRule>
    <cfRule type="containsText" dxfId="2657" priority="2713" operator="containsText" text="On Track to be Achieved">
      <formula>NOT(ISERROR(SEARCH("On Track to be Achieved",I64)))</formula>
    </cfRule>
    <cfRule type="containsText" dxfId="2656" priority="2714" operator="containsText" text="Fully Achieved">
      <formula>NOT(ISERROR(SEARCH("Fully Achieved",I64)))</formula>
    </cfRule>
    <cfRule type="containsText" dxfId="2655" priority="2715" operator="containsText" text="Not yet due">
      <formula>NOT(ISERROR(SEARCH("Not yet due",I64)))</formula>
    </cfRule>
    <cfRule type="containsText" dxfId="2654" priority="2716" operator="containsText" text="Not Yet Due">
      <formula>NOT(ISERROR(SEARCH("Not Yet Due",I64)))</formula>
    </cfRule>
    <cfRule type="containsText" dxfId="2653" priority="2717" operator="containsText" text="Deferred">
      <formula>NOT(ISERROR(SEARCH("Deferred",I64)))</formula>
    </cfRule>
    <cfRule type="containsText" dxfId="2652" priority="2718" operator="containsText" text="Deleted">
      <formula>NOT(ISERROR(SEARCH("Deleted",I64)))</formula>
    </cfRule>
    <cfRule type="containsText" dxfId="2651" priority="2719" operator="containsText" text="In Danger of Falling Behind Target">
      <formula>NOT(ISERROR(SEARCH("In Danger of Falling Behind Target",I64)))</formula>
    </cfRule>
    <cfRule type="containsText" dxfId="2650" priority="2720" operator="containsText" text="Not yet due">
      <formula>NOT(ISERROR(SEARCH("Not yet due",I64)))</formula>
    </cfRule>
    <cfRule type="containsText" dxfId="2649" priority="2721" operator="containsText" text="Completed Behind Schedule">
      <formula>NOT(ISERROR(SEARCH("Completed Behind Schedule",I64)))</formula>
    </cfRule>
    <cfRule type="containsText" dxfId="2648" priority="2722" operator="containsText" text="Off Target">
      <formula>NOT(ISERROR(SEARCH("Off Target",I64)))</formula>
    </cfRule>
    <cfRule type="containsText" dxfId="2647" priority="2723" operator="containsText" text="In Danger of Falling Behind Target">
      <formula>NOT(ISERROR(SEARCH("In Danger of Falling Behind Target",I64)))</formula>
    </cfRule>
    <cfRule type="containsText" dxfId="2646" priority="2724" operator="containsText" text="On Track to be Achieved">
      <formula>NOT(ISERROR(SEARCH("On Track to be Achieved",I64)))</formula>
    </cfRule>
    <cfRule type="containsText" dxfId="2645" priority="2725" operator="containsText" text="Fully Achieved">
      <formula>NOT(ISERROR(SEARCH("Fully Achieved",I64)))</formula>
    </cfRule>
    <cfRule type="containsText" dxfId="2644" priority="2726" operator="containsText" text="Update not Provided">
      <formula>NOT(ISERROR(SEARCH("Update not Provided",I64)))</formula>
    </cfRule>
    <cfRule type="containsText" dxfId="2643" priority="2727" operator="containsText" text="Not yet due">
      <formula>NOT(ISERROR(SEARCH("Not yet due",I64)))</formula>
    </cfRule>
    <cfRule type="containsText" dxfId="2642" priority="2728" operator="containsText" text="Completed Behind Schedule">
      <formula>NOT(ISERROR(SEARCH("Completed Behind Schedule",I64)))</formula>
    </cfRule>
    <cfRule type="containsText" dxfId="2641" priority="2729" operator="containsText" text="Off Target">
      <formula>NOT(ISERROR(SEARCH("Off Target",I64)))</formula>
    </cfRule>
    <cfRule type="containsText" dxfId="2640" priority="2730" operator="containsText" text="In Danger of Falling Behind Target">
      <formula>NOT(ISERROR(SEARCH("In Danger of Falling Behind Target",I64)))</formula>
    </cfRule>
    <cfRule type="containsText" dxfId="2639" priority="2731" operator="containsText" text="On Track to be Achieved">
      <formula>NOT(ISERROR(SEARCH("On Track to be Achieved",I64)))</formula>
    </cfRule>
    <cfRule type="containsText" dxfId="2638" priority="2732" operator="containsText" text="Fully Achieved">
      <formula>NOT(ISERROR(SEARCH("Fully Achieved",I64)))</formula>
    </cfRule>
    <cfRule type="containsText" dxfId="2637" priority="2733" operator="containsText" text="Fully Achieved">
      <formula>NOT(ISERROR(SEARCH("Fully Achieved",I64)))</formula>
    </cfRule>
    <cfRule type="containsText" dxfId="2636" priority="2734" operator="containsText" text="Fully Achieved">
      <formula>NOT(ISERROR(SEARCH("Fully Achieved",I64)))</formula>
    </cfRule>
    <cfRule type="containsText" dxfId="2635" priority="2735" operator="containsText" text="Deferred">
      <formula>NOT(ISERROR(SEARCH("Deferred",I64)))</formula>
    </cfRule>
    <cfRule type="containsText" dxfId="2634" priority="2736" operator="containsText" text="Deleted">
      <formula>NOT(ISERROR(SEARCH("Deleted",I64)))</formula>
    </cfRule>
    <cfRule type="containsText" dxfId="2633" priority="2737" operator="containsText" text="In Danger of Falling Behind Target">
      <formula>NOT(ISERROR(SEARCH("In Danger of Falling Behind Target",I64)))</formula>
    </cfRule>
    <cfRule type="containsText" dxfId="2632" priority="2738" operator="containsText" text="Not yet due">
      <formula>NOT(ISERROR(SEARCH("Not yet due",I64)))</formula>
    </cfRule>
    <cfRule type="containsText" dxfId="2631" priority="2739" operator="containsText" text="Update not Provided">
      <formula>NOT(ISERROR(SEARCH("Update not Provided",I64)))</formula>
    </cfRule>
  </conditionalFormatting>
  <conditionalFormatting sqref="I71">
    <cfRule type="containsText" dxfId="2630" priority="2668" operator="containsText" text="On track to be achieved">
      <formula>NOT(ISERROR(SEARCH("On track to be achieved",I71)))</formula>
    </cfRule>
    <cfRule type="containsText" dxfId="2629" priority="2669" operator="containsText" text="Deferred">
      <formula>NOT(ISERROR(SEARCH("Deferred",I71)))</formula>
    </cfRule>
    <cfRule type="containsText" dxfId="2628" priority="2670" operator="containsText" text="Deleted">
      <formula>NOT(ISERROR(SEARCH("Deleted",I71)))</formula>
    </cfRule>
    <cfRule type="containsText" dxfId="2627" priority="2671" operator="containsText" text="In Danger of Falling Behind Target">
      <formula>NOT(ISERROR(SEARCH("In Danger of Falling Behind Target",I71)))</formula>
    </cfRule>
    <cfRule type="containsText" dxfId="2626" priority="2672" operator="containsText" text="Not yet due">
      <formula>NOT(ISERROR(SEARCH("Not yet due",I71)))</formula>
    </cfRule>
    <cfRule type="containsText" dxfId="2625" priority="2673" operator="containsText" text="Update not Provided">
      <formula>NOT(ISERROR(SEARCH("Update not Provided",I71)))</formula>
    </cfRule>
    <cfRule type="containsText" dxfId="2624" priority="2674" operator="containsText" text="Not yet due">
      <formula>NOT(ISERROR(SEARCH("Not yet due",I71)))</formula>
    </cfRule>
    <cfRule type="containsText" dxfId="2623" priority="2675" operator="containsText" text="Completed Behind Schedule">
      <formula>NOT(ISERROR(SEARCH("Completed Behind Schedule",I71)))</formula>
    </cfRule>
    <cfRule type="containsText" dxfId="2622" priority="2676" operator="containsText" text="Off Target">
      <formula>NOT(ISERROR(SEARCH("Off Target",I71)))</formula>
    </cfRule>
    <cfRule type="containsText" dxfId="2621" priority="2677" operator="containsText" text="On Track to be Achieved">
      <formula>NOT(ISERROR(SEARCH("On Track to be Achieved",I71)))</formula>
    </cfRule>
    <cfRule type="containsText" dxfId="2620" priority="2678" operator="containsText" text="Fully Achieved">
      <formula>NOT(ISERROR(SEARCH("Fully Achieved",I71)))</formula>
    </cfRule>
    <cfRule type="containsText" dxfId="2619" priority="2679" operator="containsText" text="Not yet due">
      <formula>NOT(ISERROR(SEARCH("Not yet due",I71)))</formula>
    </cfRule>
    <cfRule type="containsText" dxfId="2618" priority="2680" operator="containsText" text="Not Yet Due">
      <formula>NOT(ISERROR(SEARCH("Not Yet Due",I71)))</formula>
    </cfRule>
    <cfRule type="containsText" dxfId="2617" priority="2681" operator="containsText" text="Deferred">
      <formula>NOT(ISERROR(SEARCH("Deferred",I71)))</formula>
    </cfRule>
    <cfRule type="containsText" dxfId="2616" priority="2682" operator="containsText" text="Deleted">
      <formula>NOT(ISERROR(SEARCH("Deleted",I71)))</formula>
    </cfRule>
    <cfRule type="containsText" dxfId="2615" priority="2683" operator="containsText" text="In Danger of Falling Behind Target">
      <formula>NOT(ISERROR(SEARCH("In Danger of Falling Behind Target",I71)))</formula>
    </cfRule>
    <cfRule type="containsText" dxfId="2614" priority="2684" operator="containsText" text="Not yet due">
      <formula>NOT(ISERROR(SEARCH("Not yet due",I71)))</formula>
    </cfRule>
    <cfRule type="containsText" dxfId="2613" priority="2685" operator="containsText" text="Completed Behind Schedule">
      <formula>NOT(ISERROR(SEARCH("Completed Behind Schedule",I71)))</formula>
    </cfRule>
    <cfRule type="containsText" dxfId="2612" priority="2686" operator="containsText" text="Off Target">
      <formula>NOT(ISERROR(SEARCH("Off Target",I71)))</formula>
    </cfRule>
    <cfRule type="containsText" dxfId="2611" priority="2687" operator="containsText" text="In Danger of Falling Behind Target">
      <formula>NOT(ISERROR(SEARCH("In Danger of Falling Behind Target",I71)))</formula>
    </cfRule>
    <cfRule type="containsText" dxfId="2610" priority="2688" operator="containsText" text="On Track to be Achieved">
      <formula>NOT(ISERROR(SEARCH("On Track to be Achieved",I71)))</formula>
    </cfRule>
    <cfRule type="containsText" dxfId="2609" priority="2689" operator="containsText" text="Fully Achieved">
      <formula>NOT(ISERROR(SEARCH("Fully Achieved",I71)))</formula>
    </cfRule>
    <cfRule type="containsText" dxfId="2608" priority="2690" operator="containsText" text="Update not Provided">
      <formula>NOT(ISERROR(SEARCH("Update not Provided",I71)))</formula>
    </cfRule>
    <cfRule type="containsText" dxfId="2607" priority="2691" operator="containsText" text="Not yet due">
      <formula>NOT(ISERROR(SEARCH("Not yet due",I71)))</formula>
    </cfRule>
    <cfRule type="containsText" dxfId="2606" priority="2692" operator="containsText" text="Completed Behind Schedule">
      <formula>NOT(ISERROR(SEARCH("Completed Behind Schedule",I71)))</formula>
    </cfRule>
    <cfRule type="containsText" dxfId="2605" priority="2693" operator="containsText" text="Off Target">
      <formula>NOT(ISERROR(SEARCH("Off Target",I71)))</formula>
    </cfRule>
    <cfRule type="containsText" dxfId="2604" priority="2694" operator="containsText" text="In Danger of Falling Behind Target">
      <formula>NOT(ISERROR(SEARCH("In Danger of Falling Behind Target",I71)))</formula>
    </cfRule>
    <cfRule type="containsText" dxfId="2603" priority="2695" operator="containsText" text="On Track to be Achieved">
      <formula>NOT(ISERROR(SEARCH("On Track to be Achieved",I71)))</formula>
    </cfRule>
    <cfRule type="containsText" dxfId="2602" priority="2696" operator="containsText" text="Fully Achieved">
      <formula>NOT(ISERROR(SEARCH("Fully Achieved",I71)))</formula>
    </cfRule>
    <cfRule type="containsText" dxfId="2601" priority="2697" operator="containsText" text="Fully Achieved">
      <formula>NOT(ISERROR(SEARCH("Fully Achieved",I71)))</formula>
    </cfRule>
    <cfRule type="containsText" dxfId="2600" priority="2698" operator="containsText" text="Fully Achieved">
      <formula>NOT(ISERROR(SEARCH("Fully Achieved",I71)))</formula>
    </cfRule>
    <cfRule type="containsText" dxfId="2599" priority="2699" operator="containsText" text="Deferred">
      <formula>NOT(ISERROR(SEARCH("Deferred",I71)))</formula>
    </cfRule>
    <cfRule type="containsText" dxfId="2598" priority="2700" operator="containsText" text="Deleted">
      <formula>NOT(ISERROR(SEARCH("Deleted",I71)))</formula>
    </cfRule>
    <cfRule type="containsText" dxfId="2597" priority="2701" operator="containsText" text="In Danger of Falling Behind Target">
      <formula>NOT(ISERROR(SEARCH("In Danger of Falling Behind Target",I71)))</formula>
    </cfRule>
    <cfRule type="containsText" dxfId="2596" priority="2702" operator="containsText" text="Not yet due">
      <formula>NOT(ISERROR(SEARCH("Not yet due",I71)))</formula>
    </cfRule>
    <cfRule type="containsText" dxfId="2595" priority="2703" operator="containsText" text="Update not Provided">
      <formula>NOT(ISERROR(SEARCH("Update not Provided",I71)))</formula>
    </cfRule>
  </conditionalFormatting>
  <conditionalFormatting sqref="I71">
    <cfRule type="containsText" dxfId="2594" priority="2632" operator="containsText" text="On track to be achieved">
      <formula>NOT(ISERROR(SEARCH("On track to be achieved",I71)))</formula>
    </cfRule>
    <cfRule type="containsText" dxfId="2593" priority="2633" operator="containsText" text="Deferred">
      <formula>NOT(ISERROR(SEARCH("Deferred",I71)))</formula>
    </cfRule>
    <cfRule type="containsText" dxfId="2592" priority="2634" operator="containsText" text="Deleted">
      <formula>NOT(ISERROR(SEARCH("Deleted",I71)))</formula>
    </cfRule>
    <cfRule type="containsText" dxfId="2591" priority="2635" operator="containsText" text="In Danger of Falling Behind Target">
      <formula>NOT(ISERROR(SEARCH("In Danger of Falling Behind Target",I71)))</formula>
    </cfRule>
    <cfRule type="containsText" dxfId="2590" priority="2636" operator="containsText" text="Not yet due">
      <formula>NOT(ISERROR(SEARCH("Not yet due",I71)))</formula>
    </cfRule>
    <cfRule type="containsText" dxfId="2589" priority="2637" operator="containsText" text="Update not Provided">
      <formula>NOT(ISERROR(SEARCH("Update not Provided",I71)))</formula>
    </cfRule>
    <cfRule type="containsText" dxfId="2588" priority="2638" operator="containsText" text="Not yet due">
      <formula>NOT(ISERROR(SEARCH("Not yet due",I71)))</formula>
    </cfRule>
    <cfRule type="containsText" dxfId="2587" priority="2639" operator="containsText" text="Completed Behind Schedule">
      <formula>NOT(ISERROR(SEARCH("Completed Behind Schedule",I71)))</formula>
    </cfRule>
    <cfRule type="containsText" dxfId="2586" priority="2640" operator="containsText" text="Off Target">
      <formula>NOT(ISERROR(SEARCH("Off Target",I71)))</formula>
    </cfRule>
    <cfRule type="containsText" dxfId="2585" priority="2641" operator="containsText" text="On Track to be Achieved">
      <formula>NOT(ISERROR(SEARCH("On Track to be Achieved",I71)))</formula>
    </cfRule>
    <cfRule type="containsText" dxfId="2584" priority="2642" operator="containsText" text="Fully Achieved">
      <formula>NOT(ISERROR(SEARCH("Fully Achieved",I71)))</formula>
    </cfRule>
    <cfRule type="containsText" dxfId="2583" priority="2643" operator="containsText" text="Not yet due">
      <formula>NOT(ISERROR(SEARCH("Not yet due",I71)))</formula>
    </cfRule>
    <cfRule type="containsText" dxfId="2582" priority="2644" operator="containsText" text="Not Yet Due">
      <formula>NOT(ISERROR(SEARCH("Not Yet Due",I71)))</formula>
    </cfRule>
    <cfRule type="containsText" dxfId="2581" priority="2645" operator="containsText" text="Deferred">
      <formula>NOT(ISERROR(SEARCH("Deferred",I71)))</formula>
    </cfRule>
    <cfRule type="containsText" dxfId="2580" priority="2646" operator="containsText" text="Deleted">
      <formula>NOT(ISERROR(SEARCH("Deleted",I71)))</formula>
    </cfRule>
    <cfRule type="containsText" dxfId="2579" priority="2647" operator="containsText" text="In Danger of Falling Behind Target">
      <formula>NOT(ISERROR(SEARCH("In Danger of Falling Behind Target",I71)))</formula>
    </cfRule>
    <cfRule type="containsText" dxfId="2578" priority="2648" operator="containsText" text="Not yet due">
      <formula>NOT(ISERROR(SEARCH("Not yet due",I71)))</formula>
    </cfRule>
    <cfRule type="containsText" dxfId="2577" priority="2649" operator="containsText" text="Completed Behind Schedule">
      <formula>NOT(ISERROR(SEARCH("Completed Behind Schedule",I71)))</formula>
    </cfRule>
    <cfRule type="containsText" dxfId="2576" priority="2650" operator="containsText" text="Off Target">
      <formula>NOT(ISERROR(SEARCH("Off Target",I71)))</formula>
    </cfRule>
    <cfRule type="containsText" dxfId="2575" priority="2651" operator="containsText" text="In Danger of Falling Behind Target">
      <formula>NOT(ISERROR(SEARCH("In Danger of Falling Behind Target",I71)))</formula>
    </cfRule>
    <cfRule type="containsText" dxfId="2574" priority="2652" operator="containsText" text="On Track to be Achieved">
      <formula>NOT(ISERROR(SEARCH("On Track to be Achieved",I71)))</formula>
    </cfRule>
    <cfRule type="containsText" dxfId="2573" priority="2653" operator="containsText" text="Fully Achieved">
      <formula>NOT(ISERROR(SEARCH("Fully Achieved",I71)))</formula>
    </cfRule>
    <cfRule type="containsText" dxfId="2572" priority="2654" operator="containsText" text="Update not Provided">
      <formula>NOT(ISERROR(SEARCH("Update not Provided",I71)))</formula>
    </cfRule>
    <cfRule type="containsText" dxfId="2571" priority="2655" operator="containsText" text="Not yet due">
      <formula>NOT(ISERROR(SEARCH("Not yet due",I71)))</formula>
    </cfRule>
    <cfRule type="containsText" dxfId="2570" priority="2656" operator="containsText" text="Completed Behind Schedule">
      <formula>NOT(ISERROR(SEARCH("Completed Behind Schedule",I71)))</formula>
    </cfRule>
    <cfRule type="containsText" dxfId="2569" priority="2657" operator="containsText" text="Off Target">
      <formula>NOT(ISERROR(SEARCH("Off Target",I71)))</formula>
    </cfRule>
    <cfRule type="containsText" dxfId="2568" priority="2658" operator="containsText" text="In Danger of Falling Behind Target">
      <formula>NOT(ISERROR(SEARCH("In Danger of Falling Behind Target",I71)))</formula>
    </cfRule>
    <cfRule type="containsText" dxfId="2567" priority="2659" operator="containsText" text="On Track to be Achieved">
      <formula>NOT(ISERROR(SEARCH("On Track to be Achieved",I71)))</formula>
    </cfRule>
    <cfRule type="containsText" dxfId="2566" priority="2660" operator="containsText" text="Fully Achieved">
      <formula>NOT(ISERROR(SEARCH("Fully Achieved",I71)))</formula>
    </cfRule>
    <cfRule type="containsText" dxfId="2565" priority="2661" operator="containsText" text="Fully Achieved">
      <formula>NOT(ISERROR(SEARCH("Fully Achieved",I71)))</formula>
    </cfRule>
    <cfRule type="containsText" dxfId="2564" priority="2662" operator="containsText" text="Fully Achieved">
      <formula>NOT(ISERROR(SEARCH("Fully Achieved",I71)))</formula>
    </cfRule>
    <cfRule type="containsText" dxfId="2563" priority="2663" operator="containsText" text="Deferred">
      <formula>NOT(ISERROR(SEARCH("Deferred",I71)))</formula>
    </cfRule>
    <cfRule type="containsText" dxfId="2562" priority="2664" operator="containsText" text="Deleted">
      <formula>NOT(ISERROR(SEARCH("Deleted",I71)))</formula>
    </cfRule>
    <cfRule type="containsText" dxfId="2561" priority="2665" operator="containsText" text="In Danger of Falling Behind Target">
      <formula>NOT(ISERROR(SEARCH("In Danger of Falling Behind Target",I71)))</formula>
    </cfRule>
    <cfRule type="containsText" dxfId="2560" priority="2666" operator="containsText" text="Not yet due">
      <formula>NOT(ISERROR(SEARCH("Not yet due",I71)))</formula>
    </cfRule>
    <cfRule type="containsText" dxfId="2559" priority="2667" operator="containsText" text="Update not Provided">
      <formula>NOT(ISERROR(SEARCH("Update not Provided",I71)))</formula>
    </cfRule>
  </conditionalFormatting>
  <conditionalFormatting sqref="I71">
    <cfRule type="containsText" dxfId="2558" priority="2596" operator="containsText" text="On track to be achieved">
      <formula>NOT(ISERROR(SEARCH("On track to be achieved",I71)))</formula>
    </cfRule>
    <cfRule type="containsText" dxfId="2557" priority="2597" operator="containsText" text="Deferred">
      <formula>NOT(ISERROR(SEARCH("Deferred",I71)))</formula>
    </cfRule>
    <cfRule type="containsText" dxfId="2556" priority="2598" operator="containsText" text="Deleted">
      <formula>NOT(ISERROR(SEARCH("Deleted",I71)))</formula>
    </cfRule>
    <cfRule type="containsText" dxfId="2555" priority="2599" operator="containsText" text="In Danger of Falling Behind Target">
      <formula>NOT(ISERROR(SEARCH("In Danger of Falling Behind Target",I71)))</formula>
    </cfRule>
    <cfRule type="containsText" dxfId="2554" priority="2600" operator="containsText" text="Not yet due">
      <formula>NOT(ISERROR(SEARCH("Not yet due",I71)))</formula>
    </cfRule>
    <cfRule type="containsText" dxfId="2553" priority="2601" operator="containsText" text="Update not Provided">
      <formula>NOT(ISERROR(SEARCH("Update not Provided",I71)))</formula>
    </cfRule>
    <cfRule type="containsText" dxfId="2552" priority="2602" operator="containsText" text="Not yet due">
      <formula>NOT(ISERROR(SEARCH("Not yet due",I71)))</formula>
    </cfRule>
    <cfRule type="containsText" dxfId="2551" priority="2603" operator="containsText" text="Completed Behind Schedule">
      <formula>NOT(ISERROR(SEARCH("Completed Behind Schedule",I71)))</formula>
    </cfRule>
    <cfRule type="containsText" dxfId="2550" priority="2604" operator="containsText" text="Off Target">
      <formula>NOT(ISERROR(SEARCH("Off Target",I71)))</formula>
    </cfRule>
    <cfRule type="containsText" dxfId="2549" priority="2605" operator="containsText" text="On Track to be Achieved">
      <formula>NOT(ISERROR(SEARCH("On Track to be Achieved",I71)))</formula>
    </cfRule>
    <cfRule type="containsText" dxfId="2548" priority="2606" operator="containsText" text="Fully Achieved">
      <formula>NOT(ISERROR(SEARCH("Fully Achieved",I71)))</formula>
    </cfRule>
    <cfRule type="containsText" dxfId="2547" priority="2607" operator="containsText" text="Not yet due">
      <formula>NOT(ISERROR(SEARCH("Not yet due",I71)))</formula>
    </cfRule>
    <cfRule type="containsText" dxfId="2546" priority="2608" operator="containsText" text="Not Yet Due">
      <formula>NOT(ISERROR(SEARCH("Not Yet Due",I71)))</formula>
    </cfRule>
    <cfRule type="containsText" dxfId="2545" priority="2609" operator="containsText" text="Deferred">
      <formula>NOT(ISERROR(SEARCH("Deferred",I71)))</formula>
    </cfRule>
    <cfRule type="containsText" dxfId="2544" priority="2610" operator="containsText" text="Deleted">
      <formula>NOT(ISERROR(SEARCH("Deleted",I71)))</formula>
    </cfRule>
    <cfRule type="containsText" dxfId="2543" priority="2611" operator="containsText" text="In Danger of Falling Behind Target">
      <formula>NOT(ISERROR(SEARCH("In Danger of Falling Behind Target",I71)))</formula>
    </cfRule>
    <cfRule type="containsText" dxfId="2542" priority="2612" operator="containsText" text="Not yet due">
      <formula>NOT(ISERROR(SEARCH("Not yet due",I71)))</formula>
    </cfRule>
    <cfRule type="containsText" dxfId="2541" priority="2613" operator="containsText" text="Completed Behind Schedule">
      <formula>NOT(ISERROR(SEARCH("Completed Behind Schedule",I71)))</formula>
    </cfRule>
    <cfRule type="containsText" dxfId="2540" priority="2614" operator="containsText" text="Off Target">
      <formula>NOT(ISERROR(SEARCH("Off Target",I71)))</formula>
    </cfRule>
    <cfRule type="containsText" dxfId="2539" priority="2615" operator="containsText" text="In Danger of Falling Behind Target">
      <formula>NOT(ISERROR(SEARCH("In Danger of Falling Behind Target",I71)))</formula>
    </cfRule>
    <cfRule type="containsText" dxfId="2538" priority="2616" operator="containsText" text="On Track to be Achieved">
      <formula>NOT(ISERROR(SEARCH("On Track to be Achieved",I71)))</formula>
    </cfRule>
    <cfRule type="containsText" dxfId="2537" priority="2617" operator="containsText" text="Fully Achieved">
      <formula>NOT(ISERROR(SEARCH("Fully Achieved",I71)))</formula>
    </cfRule>
    <cfRule type="containsText" dxfId="2536" priority="2618" operator="containsText" text="Update not Provided">
      <formula>NOT(ISERROR(SEARCH("Update not Provided",I71)))</formula>
    </cfRule>
    <cfRule type="containsText" dxfId="2535" priority="2619" operator="containsText" text="Not yet due">
      <formula>NOT(ISERROR(SEARCH("Not yet due",I71)))</formula>
    </cfRule>
    <cfRule type="containsText" dxfId="2534" priority="2620" operator="containsText" text="Completed Behind Schedule">
      <formula>NOT(ISERROR(SEARCH("Completed Behind Schedule",I71)))</formula>
    </cfRule>
    <cfRule type="containsText" dxfId="2533" priority="2621" operator="containsText" text="Off Target">
      <formula>NOT(ISERROR(SEARCH("Off Target",I71)))</formula>
    </cfRule>
    <cfRule type="containsText" dxfId="2532" priority="2622" operator="containsText" text="In Danger of Falling Behind Target">
      <formula>NOT(ISERROR(SEARCH("In Danger of Falling Behind Target",I71)))</formula>
    </cfRule>
    <cfRule type="containsText" dxfId="2531" priority="2623" operator="containsText" text="On Track to be Achieved">
      <formula>NOT(ISERROR(SEARCH("On Track to be Achieved",I71)))</formula>
    </cfRule>
    <cfRule type="containsText" dxfId="2530" priority="2624" operator="containsText" text="Fully Achieved">
      <formula>NOT(ISERROR(SEARCH("Fully Achieved",I71)))</formula>
    </cfRule>
    <cfRule type="containsText" dxfId="2529" priority="2625" operator="containsText" text="Fully Achieved">
      <formula>NOT(ISERROR(SEARCH("Fully Achieved",I71)))</formula>
    </cfRule>
    <cfRule type="containsText" dxfId="2528" priority="2626" operator="containsText" text="Fully Achieved">
      <formula>NOT(ISERROR(SEARCH("Fully Achieved",I71)))</formula>
    </cfRule>
    <cfRule type="containsText" dxfId="2527" priority="2627" operator="containsText" text="Deferred">
      <formula>NOT(ISERROR(SEARCH("Deferred",I71)))</formula>
    </cfRule>
    <cfRule type="containsText" dxfId="2526" priority="2628" operator="containsText" text="Deleted">
      <formula>NOT(ISERROR(SEARCH("Deleted",I71)))</formula>
    </cfRule>
    <cfRule type="containsText" dxfId="2525" priority="2629" operator="containsText" text="In Danger of Falling Behind Target">
      <formula>NOT(ISERROR(SEARCH("In Danger of Falling Behind Target",I71)))</formula>
    </cfRule>
    <cfRule type="containsText" dxfId="2524" priority="2630" operator="containsText" text="Not yet due">
      <formula>NOT(ISERROR(SEARCH("Not yet due",I71)))</formula>
    </cfRule>
    <cfRule type="containsText" dxfId="2523" priority="2631" operator="containsText" text="Update not Provided">
      <formula>NOT(ISERROR(SEARCH("Update not Provided",I71)))</formula>
    </cfRule>
  </conditionalFormatting>
  <conditionalFormatting sqref="I71">
    <cfRule type="containsText" dxfId="2522" priority="2560" operator="containsText" text="On track to be achieved">
      <formula>NOT(ISERROR(SEARCH("On track to be achieved",I71)))</formula>
    </cfRule>
    <cfRule type="containsText" dxfId="2521" priority="2561" operator="containsText" text="Deferred">
      <formula>NOT(ISERROR(SEARCH("Deferred",I71)))</formula>
    </cfRule>
    <cfRule type="containsText" dxfId="2520" priority="2562" operator="containsText" text="Deleted">
      <formula>NOT(ISERROR(SEARCH("Deleted",I71)))</formula>
    </cfRule>
    <cfRule type="containsText" dxfId="2519" priority="2563" operator="containsText" text="In Danger of Falling Behind Target">
      <formula>NOT(ISERROR(SEARCH("In Danger of Falling Behind Target",I71)))</formula>
    </cfRule>
    <cfRule type="containsText" dxfId="2518" priority="2564" operator="containsText" text="Not yet due">
      <formula>NOT(ISERROR(SEARCH("Not yet due",I71)))</formula>
    </cfRule>
    <cfRule type="containsText" dxfId="2517" priority="2565" operator="containsText" text="Update not Provided">
      <formula>NOT(ISERROR(SEARCH("Update not Provided",I71)))</formula>
    </cfRule>
    <cfRule type="containsText" dxfId="2516" priority="2566" operator="containsText" text="Not yet due">
      <formula>NOT(ISERROR(SEARCH("Not yet due",I71)))</formula>
    </cfRule>
    <cfRule type="containsText" dxfId="2515" priority="2567" operator="containsText" text="Completed Behind Schedule">
      <formula>NOT(ISERROR(SEARCH("Completed Behind Schedule",I71)))</formula>
    </cfRule>
    <cfRule type="containsText" dxfId="2514" priority="2568" operator="containsText" text="Off Target">
      <formula>NOT(ISERROR(SEARCH("Off Target",I71)))</formula>
    </cfRule>
    <cfRule type="containsText" dxfId="2513" priority="2569" operator="containsText" text="On Track to be Achieved">
      <formula>NOT(ISERROR(SEARCH("On Track to be Achieved",I71)))</formula>
    </cfRule>
    <cfRule type="containsText" dxfId="2512" priority="2570" operator="containsText" text="Fully Achieved">
      <formula>NOT(ISERROR(SEARCH("Fully Achieved",I71)))</formula>
    </cfRule>
    <cfRule type="containsText" dxfId="2511" priority="2571" operator="containsText" text="Not yet due">
      <formula>NOT(ISERROR(SEARCH("Not yet due",I71)))</formula>
    </cfRule>
    <cfRule type="containsText" dxfId="2510" priority="2572" operator="containsText" text="Not Yet Due">
      <formula>NOT(ISERROR(SEARCH("Not Yet Due",I71)))</formula>
    </cfRule>
    <cfRule type="containsText" dxfId="2509" priority="2573" operator="containsText" text="Deferred">
      <formula>NOT(ISERROR(SEARCH("Deferred",I71)))</formula>
    </cfRule>
    <cfRule type="containsText" dxfId="2508" priority="2574" operator="containsText" text="Deleted">
      <formula>NOT(ISERROR(SEARCH("Deleted",I71)))</formula>
    </cfRule>
    <cfRule type="containsText" dxfId="2507" priority="2575" operator="containsText" text="In Danger of Falling Behind Target">
      <formula>NOT(ISERROR(SEARCH("In Danger of Falling Behind Target",I71)))</formula>
    </cfRule>
    <cfRule type="containsText" dxfId="2506" priority="2576" operator="containsText" text="Not yet due">
      <formula>NOT(ISERROR(SEARCH("Not yet due",I71)))</formula>
    </cfRule>
    <cfRule type="containsText" dxfId="2505" priority="2577" operator="containsText" text="Completed Behind Schedule">
      <formula>NOT(ISERROR(SEARCH("Completed Behind Schedule",I71)))</formula>
    </cfRule>
    <cfRule type="containsText" dxfId="2504" priority="2578" operator="containsText" text="Off Target">
      <formula>NOT(ISERROR(SEARCH("Off Target",I71)))</formula>
    </cfRule>
    <cfRule type="containsText" dxfId="2503" priority="2579" operator="containsText" text="In Danger of Falling Behind Target">
      <formula>NOT(ISERROR(SEARCH("In Danger of Falling Behind Target",I71)))</formula>
    </cfRule>
    <cfRule type="containsText" dxfId="2502" priority="2580" operator="containsText" text="On Track to be Achieved">
      <formula>NOT(ISERROR(SEARCH("On Track to be Achieved",I71)))</formula>
    </cfRule>
    <cfRule type="containsText" dxfId="2501" priority="2581" operator="containsText" text="Fully Achieved">
      <formula>NOT(ISERROR(SEARCH("Fully Achieved",I71)))</formula>
    </cfRule>
    <cfRule type="containsText" dxfId="2500" priority="2582" operator="containsText" text="Update not Provided">
      <formula>NOT(ISERROR(SEARCH("Update not Provided",I71)))</formula>
    </cfRule>
    <cfRule type="containsText" dxfId="2499" priority="2583" operator="containsText" text="Not yet due">
      <formula>NOT(ISERROR(SEARCH("Not yet due",I71)))</formula>
    </cfRule>
    <cfRule type="containsText" dxfId="2498" priority="2584" operator="containsText" text="Completed Behind Schedule">
      <formula>NOT(ISERROR(SEARCH("Completed Behind Schedule",I71)))</formula>
    </cfRule>
    <cfRule type="containsText" dxfId="2497" priority="2585" operator="containsText" text="Off Target">
      <formula>NOT(ISERROR(SEARCH("Off Target",I71)))</formula>
    </cfRule>
    <cfRule type="containsText" dxfId="2496" priority="2586" operator="containsText" text="In Danger of Falling Behind Target">
      <formula>NOT(ISERROR(SEARCH("In Danger of Falling Behind Target",I71)))</formula>
    </cfRule>
    <cfRule type="containsText" dxfId="2495" priority="2587" operator="containsText" text="On Track to be Achieved">
      <formula>NOT(ISERROR(SEARCH("On Track to be Achieved",I71)))</formula>
    </cfRule>
    <cfRule type="containsText" dxfId="2494" priority="2588" operator="containsText" text="Fully Achieved">
      <formula>NOT(ISERROR(SEARCH("Fully Achieved",I71)))</formula>
    </cfRule>
    <cfRule type="containsText" dxfId="2493" priority="2589" operator="containsText" text="Fully Achieved">
      <formula>NOT(ISERROR(SEARCH("Fully Achieved",I71)))</formula>
    </cfRule>
    <cfRule type="containsText" dxfId="2492" priority="2590" operator="containsText" text="Fully Achieved">
      <formula>NOT(ISERROR(SEARCH("Fully Achieved",I71)))</formula>
    </cfRule>
    <cfRule type="containsText" dxfId="2491" priority="2591" operator="containsText" text="Deferred">
      <formula>NOT(ISERROR(SEARCH("Deferred",I71)))</formula>
    </cfRule>
    <cfRule type="containsText" dxfId="2490" priority="2592" operator="containsText" text="Deleted">
      <formula>NOT(ISERROR(SEARCH("Deleted",I71)))</formula>
    </cfRule>
    <cfRule type="containsText" dxfId="2489" priority="2593" operator="containsText" text="In Danger of Falling Behind Target">
      <formula>NOT(ISERROR(SEARCH("In Danger of Falling Behind Target",I71)))</formula>
    </cfRule>
    <cfRule type="containsText" dxfId="2488" priority="2594" operator="containsText" text="Not yet due">
      <formula>NOT(ISERROR(SEARCH("Not yet due",I71)))</formula>
    </cfRule>
    <cfRule type="containsText" dxfId="2487" priority="2595" operator="containsText" text="Update not Provided">
      <formula>NOT(ISERROR(SEARCH("Update not Provided",I71)))</formula>
    </cfRule>
  </conditionalFormatting>
  <conditionalFormatting sqref="I72">
    <cfRule type="containsText" dxfId="2486" priority="2524" operator="containsText" text="On track to be achieved">
      <formula>NOT(ISERROR(SEARCH("On track to be achieved",I72)))</formula>
    </cfRule>
    <cfRule type="containsText" dxfId="2485" priority="2525" operator="containsText" text="Deferred">
      <formula>NOT(ISERROR(SEARCH("Deferred",I72)))</formula>
    </cfRule>
    <cfRule type="containsText" dxfId="2484" priority="2526" operator="containsText" text="Deleted">
      <formula>NOT(ISERROR(SEARCH("Deleted",I72)))</formula>
    </cfRule>
    <cfRule type="containsText" dxfId="2483" priority="2527" operator="containsText" text="In Danger of Falling Behind Target">
      <formula>NOT(ISERROR(SEARCH("In Danger of Falling Behind Target",I72)))</formula>
    </cfRule>
    <cfRule type="containsText" dxfId="2482" priority="2528" operator="containsText" text="Not yet due">
      <formula>NOT(ISERROR(SEARCH("Not yet due",I72)))</formula>
    </cfRule>
    <cfRule type="containsText" dxfId="2481" priority="2529" operator="containsText" text="Update not Provided">
      <formula>NOT(ISERROR(SEARCH("Update not Provided",I72)))</formula>
    </cfRule>
    <cfRule type="containsText" dxfId="2480" priority="2530" operator="containsText" text="Not yet due">
      <formula>NOT(ISERROR(SEARCH("Not yet due",I72)))</formula>
    </cfRule>
    <cfRule type="containsText" dxfId="2479" priority="2531" operator="containsText" text="Completed Behind Schedule">
      <formula>NOT(ISERROR(SEARCH("Completed Behind Schedule",I72)))</formula>
    </cfRule>
    <cfRule type="containsText" dxfId="2478" priority="2532" operator="containsText" text="Off Target">
      <formula>NOT(ISERROR(SEARCH("Off Target",I72)))</formula>
    </cfRule>
    <cfRule type="containsText" dxfId="2477" priority="2533" operator="containsText" text="On Track to be Achieved">
      <formula>NOT(ISERROR(SEARCH("On Track to be Achieved",I72)))</formula>
    </cfRule>
    <cfRule type="containsText" dxfId="2476" priority="2534" operator="containsText" text="Fully Achieved">
      <formula>NOT(ISERROR(SEARCH("Fully Achieved",I72)))</formula>
    </cfRule>
    <cfRule type="containsText" dxfId="2475" priority="2535" operator="containsText" text="Not yet due">
      <formula>NOT(ISERROR(SEARCH("Not yet due",I72)))</formula>
    </cfRule>
    <cfRule type="containsText" dxfId="2474" priority="2536" operator="containsText" text="Not Yet Due">
      <formula>NOT(ISERROR(SEARCH("Not Yet Due",I72)))</formula>
    </cfRule>
    <cfRule type="containsText" dxfId="2473" priority="2537" operator="containsText" text="Deferred">
      <formula>NOT(ISERROR(SEARCH("Deferred",I72)))</formula>
    </cfRule>
    <cfRule type="containsText" dxfId="2472" priority="2538" operator="containsText" text="Deleted">
      <formula>NOT(ISERROR(SEARCH("Deleted",I72)))</formula>
    </cfRule>
    <cfRule type="containsText" dxfId="2471" priority="2539" operator="containsText" text="In Danger of Falling Behind Target">
      <formula>NOT(ISERROR(SEARCH("In Danger of Falling Behind Target",I72)))</formula>
    </cfRule>
    <cfRule type="containsText" dxfId="2470" priority="2540" operator="containsText" text="Not yet due">
      <formula>NOT(ISERROR(SEARCH("Not yet due",I72)))</formula>
    </cfRule>
    <cfRule type="containsText" dxfId="2469" priority="2541" operator="containsText" text="Completed Behind Schedule">
      <formula>NOT(ISERROR(SEARCH("Completed Behind Schedule",I72)))</formula>
    </cfRule>
    <cfRule type="containsText" dxfId="2468" priority="2542" operator="containsText" text="Off Target">
      <formula>NOT(ISERROR(SEARCH("Off Target",I72)))</formula>
    </cfRule>
    <cfRule type="containsText" dxfId="2467" priority="2543" operator="containsText" text="In Danger of Falling Behind Target">
      <formula>NOT(ISERROR(SEARCH("In Danger of Falling Behind Target",I72)))</formula>
    </cfRule>
    <cfRule type="containsText" dxfId="2466" priority="2544" operator="containsText" text="On Track to be Achieved">
      <formula>NOT(ISERROR(SEARCH("On Track to be Achieved",I72)))</formula>
    </cfRule>
    <cfRule type="containsText" dxfId="2465" priority="2545" operator="containsText" text="Fully Achieved">
      <formula>NOT(ISERROR(SEARCH("Fully Achieved",I72)))</formula>
    </cfRule>
    <cfRule type="containsText" dxfId="2464" priority="2546" operator="containsText" text="Update not Provided">
      <formula>NOT(ISERROR(SEARCH("Update not Provided",I72)))</formula>
    </cfRule>
    <cfRule type="containsText" dxfId="2463" priority="2547" operator="containsText" text="Not yet due">
      <formula>NOT(ISERROR(SEARCH("Not yet due",I72)))</formula>
    </cfRule>
    <cfRule type="containsText" dxfId="2462" priority="2548" operator="containsText" text="Completed Behind Schedule">
      <formula>NOT(ISERROR(SEARCH("Completed Behind Schedule",I72)))</formula>
    </cfRule>
    <cfRule type="containsText" dxfId="2461" priority="2549" operator="containsText" text="Off Target">
      <formula>NOT(ISERROR(SEARCH("Off Target",I72)))</formula>
    </cfRule>
    <cfRule type="containsText" dxfId="2460" priority="2550" operator="containsText" text="In Danger of Falling Behind Target">
      <formula>NOT(ISERROR(SEARCH("In Danger of Falling Behind Target",I72)))</formula>
    </cfRule>
    <cfRule type="containsText" dxfId="2459" priority="2551" operator="containsText" text="On Track to be Achieved">
      <formula>NOT(ISERROR(SEARCH("On Track to be Achieved",I72)))</formula>
    </cfRule>
    <cfRule type="containsText" dxfId="2458" priority="2552" operator="containsText" text="Fully Achieved">
      <formula>NOT(ISERROR(SEARCH("Fully Achieved",I72)))</formula>
    </cfRule>
    <cfRule type="containsText" dxfId="2457" priority="2553" operator="containsText" text="Fully Achieved">
      <formula>NOT(ISERROR(SEARCH("Fully Achieved",I72)))</formula>
    </cfRule>
    <cfRule type="containsText" dxfId="2456" priority="2554" operator="containsText" text="Fully Achieved">
      <formula>NOT(ISERROR(SEARCH("Fully Achieved",I72)))</formula>
    </cfRule>
    <cfRule type="containsText" dxfId="2455" priority="2555" operator="containsText" text="Deferred">
      <formula>NOT(ISERROR(SEARCH("Deferred",I72)))</formula>
    </cfRule>
    <cfRule type="containsText" dxfId="2454" priority="2556" operator="containsText" text="Deleted">
      <formula>NOT(ISERROR(SEARCH("Deleted",I72)))</formula>
    </cfRule>
    <cfRule type="containsText" dxfId="2453" priority="2557" operator="containsText" text="In Danger of Falling Behind Target">
      <formula>NOT(ISERROR(SEARCH("In Danger of Falling Behind Target",I72)))</formula>
    </cfRule>
    <cfRule type="containsText" dxfId="2452" priority="2558" operator="containsText" text="Not yet due">
      <formula>NOT(ISERROR(SEARCH("Not yet due",I72)))</formula>
    </cfRule>
    <cfRule type="containsText" dxfId="2451" priority="2559" operator="containsText" text="Update not Provided">
      <formula>NOT(ISERROR(SEARCH("Update not Provided",I72)))</formula>
    </cfRule>
  </conditionalFormatting>
  <conditionalFormatting sqref="I72">
    <cfRule type="containsText" dxfId="2450" priority="2488" operator="containsText" text="On track to be achieved">
      <formula>NOT(ISERROR(SEARCH("On track to be achieved",I72)))</formula>
    </cfRule>
    <cfRule type="containsText" dxfId="2449" priority="2489" operator="containsText" text="Deferred">
      <formula>NOT(ISERROR(SEARCH("Deferred",I72)))</formula>
    </cfRule>
    <cfRule type="containsText" dxfId="2448" priority="2490" operator="containsText" text="Deleted">
      <formula>NOT(ISERROR(SEARCH("Deleted",I72)))</formula>
    </cfRule>
    <cfRule type="containsText" dxfId="2447" priority="2491" operator="containsText" text="In Danger of Falling Behind Target">
      <formula>NOT(ISERROR(SEARCH("In Danger of Falling Behind Target",I72)))</formula>
    </cfRule>
    <cfRule type="containsText" dxfId="2446" priority="2492" operator="containsText" text="Not yet due">
      <formula>NOT(ISERROR(SEARCH("Not yet due",I72)))</formula>
    </cfRule>
    <cfRule type="containsText" dxfId="2445" priority="2493" operator="containsText" text="Update not Provided">
      <formula>NOT(ISERROR(SEARCH("Update not Provided",I72)))</formula>
    </cfRule>
    <cfRule type="containsText" dxfId="2444" priority="2494" operator="containsText" text="Not yet due">
      <formula>NOT(ISERROR(SEARCH("Not yet due",I72)))</formula>
    </cfRule>
    <cfRule type="containsText" dxfId="2443" priority="2495" operator="containsText" text="Completed Behind Schedule">
      <formula>NOT(ISERROR(SEARCH("Completed Behind Schedule",I72)))</formula>
    </cfRule>
    <cfRule type="containsText" dxfId="2442" priority="2496" operator="containsText" text="Off Target">
      <formula>NOT(ISERROR(SEARCH("Off Target",I72)))</formula>
    </cfRule>
    <cfRule type="containsText" dxfId="2441" priority="2497" operator="containsText" text="On Track to be Achieved">
      <formula>NOT(ISERROR(SEARCH("On Track to be Achieved",I72)))</formula>
    </cfRule>
    <cfRule type="containsText" dxfId="2440" priority="2498" operator="containsText" text="Fully Achieved">
      <formula>NOT(ISERROR(SEARCH("Fully Achieved",I72)))</formula>
    </cfRule>
    <cfRule type="containsText" dxfId="2439" priority="2499" operator="containsText" text="Not yet due">
      <formula>NOT(ISERROR(SEARCH("Not yet due",I72)))</formula>
    </cfRule>
    <cfRule type="containsText" dxfId="2438" priority="2500" operator="containsText" text="Not Yet Due">
      <formula>NOT(ISERROR(SEARCH("Not Yet Due",I72)))</formula>
    </cfRule>
    <cfRule type="containsText" dxfId="2437" priority="2501" operator="containsText" text="Deferred">
      <formula>NOT(ISERROR(SEARCH("Deferred",I72)))</formula>
    </cfRule>
    <cfRule type="containsText" dxfId="2436" priority="2502" operator="containsText" text="Deleted">
      <formula>NOT(ISERROR(SEARCH("Deleted",I72)))</formula>
    </cfRule>
    <cfRule type="containsText" dxfId="2435" priority="2503" operator="containsText" text="In Danger of Falling Behind Target">
      <formula>NOT(ISERROR(SEARCH("In Danger of Falling Behind Target",I72)))</formula>
    </cfRule>
    <cfRule type="containsText" dxfId="2434" priority="2504" operator="containsText" text="Not yet due">
      <formula>NOT(ISERROR(SEARCH("Not yet due",I72)))</formula>
    </cfRule>
    <cfRule type="containsText" dxfId="2433" priority="2505" operator="containsText" text="Completed Behind Schedule">
      <formula>NOT(ISERROR(SEARCH("Completed Behind Schedule",I72)))</formula>
    </cfRule>
    <cfRule type="containsText" dxfId="2432" priority="2506" operator="containsText" text="Off Target">
      <formula>NOT(ISERROR(SEARCH("Off Target",I72)))</formula>
    </cfRule>
    <cfRule type="containsText" dxfId="2431" priority="2507" operator="containsText" text="In Danger of Falling Behind Target">
      <formula>NOT(ISERROR(SEARCH("In Danger of Falling Behind Target",I72)))</formula>
    </cfRule>
    <cfRule type="containsText" dxfId="2430" priority="2508" operator="containsText" text="On Track to be Achieved">
      <formula>NOT(ISERROR(SEARCH("On Track to be Achieved",I72)))</formula>
    </cfRule>
    <cfRule type="containsText" dxfId="2429" priority="2509" operator="containsText" text="Fully Achieved">
      <formula>NOT(ISERROR(SEARCH("Fully Achieved",I72)))</formula>
    </cfRule>
    <cfRule type="containsText" dxfId="2428" priority="2510" operator="containsText" text="Update not Provided">
      <formula>NOT(ISERROR(SEARCH("Update not Provided",I72)))</formula>
    </cfRule>
    <cfRule type="containsText" dxfId="2427" priority="2511" operator="containsText" text="Not yet due">
      <formula>NOT(ISERROR(SEARCH("Not yet due",I72)))</formula>
    </cfRule>
    <cfRule type="containsText" dxfId="2426" priority="2512" operator="containsText" text="Completed Behind Schedule">
      <formula>NOT(ISERROR(SEARCH("Completed Behind Schedule",I72)))</formula>
    </cfRule>
    <cfRule type="containsText" dxfId="2425" priority="2513" operator="containsText" text="Off Target">
      <formula>NOT(ISERROR(SEARCH("Off Target",I72)))</formula>
    </cfRule>
    <cfRule type="containsText" dxfId="2424" priority="2514" operator="containsText" text="In Danger of Falling Behind Target">
      <formula>NOT(ISERROR(SEARCH("In Danger of Falling Behind Target",I72)))</formula>
    </cfRule>
    <cfRule type="containsText" dxfId="2423" priority="2515" operator="containsText" text="On Track to be Achieved">
      <formula>NOT(ISERROR(SEARCH("On Track to be Achieved",I72)))</formula>
    </cfRule>
    <cfRule type="containsText" dxfId="2422" priority="2516" operator="containsText" text="Fully Achieved">
      <formula>NOT(ISERROR(SEARCH("Fully Achieved",I72)))</formula>
    </cfRule>
    <cfRule type="containsText" dxfId="2421" priority="2517" operator="containsText" text="Fully Achieved">
      <formula>NOT(ISERROR(SEARCH("Fully Achieved",I72)))</formula>
    </cfRule>
    <cfRule type="containsText" dxfId="2420" priority="2518" operator="containsText" text="Fully Achieved">
      <formula>NOT(ISERROR(SEARCH("Fully Achieved",I72)))</formula>
    </cfRule>
    <cfRule type="containsText" dxfId="2419" priority="2519" operator="containsText" text="Deferred">
      <formula>NOT(ISERROR(SEARCH("Deferred",I72)))</formula>
    </cfRule>
    <cfRule type="containsText" dxfId="2418" priority="2520" operator="containsText" text="Deleted">
      <formula>NOT(ISERROR(SEARCH("Deleted",I72)))</formula>
    </cfRule>
    <cfRule type="containsText" dxfId="2417" priority="2521" operator="containsText" text="In Danger of Falling Behind Target">
      <formula>NOT(ISERROR(SEARCH("In Danger of Falling Behind Target",I72)))</formula>
    </cfRule>
    <cfRule type="containsText" dxfId="2416" priority="2522" operator="containsText" text="Not yet due">
      <formula>NOT(ISERROR(SEARCH("Not yet due",I72)))</formula>
    </cfRule>
    <cfRule type="containsText" dxfId="2415" priority="2523" operator="containsText" text="Update not Provided">
      <formula>NOT(ISERROR(SEARCH("Update not Provided",I72)))</formula>
    </cfRule>
  </conditionalFormatting>
  <conditionalFormatting sqref="I72">
    <cfRule type="containsText" dxfId="2414" priority="2452" operator="containsText" text="On track to be achieved">
      <formula>NOT(ISERROR(SEARCH("On track to be achieved",I72)))</formula>
    </cfRule>
    <cfRule type="containsText" dxfId="2413" priority="2453" operator="containsText" text="Deferred">
      <formula>NOT(ISERROR(SEARCH("Deferred",I72)))</formula>
    </cfRule>
    <cfRule type="containsText" dxfId="2412" priority="2454" operator="containsText" text="Deleted">
      <formula>NOT(ISERROR(SEARCH("Deleted",I72)))</formula>
    </cfRule>
    <cfRule type="containsText" dxfId="2411" priority="2455" operator="containsText" text="In Danger of Falling Behind Target">
      <formula>NOT(ISERROR(SEARCH("In Danger of Falling Behind Target",I72)))</formula>
    </cfRule>
    <cfRule type="containsText" dxfId="2410" priority="2456" operator="containsText" text="Not yet due">
      <formula>NOT(ISERROR(SEARCH("Not yet due",I72)))</formula>
    </cfRule>
    <cfRule type="containsText" dxfId="2409" priority="2457" operator="containsText" text="Update not Provided">
      <formula>NOT(ISERROR(SEARCH("Update not Provided",I72)))</formula>
    </cfRule>
    <cfRule type="containsText" dxfId="2408" priority="2458" operator="containsText" text="Not yet due">
      <formula>NOT(ISERROR(SEARCH("Not yet due",I72)))</formula>
    </cfRule>
    <cfRule type="containsText" dxfId="2407" priority="2459" operator="containsText" text="Completed Behind Schedule">
      <formula>NOT(ISERROR(SEARCH("Completed Behind Schedule",I72)))</formula>
    </cfRule>
    <cfRule type="containsText" dxfId="2406" priority="2460" operator="containsText" text="Off Target">
      <formula>NOT(ISERROR(SEARCH("Off Target",I72)))</formula>
    </cfRule>
    <cfRule type="containsText" dxfId="2405" priority="2461" operator="containsText" text="On Track to be Achieved">
      <formula>NOT(ISERROR(SEARCH("On Track to be Achieved",I72)))</formula>
    </cfRule>
    <cfRule type="containsText" dxfId="2404" priority="2462" operator="containsText" text="Fully Achieved">
      <formula>NOT(ISERROR(SEARCH("Fully Achieved",I72)))</formula>
    </cfRule>
    <cfRule type="containsText" dxfId="2403" priority="2463" operator="containsText" text="Not yet due">
      <formula>NOT(ISERROR(SEARCH("Not yet due",I72)))</formula>
    </cfRule>
    <cfRule type="containsText" dxfId="2402" priority="2464" operator="containsText" text="Not Yet Due">
      <formula>NOT(ISERROR(SEARCH("Not Yet Due",I72)))</formula>
    </cfRule>
    <cfRule type="containsText" dxfId="2401" priority="2465" operator="containsText" text="Deferred">
      <formula>NOT(ISERROR(SEARCH("Deferred",I72)))</formula>
    </cfRule>
    <cfRule type="containsText" dxfId="2400" priority="2466" operator="containsText" text="Deleted">
      <formula>NOT(ISERROR(SEARCH("Deleted",I72)))</formula>
    </cfRule>
    <cfRule type="containsText" dxfId="2399" priority="2467" operator="containsText" text="In Danger of Falling Behind Target">
      <formula>NOT(ISERROR(SEARCH("In Danger of Falling Behind Target",I72)))</formula>
    </cfRule>
    <cfRule type="containsText" dxfId="2398" priority="2468" operator="containsText" text="Not yet due">
      <formula>NOT(ISERROR(SEARCH("Not yet due",I72)))</formula>
    </cfRule>
    <cfRule type="containsText" dxfId="2397" priority="2469" operator="containsText" text="Completed Behind Schedule">
      <formula>NOT(ISERROR(SEARCH("Completed Behind Schedule",I72)))</formula>
    </cfRule>
    <cfRule type="containsText" dxfId="2396" priority="2470" operator="containsText" text="Off Target">
      <formula>NOT(ISERROR(SEARCH("Off Target",I72)))</formula>
    </cfRule>
    <cfRule type="containsText" dxfId="2395" priority="2471" operator="containsText" text="In Danger of Falling Behind Target">
      <formula>NOT(ISERROR(SEARCH("In Danger of Falling Behind Target",I72)))</formula>
    </cfRule>
    <cfRule type="containsText" dxfId="2394" priority="2472" operator="containsText" text="On Track to be Achieved">
      <formula>NOT(ISERROR(SEARCH("On Track to be Achieved",I72)))</formula>
    </cfRule>
    <cfRule type="containsText" dxfId="2393" priority="2473" operator="containsText" text="Fully Achieved">
      <formula>NOT(ISERROR(SEARCH("Fully Achieved",I72)))</formula>
    </cfRule>
    <cfRule type="containsText" dxfId="2392" priority="2474" operator="containsText" text="Update not Provided">
      <formula>NOT(ISERROR(SEARCH("Update not Provided",I72)))</formula>
    </cfRule>
    <cfRule type="containsText" dxfId="2391" priority="2475" operator="containsText" text="Not yet due">
      <formula>NOT(ISERROR(SEARCH("Not yet due",I72)))</formula>
    </cfRule>
    <cfRule type="containsText" dxfId="2390" priority="2476" operator="containsText" text="Completed Behind Schedule">
      <formula>NOT(ISERROR(SEARCH("Completed Behind Schedule",I72)))</formula>
    </cfRule>
    <cfRule type="containsText" dxfId="2389" priority="2477" operator="containsText" text="Off Target">
      <formula>NOT(ISERROR(SEARCH("Off Target",I72)))</formula>
    </cfRule>
    <cfRule type="containsText" dxfId="2388" priority="2478" operator="containsText" text="In Danger of Falling Behind Target">
      <formula>NOT(ISERROR(SEARCH("In Danger of Falling Behind Target",I72)))</formula>
    </cfRule>
    <cfRule type="containsText" dxfId="2387" priority="2479" operator="containsText" text="On Track to be Achieved">
      <formula>NOT(ISERROR(SEARCH("On Track to be Achieved",I72)))</formula>
    </cfRule>
    <cfRule type="containsText" dxfId="2386" priority="2480" operator="containsText" text="Fully Achieved">
      <formula>NOT(ISERROR(SEARCH("Fully Achieved",I72)))</formula>
    </cfRule>
    <cfRule type="containsText" dxfId="2385" priority="2481" operator="containsText" text="Fully Achieved">
      <formula>NOT(ISERROR(SEARCH("Fully Achieved",I72)))</formula>
    </cfRule>
    <cfRule type="containsText" dxfId="2384" priority="2482" operator="containsText" text="Fully Achieved">
      <formula>NOT(ISERROR(SEARCH("Fully Achieved",I72)))</formula>
    </cfRule>
    <cfRule type="containsText" dxfId="2383" priority="2483" operator="containsText" text="Deferred">
      <formula>NOT(ISERROR(SEARCH("Deferred",I72)))</formula>
    </cfRule>
    <cfRule type="containsText" dxfId="2382" priority="2484" operator="containsText" text="Deleted">
      <formula>NOT(ISERROR(SEARCH("Deleted",I72)))</formula>
    </cfRule>
    <cfRule type="containsText" dxfId="2381" priority="2485" operator="containsText" text="In Danger of Falling Behind Target">
      <formula>NOT(ISERROR(SEARCH("In Danger of Falling Behind Target",I72)))</formula>
    </cfRule>
    <cfRule type="containsText" dxfId="2380" priority="2486" operator="containsText" text="Not yet due">
      <formula>NOT(ISERROR(SEARCH("Not yet due",I72)))</formula>
    </cfRule>
    <cfRule type="containsText" dxfId="2379" priority="2487" operator="containsText" text="Update not Provided">
      <formula>NOT(ISERROR(SEARCH("Update not Provided",I72)))</formula>
    </cfRule>
  </conditionalFormatting>
  <conditionalFormatting sqref="I72">
    <cfRule type="containsText" dxfId="2378" priority="2416" operator="containsText" text="On track to be achieved">
      <formula>NOT(ISERROR(SEARCH("On track to be achieved",I72)))</formula>
    </cfRule>
    <cfRule type="containsText" dxfId="2377" priority="2417" operator="containsText" text="Deferred">
      <formula>NOT(ISERROR(SEARCH("Deferred",I72)))</formula>
    </cfRule>
    <cfRule type="containsText" dxfId="2376" priority="2418" operator="containsText" text="Deleted">
      <formula>NOT(ISERROR(SEARCH("Deleted",I72)))</formula>
    </cfRule>
    <cfRule type="containsText" dxfId="2375" priority="2419" operator="containsText" text="In Danger of Falling Behind Target">
      <formula>NOT(ISERROR(SEARCH("In Danger of Falling Behind Target",I72)))</formula>
    </cfRule>
    <cfRule type="containsText" dxfId="2374" priority="2420" operator="containsText" text="Not yet due">
      <formula>NOT(ISERROR(SEARCH("Not yet due",I72)))</formula>
    </cfRule>
    <cfRule type="containsText" dxfId="2373" priority="2421" operator="containsText" text="Update not Provided">
      <formula>NOT(ISERROR(SEARCH("Update not Provided",I72)))</formula>
    </cfRule>
    <cfRule type="containsText" dxfId="2372" priority="2422" operator="containsText" text="Not yet due">
      <formula>NOT(ISERROR(SEARCH("Not yet due",I72)))</formula>
    </cfRule>
    <cfRule type="containsText" dxfId="2371" priority="2423" operator="containsText" text="Completed Behind Schedule">
      <formula>NOT(ISERROR(SEARCH("Completed Behind Schedule",I72)))</formula>
    </cfRule>
    <cfRule type="containsText" dxfId="2370" priority="2424" operator="containsText" text="Off Target">
      <formula>NOT(ISERROR(SEARCH("Off Target",I72)))</formula>
    </cfRule>
    <cfRule type="containsText" dxfId="2369" priority="2425" operator="containsText" text="On Track to be Achieved">
      <formula>NOT(ISERROR(SEARCH("On Track to be Achieved",I72)))</formula>
    </cfRule>
    <cfRule type="containsText" dxfId="2368" priority="2426" operator="containsText" text="Fully Achieved">
      <formula>NOT(ISERROR(SEARCH("Fully Achieved",I72)))</formula>
    </cfRule>
    <cfRule type="containsText" dxfId="2367" priority="2427" operator="containsText" text="Not yet due">
      <formula>NOT(ISERROR(SEARCH("Not yet due",I72)))</formula>
    </cfRule>
    <cfRule type="containsText" dxfId="2366" priority="2428" operator="containsText" text="Not Yet Due">
      <formula>NOT(ISERROR(SEARCH("Not Yet Due",I72)))</formula>
    </cfRule>
    <cfRule type="containsText" dxfId="2365" priority="2429" operator="containsText" text="Deferred">
      <formula>NOT(ISERROR(SEARCH("Deferred",I72)))</formula>
    </cfRule>
    <cfRule type="containsText" dxfId="2364" priority="2430" operator="containsText" text="Deleted">
      <formula>NOT(ISERROR(SEARCH("Deleted",I72)))</formula>
    </cfRule>
    <cfRule type="containsText" dxfId="2363" priority="2431" operator="containsText" text="In Danger of Falling Behind Target">
      <formula>NOT(ISERROR(SEARCH("In Danger of Falling Behind Target",I72)))</formula>
    </cfRule>
    <cfRule type="containsText" dxfId="2362" priority="2432" operator="containsText" text="Not yet due">
      <formula>NOT(ISERROR(SEARCH("Not yet due",I72)))</formula>
    </cfRule>
    <cfRule type="containsText" dxfId="2361" priority="2433" operator="containsText" text="Completed Behind Schedule">
      <formula>NOT(ISERROR(SEARCH("Completed Behind Schedule",I72)))</formula>
    </cfRule>
    <cfRule type="containsText" dxfId="2360" priority="2434" operator="containsText" text="Off Target">
      <formula>NOT(ISERROR(SEARCH("Off Target",I72)))</formula>
    </cfRule>
    <cfRule type="containsText" dxfId="2359" priority="2435" operator="containsText" text="In Danger of Falling Behind Target">
      <formula>NOT(ISERROR(SEARCH("In Danger of Falling Behind Target",I72)))</formula>
    </cfRule>
    <cfRule type="containsText" dxfId="2358" priority="2436" operator="containsText" text="On Track to be Achieved">
      <formula>NOT(ISERROR(SEARCH("On Track to be Achieved",I72)))</formula>
    </cfRule>
    <cfRule type="containsText" dxfId="2357" priority="2437" operator="containsText" text="Fully Achieved">
      <formula>NOT(ISERROR(SEARCH("Fully Achieved",I72)))</formula>
    </cfRule>
    <cfRule type="containsText" dxfId="2356" priority="2438" operator="containsText" text="Update not Provided">
      <formula>NOT(ISERROR(SEARCH("Update not Provided",I72)))</formula>
    </cfRule>
    <cfRule type="containsText" dxfId="2355" priority="2439" operator="containsText" text="Not yet due">
      <formula>NOT(ISERROR(SEARCH("Not yet due",I72)))</formula>
    </cfRule>
    <cfRule type="containsText" dxfId="2354" priority="2440" operator="containsText" text="Completed Behind Schedule">
      <formula>NOT(ISERROR(SEARCH("Completed Behind Schedule",I72)))</formula>
    </cfRule>
    <cfRule type="containsText" dxfId="2353" priority="2441" operator="containsText" text="Off Target">
      <formula>NOT(ISERROR(SEARCH("Off Target",I72)))</formula>
    </cfRule>
    <cfRule type="containsText" dxfId="2352" priority="2442" operator="containsText" text="In Danger of Falling Behind Target">
      <formula>NOT(ISERROR(SEARCH("In Danger of Falling Behind Target",I72)))</formula>
    </cfRule>
    <cfRule type="containsText" dxfId="2351" priority="2443" operator="containsText" text="On Track to be Achieved">
      <formula>NOT(ISERROR(SEARCH("On Track to be Achieved",I72)))</formula>
    </cfRule>
    <cfRule type="containsText" dxfId="2350" priority="2444" operator="containsText" text="Fully Achieved">
      <formula>NOT(ISERROR(SEARCH("Fully Achieved",I72)))</formula>
    </cfRule>
    <cfRule type="containsText" dxfId="2349" priority="2445" operator="containsText" text="Fully Achieved">
      <formula>NOT(ISERROR(SEARCH("Fully Achieved",I72)))</formula>
    </cfRule>
    <cfRule type="containsText" dxfId="2348" priority="2446" operator="containsText" text="Fully Achieved">
      <formula>NOT(ISERROR(SEARCH("Fully Achieved",I72)))</formula>
    </cfRule>
    <cfRule type="containsText" dxfId="2347" priority="2447" operator="containsText" text="Deferred">
      <formula>NOT(ISERROR(SEARCH("Deferred",I72)))</formula>
    </cfRule>
    <cfRule type="containsText" dxfId="2346" priority="2448" operator="containsText" text="Deleted">
      <formula>NOT(ISERROR(SEARCH("Deleted",I72)))</formula>
    </cfRule>
    <cfRule type="containsText" dxfId="2345" priority="2449" operator="containsText" text="In Danger of Falling Behind Target">
      <formula>NOT(ISERROR(SEARCH("In Danger of Falling Behind Target",I72)))</formula>
    </cfRule>
    <cfRule type="containsText" dxfId="2344" priority="2450" operator="containsText" text="Not yet due">
      <formula>NOT(ISERROR(SEARCH("Not yet due",I72)))</formula>
    </cfRule>
    <cfRule type="containsText" dxfId="2343" priority="2451" operator="containsText" text="Update not Provided">
      <formula>NOT(ISERROR(SEARCH("Update not Provided",I72)))</formula>
    </cfRule>
  </conditionalFormatting>
  <conditionalFormatting sqref="I73">
    <cfRule type="containsText" dxfId="2342" priority="2380" operator="containsText" text="On track to be achieved">
      <formula>NOT(ISERROR(SEARCH("On track to be achieved",I73)))</formula>
    </cfRule>
    <cfRule type="containsText" dxfId="2341" priority="2381" operator="containsText" text="Deferred">
      <formula>NOT(ISERROR(SEARCH("Deferred",I73)))</formula>
    </cfRule>
    <cfRule type="containsText" dxfId="2340" priority="2382" operator="containsText" text="Deleted">
      <formula>NOT(ISERROR(SEARCH("Deleted",I73)))</formula>
    </cfRule>
    <cfRule type="containsText" dxfId="2339" priority="2383" operator="containsText" text="In Danger of Falling Behind Target">
      <formula>NOT(ISERROR(SEARCH("In Danger of Falling Behind Target",I73)))</formula>
    </cfRule>
    <cfRule type="containsText" dxfId="2338" priority="2384" operator="containsText" text="Not yet due">
      <formula>NOT(ISERROR(SEARCH("Not yet due",I73)))</formula>
    </cfRule>
    <cfRule type="containsText" dxfId="2337" priority="2385" operator="containsText" text="Update not Provided">
      <formula>NOT(ISERROR(SEARCH("Update not Provided",I73)))</formula>
    </cfRule>
    <cfRule type="containsText" dxfId="2336" priority="2386" operator="containsText" text="Not yet due">
      <formula>NOT(ISERROR(SEARCH("Not yet due",I73)))</formula>
    </cfRule>
    <cfRule type="containsText" dxfId="2335" priority="2387" operator="containsText" text="Completed Behind Schedule">
      <formula>NOT(ISERROR(SEARCH("Completed Behind Schedule",I73)))</formula>
    </cfRule>
    <cfRule type="containsText" dxfId="2334" priority="2388" operator="containsText" text="Off Target">
      <formula>NOT(ISERROR(SEARCH("Off Target",I73)))</formula>
    </cfRule>
    <cfRule type="containsText" dxfId="2333" priority="2389" operator="containsText" text="On Track to be Achieved">
      <formula>NOT(ISERROR(SEARCH("On Track to be Achieved",I73)))</formula>
    </cfRule>
    <cfRule type="containsText" dxfId="2332" priority="2390" operator="containsText" text="Fully Achieved">
      <formula>NOT(ISERROR(SEARCH("Fully Achieved",I73)))</formula>
    </cfRule>
    <cfRule type="containsText" dxfId="2331" priority="2391" operator="containsText" text="Not yet due">
      <formula>NOT(ISERROR(SEARCH("Not yet due",I73)))</formula>
    </cfRule>
    <cfRule type="containsText" dxfId="2330" priority="2392" operator="containsText" text="Not Yet Due">
      <formula>NOT(ISERROR(SEARCH("Not Yet Due",I73)))</formula>
    </cfRule>
    <cfRule type="containsText" dxfId="2329" priority="2393" operator="containsText" text="Deferred">
      <formula>NOT(ISERROR(SEARCH("Deferred",I73)))</formula>
    </cfRule>
    <cfRule type="containsText" dxfId="2328" priority="2394" operator="containsText" text="Deleted">
      <formula>NOT(ISERROR(SEARCH("Deleted",I73)))</formula>
    </cfRule>
    <cfRule type="containsText" dxfId="2327" priority="2395" operator="containsText" text="In Danger of Falling Behind Target">
      <formula>NOT(ISERROR(SEARCH("In Danger of Falling Behind Target",I73)))</formula>
    </cfRule>
    <cfRule type="containsText" dxfId="2326" priority="2396" operator="containsText" text="Not yet due">
      <formula>NOT(ISERROR(SEARCH("Not yet due",I73)))</formula>
    </cfRule>
    <cfRule type="containsText" dxfId="2325" priority="2397" operator="containsText" text="Completed Behind Schedule">
      <formula>NOT(ISERROR(SEARCH("Completed Behind Schedule",I73)))</formula>
    </cfRule>
    <cfRule type="containsText" dxfId="2324" priority="2398" operator="containsText" text="Off Target">
      <formula>NOT(ISERROR(SEARCH("Off Target",I73)))</formula>
    </cfRule>
    <cfRule type="containsText" dxfId="2323" priority="2399" operator="containsText" text="In Danger of Falling Behind Target">
      <formula>NOT(ISERROR(SEARCH("In Danger of Falling Behind Target",I73)))</formula>
    </cfRule>
    <cfRule type="containsText" dxfId="2322" priority="2400" operator="containsText" text="On Track to be Achieved">
      <formula>NOT(ISERROR(SEARCH("On Track to be Achieved",I73)))</formula>
    </cfRule>
    <cfRule type="containsText" dxfId="2321" priority="2401" operator="containsText" text="Fully Achieved">
      <formula>NOT(ISERROR(SEARCH("Fully Achieved",I73)))</formula>
    </cfRule>
    <cfRule type="containsText" dxfId="2320" priority="2402" operator="containsText" text="Update not Provided">
      <formula>NOT(ISERROR(SEARCH("Update not Provided",I73)))</formula>
    </cfRule>
    <cfRule type="containsText" dxfId="2319" priority="2403" operator="containsText" text="Not yet due">
      <formula>NOT(ISERROR(SEARCH("Not yet due",I73)))</formula>
    </cfRule>
    <cfRule type="containsText" dxfId="2318" priority="2404" operator="containsText" text="Completed Behind Schedule">
      <formula>NOT(ISERROR(SEARCH("Completed Behind Schedule",I73)))</formula>
    </cfRule>
    <cfRule type="containsText" dxfId="2317" priority="2405" operator="containsText" text="Off Target">
      <formula>NOT(ISERROR(SEARCH("Off Target",I73)))</formula>
    </cfRule>
    <cfRule type="containsText" dxfId="2316" priority="2406" operator="containsText" text="In Danger of Falling Behind Target">
      <formula>NOT(ISERROR(SEARCH("In Danger of Falling Behind Target",I73)))</formula>
    </cfRule>
    <cfRule type="containsText" dxfId="2315" priority="2407" operator="containsText" text="On Track to be Achieved">
      <formula>NOT(ISERROR(SEARCH("On Track to be Achieved",I73)))</formula>
    </cfRule>
    <cfRule type="containsText" dxfId="2314" priority="2408" operator="containsText" text="Fully Achieved">
      <formula>NOT(ISERROR(SEARCH("Fully Achieved",I73)))</formula>
    </cfRule>
    <cfRule type="containsText" dxfId="2313" priority="2409" operator="containsText" text="Fully Achieved">
      <formula>NOT(ISERROR(SEARCH("Fully Achieved",I73)))</formula>
    </cfRule>
    <cfRule type="containsText" dxfId="2312" priority="2410" operator="containsText" text="Fully Achieved">
      <formula>NOT(ISERROR(SEARCH("Fully Achieved",I73)))</formula>
    </cfRule>
    <cfRule type="containsText" dxfId="2311" priority="2411" operator="containsText" text="Deferred">
      <formula>NOT(ISERROR(SEARCH("Deferred",I73)))</formula>
    </cfRule>
    <cfRule type="containsText" dxfId="2310" priority="2412" operator="containsText" text="Deleted">
      <formula>NOT(ISERROR(SEARCH("Deleted",I73)))</formula>
    </cfRule>
    <cfRule type="containsText" dxfId="2309" priority="2413" operator="containsText" text="In Danger of Falling Behind Target">
      <formula>NOT(ISERROR(SEARCH("In Danger of Falling Behind Target",I73)))</formula>
    </cfRule>
    <cfRule type="containsText" dxfId="2308" priority="2414" operator="containsText" text="Not yet due">
      <formula>NOT(ISERROR(SEARCH("Not yet due",I73)))</formula>
    </cfRule>
    <cfRule type="containsText" dxfId="2307" priority="2415" operator="containsText" text="Update not Provided">
      <formula>NOT(ISERROR(SEARCH("Update not Provided",I73)))</formula>
    </cfRule>
  </conditionalFormatting>
  <conditionalFormatting sqref="I73">
    <cfRule type="containsText" dxfId="2306" priority="2344" operator="containsText" text="On track to be achieved">
      <formula>NOT(ISERROR(SEARCH("On track to be achieved",I73)))</formula>
    </cfRule>
    <cfRule type="containsText" dxfId="2305" priority="2345" operator="containsText" text="Deferred">
      <formula>NOT(ISERROR(SEARCH("Deferred",I73)))</formula>
    </cfRule>
    <cfRule type="containsText" dxfId="2304" priority="2346" operator="containsText" text="Deleted">
      <formula>NOT(ISERROR(SEARCH("Deleted",I73)))</formula>
    </cfRule>
    <cfRule type="containsText" dxfId="2303" priority="2347" operator="containsText" text="In Danger of Falling Behind Target">
      <formula>NOT(ISERROR(SEARCH("In Danger of Falling Behind Target",I73)))</formula>
    </cfRule>
    <cfRule type="containsText" dxfId="2302" priority="2348" operator="containsText" text="Not yet due">
      <formula>NOT(ISERROR(SEARCH("Not yet due",I73)))</formula>
    </cfRule>
    <cfRule type="containsText" dxfId="2301" priority="2349" operator="containsText" text="Update not Provided">
      <formula>NOT(ISERROR(SEARCH("Update not Provided",I73)))</formula>
    </cfRule>
    <cfRule type="containsText" dxfId="2300" priority="2350" operator="containsText" text="Not yet due">
      <formula>NOT(ISERROR(SEARCH("Not yet due",I73)))</formula>
    </cfRule>
    <cfRule type="containsText" dxfId="2299" priority="2351" operator="containsText" text="Completed Behind Schedule">
      <formula>NOT(ISERROR(SEARCH("Completed Behind Schedule",I73)))</formula>
    </cfRule>
    <cfRule type="containsText" dxfId="2298" priority="2352" operator="containsText" text="Off Target">
      <formula>NOT(ISERROR(SEARCH("Off Target",I73)))</formula>
    </cfRule>
    <cfRule type="containsText" dxfId="2297" priority="2353" operator="containsText" text="On Track to be Achieved">
      <formula>NOT(ISERROR(SEARCH("On Track to be Achieved",I73)))</formula>
    </cfRule>
    <cfRule type="containsText" dxfId="2296" priority="2354" operator="containsText" text="Fully Achieved">
      <formula>NOT(ISERROR(SEARCH("Fully Achieved",I73)))</formula>
    </cfRule>
    <cfRule type="containsText" dxfId="2295" priority="2355" operator="containsText" text="Not yet due">
      <formula>NOT(ISERROR(SEARCH("Not yet due",I73)))</formula>
    </cfRule>
    <cfRule type="containsText" dxfId="2294" priority="2356" operator="containsText" text="Not Yet Due">
      <formula>NOT(ISERROR(SEARCH("Not Yet Due",I73)))</formula>
    </cfRule>
    <cfRule type="containsText" dxfId="2293" priority="2357" operator="containsText" text="Deferred">
      <formula>NOT(ISERROR(SEARCH("Deferred",I73)))</formula>
    </cfRule>
    <cfRule type="containsText" dxfId="2292" priority="2358" operator="containsText" text="Deleted">
      <formula>NOT(ISERROR(SEARCH("Deleted",I73)))</formula>
    </cfRule>
    <cfRule type="containsText" dxfId="2291" priority="2359" operator="containsText" text="In Danger of Falling Behind Target">
      <formula>NOT(ISERROR(SEARCH("In Danger of Falling Behind Target",I73)))</formula>
    </cfRule>
    <cfRule type="containsText" dxfId="2290" priority="2360" operator="containsText" text="Not yet due">
      <formula>NOT(ISERROR(SEARCH("Not yet due",I73)))</formula>
    </cfRule>
    <cfRule type="containsText" dxfId="2289" priority="2361" operator="containsText" text="Completed Behind Schedule">
      <formula>NOT(ISERROR(SEARCH("Completed Behind Schedule",I73)))</formula>
    </cfRule>
    <cfRule type="containsText" dxfId="2288" priority="2362" operator="containsText" text="Off Target">
      <formula>NOT(ISERROR(SEARCH("Off Target",I73)))</formula>
    </cfRule>
    <cfRule type="containsText" dxfId="2287" priority="2363" operator="containsText" text="In Danger of Falling Behind Target">
      <formula>NOT(ISERROR(SEARCH("In Danger of Falling Behind Target",I73)))</formula>
    </cfRule>
    <cfRule type="containsText" dxfId="2286" priority="2364" operator="containsText" text="On Track to be Achieved">
      <formula>NOT(ISERROR(SEARCH("On Track to be Achieved",I73)))</formula>
    </cfRule>
    <cfRule type="containsText" dxfId="2285" priority="2365" operator="containsText" text="Fully Achieved">
      <formula>NOT(ISERROR(SEARCH("Fully Achieved",I73)))</formula>
    </cfRule>
    <cfRule type="containsText" dxfId="2284" priority="2366" operator="containsText" text="Update not Provided">
      <formula>NOT(ISERROR(SEARCH("Update not Provided",I73)))</formula>
    </cfRule>
    <cfRule type="containsText" dxfId="2283" priority="2367" operator="containsText" text="Not yet due">
      <formula>NOT(ISERROR(SEARCH("Not yet due",I73)))</formula>
    </cfRule>
    <cfRule type="containsText" dxfId="2282" priority="2368" operator="containsText" text="Completed Behind Schedule">
      <formula>NOT(ISERROR(SEARCH("Completed Behind Schedule",I73)))</formula>
    </cfRule>
    <cfRule type="containsText" dxfId="2281" priority="2369" operator="containsText" text="Off Target">
      <formula>NOT(ISERROR(SEARCH("Off Target",I73)))</formula>
    </cfRule>
    <cfRule type="containsText" dxfId="2280" priority="2370" operator="containsText" text="In Danger of Falling Behind Target">
      <formula>NOT(ISERROR(SEARCH("In Danger of Falling Behind Target",I73)))</formula>
    </cfRule>
    <cfRule type="containsText" dxfId="2279" priority="2371" operator="containsText" text="On Track to be Achieved">
      <formula>NOT(ISERROR(SEARCH("On Track to be Achieved",I73)))</formula>
    </cfRule>
    <cfRule type="containsText" dxfId="2278" priority="2372" operator="containsText" text="Fully Achieved">
      <formula>NOT(ISERROR(SEARCH("Fully Achieved",I73)))</formula>
    </cfRule>
    <cfRule type="containsText" dxfId="2277" priority="2373" operator="containsText" text="Fully Achieved">
      <formula>NOT(ISERROR(SEARCH("Fully Achieved",I73)))</formula>
    </cfRule>
    <cfRule type="containsText" dxfId="2276" priority="2374" operator="containsText" text="Fully Achieved">
      <formula>NOT(ISERROR(SEARCH("Fully Achieved",I73)))</formula>
    </cfRule>
    <cfRule type="containsText" dxfId="2275" priority="2375" operator="containsText" text="Deferred">
      <formula>NOT(ISERROR(SEARCH("Deferred",I73)))</formula>
    </cfRule>
    <cfRule type="containsText" dxfId="2274" priority="2376" operator="containsText" text="Deleted">
      <formula>NOT(ISERROR(SEARCH("Deleted",I73)))</formula>
    </cfRule>
    <cfRule type="containsText" dxfId="2273" priority="2377" operator="containsText" text="In Danger of Falling Behind Target">
      <formula>NOT(ISERROR(SEARCH("In Danger of Falling Behind Target",I73)))</formula>
    </cfRule>
    <cfRule type="containsText" dxfId="2272" priority="2378" operator="containsText" text="Not yet due">
      <formula>NOT(ISERROR(SEARCH("Not yet due",I73)))</formula>
    </cfRule>
    <cfRule type="containsText" dxfId="2271" priority="2379" operator="containsText" text="Update not Provided">
      <formula>NOT(ISERROR(SEARCH("Update not Provided",I73)))</formula>
    </cfRule>
  </conditionalFormatting>
  <conditionalFormatting sqref="I73">
    <cfRule type="containsText" dxfId="2270" priority="2308" operator="containsText" text="On track to be achieved">
      <formula>NOT(ISERROR(SEARCH("On track to be achieved",I73)))</formula>
    </cfRule>
    <cfRule type="containsText" dxfId="2269" priority="2309" operator="containsText" text="Deferred">
      <formula>NOT(ISERROR(SEARCH("Deferred",I73)))</formula>
    </cfRule>
    <cfRule type="containsText" dxfId="2268" priority="2310" operator="containsText" text="Deleted">
      <formula>NOT(ISERROR(SEARCH("Deleted",I73)))</formula>
    </cfRule>
    <cfRule type="containsText" dxfId="2267" priority="2311" operator="containsText" text="In Danger of Falling Behind Target">
      <formula>NOT(ISERROR(SEARCH("In Danger of Falling Behind Target",I73)))</formula>
    </cfRule>
    <cfRule type="containsText" dxfId="2266" priority="2312" operator="containsText" text="Not yet due">
      <formula>NOT(ISERROR(SEARCH("Not yet due",I73)))</formula>
    </cfRule>
    <cfRule type="containsText" dxfId="2265" priority="2313" operator="containsText" text="Update not Provided">
      <formula>NOT(ISERROR(SEARCH("Update not Provided",I73)))</formula>
    </cfRule>
    <cfRule type="containsText" dxfId="2264" priority="2314" operator="containsText" text="Not yet due">
      <formula>NOT(ISERROR(SEARCH("Not yet due",I73)))</formula>
    </cfRule>
    <cfRule type="containsText" dxfId="2263" priority="2315" operator="containsText" text="Completed Behind Schedule">
      <formula>NOT(ISERROR(SEARCH("Completed Behind Schedule",I73)))</formula>
    </cfRule>
    <cfRule type="containsText" dxfId="2262" priority="2316" operator="containsText" text="Off Target">
      <formula>NOT(ISERROR(SEARCH("Off Target",I73)))</formula>
    </cfRule>
    <cfRule type="containsText" dxfId="2261" priority="2317" operator="containsText" text="On Track to be Achieved">
      <formula>NOT(ISERROR(SEARCH("On Track to be Achieved",I73)))</formula>
    </cfRule>
    <cfRule type="containsText" dxfId="2260" priority="2318" operator="containsText" text="Fully Achieved">
      <formula>NOT(ISERROR(SEARCH("Fully Achieved",I73)))</formula>
    </cfRule>
    <cfRule type="containsText" dxfId="2259" priority="2319" operator="containsText" text="Not yet due">
      <formula>NOT(ISERROR(SEARCH("Not yet due",I73)))</formula>
    </cfRule>
    <cfRule type="containsText" dxfId="2258" priority="2320" operator="containsText" text="Not Yet Due">
      <formula>NOT(ISERROR(SEARCH("Not Yet Due",I73)))</formula>
    </cfRule>
    <cfRule type="containsText" dxfId="2257" priority="2321" operator="containsText" text="Deferred">
      <formula>NOT(ISERROR(SEARCH("Deferred",I73)))</formula>
    </cfRule>
    <cfRule type="containsText" dxfId="2256" priority="2322" operator="containsText" text="Deleted">
      <formula>NOT(ISERROR(SEARCH("Deleted",I73)))</formula>
    </cfRule>
    <cfRule type="containsText" dxfId="2255" priority="2323" operator="containsText" text="In Danger of Falling Behind Target">
      <formula>NOT(ISERROR(SEARCH("In Danger of Falling Behind Target",I73)))</formula>
    </cfRule>
    <cfRule type="containsText" dxfId="2254" priority="2324" operator="containsText" text="Not yet due">
      <formula>NOT(ISERROR(SEARCH("Not yet due",I73)))</formula>
    </cfRule>
    <cfRule type="containsText" dxfId="2253" priority="2325" operator="containsText" text="Completed Behind Schedule">
      <formula>NOT(ISERROR(SEARCH("Completed Behind Schedule",I73)))</formula>
    </cfRule>
    <cfRule type="containsText" dxfId="2252" priority="2326" operator="containsText" text="Off Target">
      <formula>NOT(ISERROR(SEARCH("Off Target",I73)))</formula>
    </cfRule>
    <cfRule type="containsText" dxfId="2251" priority="2327" operator="containsText" text="In Danger of Falling Behind Target">
      <formula>NOT(ISERROR(SEARCH("In Danger of Falling Behind Target",I73)))</formula>
    </cfRule>
    <cfRule type="containsText" dxfId="2250" priority="2328" operator="containsText" text="On Track to be Achieved">
      <formula>NOT(ISERROR(SEARCH("On Track to be Achieved",I73)))</formula>
    </cfRule>
    <cfRule type="containsText" dxfId="2249" priority="2329" operator="containsText" text="Fully Achieved">
      <formula>NOT(ISERROR(SEARCH("Fully Achieved",I73)))</formula>
    </cfRule>
    <cfRule type="containsText" dxfId="2248" priority="2330" operator="containsText" text="Update not Provided">
      <formula>NOT(ISERROR(SEARCH("Update not Provided",I73)))</formula>
    </cfRule>
    <cfRule type="containsText" dxfId="2247" priority="2331" operator="containsText" text="Not yet due">
      <formula>NOT(ISERROR(SEARCH("Not yet due",I73)))</formula>
    </cfRule>
    <cfRule type="containsText" dxfId="2246" priority="2332" operator="containsText" text="Completed Behind Schedule">
      <formula>NOT(ISERROR(SEARCH("Completed Behind Schedule",I73)))</formula>
    </cfRule>
    <cfRule type="containsText" dxfId="2245" priority="2333" operator="containsText" text="Off Target">
      <formula>NOT(ISERROR(SEARCH("Off Target",I73)))</formula>
    </cfRule>
    <cfRule type="containsText" dxfId="2244" priority="2334" operator="containsText" text="In Danger of Falling Behind Target">
      <formula>NOT(ISERROR(SEARCH("In Danger of Falling Behind Target",I73)))</formula>
    </cfRule>
    <cfRule type="containsText" dxfId="2243" priority="2335" operator="containsText" text="On Track to be Achieved">
      <formula>NOT(ISERROR(SEARCH("On Track to be Achieved",I73)))</formula>
    </cfRule>
    <cfRule type="containsText" dxfId="2242" priority="2336" operator="containsText" text="Fully Achieved">
      <formula>NOT(ISERROR(SEARCH("Fully Achieved",I73)))</formula>
    </cfRule>
    <cfRule type="containsText" dxfId="2241" priority="2337" operator="containsText" text="Fully Achieved">
      <formula>NOT(ISERROR(SEARCH("Fully Achieved",I73)))</formula>
    </cfRule>
    <cfRule type="containsText" dxfId="2240" priority="2338" operator="containsText" text="Fully Achieved">
      <formula>NOT(ISERROR(SEARCH("Fully Achieved",I73)))</formula>
    </cfRule>
    <cfRule type="containsText" dxfId="2239" priority="2339" operator="containsText" text="Deferred">
      <formula>NOT(ISERROR(SEARCH("Deferred",I73)))</formula>
    </cfRule>
    <cfRule type="containsText" dxfId="2238" priority="2340" operator="containsText" text="Deleted">
      <formula>NOT(ISERROR(SEARCH("Deleted",I73)))</formula>
    </cfRule>
    <cfRule type="containsText" dxfId="2237" priority="2341" operator="containsText" text="In Danger of Falling Behind Target">
      <formula>NOT(ISERROR(SEARCH("In Danger of Falling Behind Target",I73)))</formula>
    </cfRule>
    <cfRule type="containsText" dxfId="2236" priority="2342" operator="containsText" text="Not yet due">
      <formula>NOT(ISERROR(SEARCH("Not yet due",I73)))</formula>
    </cfRule>
    <cfRule type="containsText" dxfId="2235" priority="2343" operator="containsText" text="Update not Provided">
      <formula>NOT(ISERROR(SEARCH("Update not Provided",I73)))</formula>
    </cfRule>
  </conditionalFormatting>
  <conditionalFormatting sqref="I73">
    <cfRule type="containsText" dxfId="2234" priority="2272" operator="containsText" text="On track to be achieved">
      <formula>NOT(ISERROR(SEARCH("On track to be achieved",I73)))</formula>
    </cfRule>
    <cfRule type="containsText" dxfId="2233" priority="2273" operator="containsText" text="Deferred">
      <formula>NOT(ISERROR(SEARCH("Deferred",I73)))</formula>
    </cfRule>
    <cfRule type="containsText" dxfId="2232" priority="2274" operator="containsText" text="Deleted">
      <formula>NOT(ISERROR(SEARCH("Deleted",I73)))</formula>
    </cfRule>
    <cfRule type="containsText" dxfId="2231" priority="2275" operator="containsText" text="In Danger of Falling Behind Target">
      <formula>NOT(ISERROR(SEARCH("In Danger of Falling Behind Target",I73)))</formula>
    </cfRule>
    <cfRule type="containsText" dxfId="2230" priority="2276" operator="containsText" text="Not yet due">
      <formula>NOT(ISERROR(SEARCH("Not yet due",I73)))</formula>
    </cfRule>
    <cfRule type="containsText" dxfId="2229" priority="2277" operator="containsText" text="Update not Provided">
      <formula>NOT(ISERROR(SEARCH("Update not Provided",I73)))</formula>
    </cfRule>
    <cfRule type="containsText" dxfId="2228" priority="2278" operator="containsText" text="Not yet due">
      <formula>NOT(ISERROR(SEARCH("Not yet due",I73)))</formula>
    </cfRule>
    <cfRule type="containsText" dxfId="2227" priority="2279" operator="containsText" text="Completed Behind Schedule">
      <formula>NOT(ISERROR(SEARCH("Completed Behind Schedule",I73)))</formula>
    </cfRule>
    <cfRule type="containsText" dxfId="2226" priority="2280" operator="containsText" text="Off Target">
      <formula>NOT(ISERROR(SEARCH("Off Target",I73)))</formula>
    </cfRule>
    <cfRule type="containsText" dxfId="2225" priority="2281" operator="containsText" text="On Track to be Achieved">
      <formula>NOT(ISERROR(SEARCH("On Track to be Achieved",I73)))</formula>
    </cfRule>
    <cfRule type="containsText" dxfId="2224" priority="2282" operator="containsText" text="Fully Achieved">
      <formula>NOT(ISERROR(SEARCH("Fully Achieved",I73)))</formula>
    </cfRule>
    <cfRule type="containsText" dxfId="2223" priority="2283" operator="containsText" text="Not yet due">
      <formula>NOT(ISERROR(SEARCH("Not yet due",I73)))</formula>
    </cfRule>
    <cfRule type="containsText" dxfId="2222" priority="2284" operator="containsText" text="Not Yet Due">
      <formula>NOT(ISERROR(SEARCH("Not Yet Due",I73)))</formula>
    </cfRule>
    <cfRule type="containsText" dxfId="2221" priority="2285" operator="containsText" text="Deferred">
      <formula>NOT(ISERROR(SEARCH("Deferred",I73)))</formula>
    </cfRule>
    <cfRule type="containsText" dxfId="2220" priority="2286" operator="containsText" text="Deleted">
      <formula>NOT(ISERROR(SEARCH("Deleted",I73)))</formula>
    </cfRule>
    <cfRule type="containsText" dxfId="2219" priority="2287" operator="containsText" text="In Danger of Falling Behind Target">
      <formula>NOT(ISERROR(SEARCH("In Danger of Falling Behind Target",I73)))</formula>
    </cfRule>
    <cfRule type="containsText" dxfId="2218" priority="2288" operator="containsText" text="Not yet due">
      <formula>NOT(ISERROR(SEARCH("Not yet due",I73)))</formula>
    </cfRule>
    <cfRule type="containsText" dxfId="2217" priority="2289" operator="containsText" text="Completed Behind Schedule">
      <formula>NOT(ISERROR(SEARCH("Completed Behind Schedule",I73)))</formula>
    </cfRule>
    <cfRule type="containsText" dxfId="2216" priority="2290" operator="containsText" text="Off Target">
      <formula>NOT(ISERROR(SEARCH("Off Target",I73)))</formula>
    </cfRule>
    <cfRule type="containsText" dxfId="2215" priority="2291" operator="containsText" text="In Danger of Falling Behind Target">
      <formula>NOT(ISERROR(SEARCH("In Danger of Falling Behind Target",I73)))</formula>
    </cfRule>
    <cfRule type="containsText" dxfId="2214" priority="2292" operator="containsText" text="On Track to be Achieved">
      <formula>NOT(ISERROR(SEARCH("On Track to be Achieved",I73)))</formula>
    </cfRule>
    <cfRule type="containsText" dxfId="2213" priority="2293" operator="containsText" text="Fully Achieved">
      <formula>NOT(ISERROR(SEARCH("Fully Achieved",I73)))</formula>
    </cfRule>
    <cfRule type="containsText" dxfId="2212" priority="2294" operator="containsText" text="Update not Provided">
      <formula>NOT(ISERROR(SEARCH("Update not Provided",I73)))</formula>
    </cfRule>
    <cfRule type="containsText" dxfId="2211" priority="2295" operator="containsText" text="Not yet due">
      <formula>NOT(ISERROR(SEARCH("Not yet due",I73)))</formula>
    </cfRule>
    <cfRule type="containsText" dxfId="2210" priority="2296" operator="containsText" text="Completed Behind Schedule">
      <formula>NOT(ISERROR(SEARCH("Completed Behind Schedule",I73)))</formula>
    </cfRule>
    <cfRule type="containsText" dxfId="2209" priority="2297" operator="containsText" text="Off Target">
      <formula>NOT(ISERROR(SEARCH("Off Target",I73)))</formula>
    </cfRule>
    <cfRule type="containsText" dxfId="2208" priority="2298" operator="containsText" text="In Danger of Falling Behind Target">
      <formula>NOT(ISERROR(SEARCH("In Danger of Falling Behind Target",I73)))</formula>
    </cfRule>
    <cfRule type="containsText" dxfId="2207" priority="2299" operator="containsText" text="On Track to be Achieved">
      <formula>NOT(ISERROR(SEARCH("On Track to be Achieved",I73)))</formula>
    </cfRule>
    <cfRule type="containsText" dxfId="2206" priority="2300" operator="containsText" text="Fully Achieved">
      <formula>NOT(ISERROR(SEARCH("Fully Achieved",I73)))</formula>
    </cfRule>
    <cfRule type="containsText" dxfId="2205" priority="2301" operator="containsText" text="Fully Achieved">
      <formula>NOT(ISERROR(SEARCH("Fully Achieved",I73)))</formula>
    </cfRule>
    <cfRule type="containsText" dxfId="2204" priority="2302" operator="containsText" text="Fully Achieved">
      <formula>NOT(ISERROR(SEARCH("Fully Achieved",I73)))</formula>
    </cfRule>
    <cfRule type="containsText" dxfId="2203" priority="2303" operator="containsText" text="Deferred">
      <formula>NOT(ISERROR(SEARCH("Deferred",I73)))</formula>
    </cfRule>
    <cfRule type="containsText" dxfId="2202" priority="2304" operator="containsText" text="Deleted">
      <formula>NOT(ISERROR(SEARCH("Deleted",I73)))</formula>
    </cfRule>
    <cfRule type="containsText" dxfId="2201" priority="2305" operator="containsText" text="In Danger of Falling Behind Target">
      <formula>NOT(ISERROR(SEARCH("In Danger of Falling Behind Target",I73)))</formula>
    </cfRule>
    <cfRule type="containsText" dxfId="2200" priority="2306" operator="containsText" text="Not yet due">
      <formula>NOT(ISERROR(SEARCH("Not yet due",I73)))</formula>
    </cfRule>
    <cfRule type="containsText" dxfId="2199" priority="2307" operator="containsText" text="Update not Provided">
      <formula>NOT(ISERROR(SEARCH("Update not Provided",I73)))</formula>
    </cfRule>
  </conditionalFormatting>
  <conditionalFormatting sqref="I74:I76 I78:I80">
    <cfRule type="containsText" dxfId="2198" priority="2236" operator="containsText" text="On track to be achieved">
      <formula>NOT(ISERROR(SEARCH("On track to be achieved",I74)))</formula>
    </cfRule>
    <cfRule type="containsText" dxfId="2197" priority="2237" operator="containsText" text="Deferred">
      <formula>NOT(ISERROR(SEARCH("Deferred",I74)))</formula>
    </cfRule>
    <cfRule type="containsText" dxfId="2196" priority="2238" operator="containsText" text="Deleted">
      <formula>NOT(ISERROR(SEARCH("Deleted",I74)))</formula>
    </cfRule>
    <cfRule type="containsText" dxfId="2195" priority="2239" operator="containsText" text="In Danger of Falling Behind Target">
      <formula>NOT(ISERROR(SEARCH("In Danger of Falling Behind Target",I74)))</formula>
    </cfRule>
    <cfRule type="containsText" dxfId="2194" priority="2240" operator="containsText" text="Not yet due">
      <formula>NOT(ISERROR(SEARCH("Not yet due",I74)))</formula>
    </cfRule>
    <cfRule type="containsText" dxfId="2193" priority="2241" operator="containsText" text="Update not Provided">
      <formula>NOT(ISERROR(SEARCH("Update not Provided",I74)))</formula>
    </cfRule>
    <cfRule type="containsText" dxfId="2192" priority="2242" operator="containsText" text="Not yet due">
      <formula>NOT(ISERROR(SEARCH("Not yet due",I74)))</formula>
    </cfRule>
    <cfRule type="containsText" dxfId="2191" priority="2243" operator="containsText" text="Completed Behind Schedule">
      <formula>NOT(ISERROR(SEARCH("Completed Behind Schedule",I74)))</formula>
    </cfRule>
    <cfRule type="containsText" dxfId="2190" priority="2244" operator="containsText" text="Off Target">
      <formula>NOT(ISERROR(SEARCH("Off Target",I74)))</formula>
    </cfRule>
    <cfRule type="containsText" dxfId="2189" priority="2245" operator="containsText" text="On Track to be Achieved">
      <formula>NOT(ISERROR(SEARCH("On Track to be Achieved",I74)))</formula>
    </cfRule>
    <cfRule type="containsText" dxfId="2188" priority="2246" operator="containsText" text="Fully Achieved">
      <formula>NOT(ISERROR(SEARCH("Fully Achieved",I74)))</formula>
    </cfRule>
    <cfRule type="containsText" dxfId="2187" priority="2247" operator="containsText" text="Not yet due">
      <formula>NOT(ISERROR(SEARCH("Not yet due",I74)))</formula>
    </cfRule>
    <cfRule type="containsText" dxfId="2186" priority="2248" operator="containsText" text="Not Yet Due">
      <formula>NOT(ISERROR(SEARCH("Not Yet Due",I74)))</formula>
    </cfRule>
    <cfRule type="containsText" dxfId="2185" priority="2249" operator="containsText" text="Deferred">
      <formula>NOT(ISERROR(SEARCH("Deferred",I74)))</formula>
    </cfRule>
    <cfRule type="containsText" dxfId="2184" priority="2250" operator="containsText" text="Deleted">
      <formula>NOT(ISERROR(SEARCH("Deleted",I74)))</formula>
    </cfRule>
    <cfRule type="containsText" dxfId="2183" priority="2251" operator="containsText" text="In Danger of Falling Behind Target">
      <formula>NOT(ISERROR(SEARCH("In Danger of Falling Behind Target",I74)))</formula>
    </cfRule>
    <cfRule type="containsText" dxfId="2182" priority="2252" operator="containsText" text="Not yet due">
      <formula>NOT(ISERROR(SEARCH("Not yet due",I74)))</formula>
    </cfRule>
    <cfRule type="containsText" dxfId="2181" priority="2253" operator="containsText" text="Completed Behind Schedule">
      <formula>NOT(ISERROR(SEARCH("Completed Behind Schedule",I74)))</formula>
    </cfRule>
    <cfRule type="containsText" dxfId="2180" priority="2254" operator="containsText" text="Off Target">
      <formula>NOT(ISERROR(SEARCH("Off Target",I74)))</formula>
    </cfRule>
    <cfRule type="containsText" dxfId="2179" priority="2255" operator="containsText" text="In Danger of Falling Behind Target">
      <formula>NOT(ISERROR(SEARCH("In Danger of Falling Behind Target",I74)))</formula>
    </cfRule>
    <cfRule type="containsText" dxfId="2178" priority="2256" operator="containsText" text="On Track to be Achieved">
      <formula>NOT(ISERROR(SEARCH("On Track to be Achieved",I74)))</formula>
    </cfRule>
    <cfRule type="containsText" dxfId="2177" priority="2257" operator="containsText" text="Fully Achieved">
      <formula>NOT(ISERROR(SEARCH("Fully Achieved",I74)))</formula>
    </cfRule>
    <cfRule type="containsText" dxfId="2176" priority="2258" operator="containsText" text="Update not Provided">
      <formula>NOT(ISERROR(SEARCH("Update not Provided",I74)))</formula>
    </cfRule>
    <cfRule type="containsText" dxfId="2175" priority="2259" operator="containsText" text="Not yet due">
      <formula>NOT(ISERROR(SEARCH("Not yet due",I74)))</formula>
    </cfRule>
    <cfRule type="containsText" dxfId="2174" priority="2260" operator="containsText" text="Completed Behind Schedule">
      <formula>NOT(ISERROR(SEARCH("Completed Behind Schedule",I74)))</formula>
    </cfRule>
    <cfRule type="containsText" dxfId="2173" priority="2261" operator="containsText" text="Off Target">
      <formula>NOT(ISERROR(SEARCH("Off Target",I74)))</formula>
    </cfRule>
    <cfRule type="containsText" dxfId="2172" priority="2262" operator="containsText" text="In Danger of Falling Behind Target">
      <formula>NOT(ISERROR(SEARCH("In Danger of Falling Behind Target",I74)))</formula>
    </cfRule>
    <cfRule type="containsText" dxfId="2171" priority="2263" operator="containsText" text="On Track to be Achieved">
      <formula>NOT(ISERROR(SEARCH("On Track to be Achieved",I74)))</formula>
    </cfRule>
    <cfRule type="containsText" dxfId="2170" priority="2264" operator="containsText" text="Fully Achieved">
      <formula>NOT(ISERROR(SEARCH("Fully Achieved",I74)))</formula>
    </cfRule>
    <cfRule type="containsText" dxfId="2169" priority="2265" operator="containsText" text="Fully Achieved">
      <formula>NOT(ISERROR(SEARCH("Fully Achieved",I74)))</formula>
    </cfRule>
    <cfRule type="containsText" dxfId="2168" priority="2266" operator="containsText" text="Fully Achieved">
      <formula>NOT(ISERROR(SEARCH("Fully Achieved",I74)))</formula>
    </cfRule>
    <cfRule type="containsText" dxfId="2167" priority="2267" operator="containsText" text="Deferred">
      <formula>NOT(ISERROR(SEARCH("Deferred",I74)))</formula>
    </cfRule>
    <cfRule type="containsText" dxfId="2166" priority="2268" operator="containsText" text="Deleted">
      <formula>NOT(ISERROR(SEARCH("Deleted",I74)))</formula>
    </cfRule>
    <cfRule type="containsText" dxfId="2165" priority="2269" operator="containsText" text="In Danger of Falling Behind Target">
      <formula>NOT(ISERROR(SEARCH("In Danger of Falling Behind Target",I74)))</formula>
    </cfRule>
    <cfRule type="containsText" dxfId="2164" priority="2270" operator="containsText" text="Not yet due">
      <formula>NOT(ISERROR(SEARCH("Not yet due",I74)))</formula>
    </cfRule>
    <cfRule type="containsText" dxfId="2163" priority="2271" operator="containsText" text="Update not Provided">
      <formula>NOT(ISERROR(SEARCH("Update not Provided",I74)))</formula>
    </cfRule>
  </conditionalFormatting>
  <conditionalFormatting sqref="I82:I84">
    <cfRule type="containsText" dxfId="2162" priority="2200" operator="containsText" text="On track to be achieved">
      <formula>NOT(ISERROR(SEARCH("On track to be achieved",I82)))</formula>
    </cfRule>
    <cfRule type="containsText" dxfId="2161" priority="2201" operator="containsText" text="Deferred">
      <formula>NOT(ISERROR(SEARCH("Deferred",I82)))</formula>
    </cfRule>
    <cfRule type="containsText" dxfId="2160" priority="2202" operator="containsText" text="Deleted">
      <formula>NOT(ISERROR(SEARCH("Deleted",I82)))</formula>
    </cfRule>
    <cfRule type="containsText" dxfId="2159" priority="2203" operator="containsText" text="In Danger of Falling Behind Target">
      <formula>NOT(ISERROR(SEARCH("In Danger of Falling Behind Target",I82)))</formula>
    </cfRule>
    <cfRule type="containsText" dxfId="2158" priority="2204" operator="containsText" text="Not yet due">
      <formula>NOT(ISERROR(SEARCH("Not yet due",I82)))</formula>
    </cfRule>
    <cfRule type="containsText" dxfId="2157" priority="2205" operator="containsText" text="Update not Provided">
      <formula>NOT(ISERROR(SEARCH("Update not Provided",I82)))</formula>
    </cfRule>
    <cfRule type="containsText" dxfId="2156" priority="2206" operator="containsText" text="Not yet due">
      <formula>NOT(ISERROR(SEARCH("Not yet due",I82)))</formula>
    </cfRule>
    <cfRule type="containsText" dxfId="2155" priority="2207" operator="containsText" text="Completed Behind Schedule">
      <formula>NOT(ISERROR(SEARCH("Completed Behind Schedule",I82)))</formula>
    </cfRule>
    <cfRule type="containsText" dxfId="2154" priority="2208" operator="containsText" text="Off Target">
      <formula>NOT(ISERROR(SEARCH("Off Target",I82)))</formula>
    </cfRule>
    <cfRule type="containsText" dxfId="2153" priority="2209" operator="containsText" text="On Track to be Achieved">
      <formula>NOT(ISERROR(SEARCH("On Track to be Achieved",I82)))</formula>
    </cfRule>
    <cfRule type="containsText" dxfId="2152" priority="2210" operator="containsText" text="Fully Achieved">
      <formula>NOT(ISERROR(SEARCH("Fully Achieved",I82)))</formula>
    </cfRule>
    <cfRule type="containsText" dxfId="2151" priority="2211" operator="containsText" text="Not yet due">
      <formula>NOT(ISERROR(SEARCH("Not yet due",I82)))</formula>
    </cfRule>
    <cfRule type="containsText" dxfId="2150" priority="2212" operator="containsText" text="Not Yet Due">
      <formula>NOT(ISERROR(SEARCH("Not Yet Due",I82)))</formula>
    </cfRule>
    <cfRule type="containsText" dxfId="2149" priority="2213" operator="containsText" text="Deferred">
      <formula>NOT(ISERROR(SEARCH("Deferred",I82)))</formula>
    </cfRule>
    <cfRule type="containsText" dxfId="2148" priority="2214" operator="containsText" text="Deleted">
      <formula>NOT(ISERROR(SEARCH("Deleted",I82)))</formula>
    </cfRule>
    <cfRule type="containsText" dxfId="2147" priority="2215" operator="containsText" text="In Danger of Falling Behind Target">
      <formula>NOT(ISERROR(SEARCH("In Danger of Falling Behind Target",I82)))</formula>
    </cfRule>
    <cfRule type="containsText" dxfId="2146" priority="2216" operator="containsText" text="Not yet due">
      <formula>NOT(ISERROR(SEARCH("Not yet due",I82)))</formula>
    </cfRule>
    <cfRule type="containsText" dxfId="2145" priority="2217" operator="containsText" text="Completed Behind Schedule">
      <formula>NOT(ISERROR(SEARCH("Completed Behind Schedule",I82)))</formula>
    </cfRule>
    <cfRule type="containsText" dxfId="2144" priority="2218" operator="containsText" text="Off Target">
      <formula>NOT(ISERROR(SEARCH("Off Target",I82)))</formula>
    </cfRule>
    <cfRule type="containsText" dxfId="2143" priority="2219" operator="containsText" text="In Danger of Falling Behind Target">
      <formula>NOT(ISERROR(SEARCH("In Danger of Falling Behind Target",I82)))</formula>
    </cfRule>
    <cfRule type="containsText" dxfId="2142" priority="2220" operator="containsText" text="On Track to be Achieved">
      <formula>NOT(ISERROR(SEARCH("On Track to be Achieved",I82)))</formula>
    </cfRule>
    <cfRule type="containsText" dxfId="2141" priority="2221" operator="containsText" text="Fully Achieved">
      <formula>NOT(ISERROR(SEARCH("Fully Achieved",I82)))</formula>
    </cfRule>
    <cfRule type="containsText" dxfId="2140" priority="2222" operator="containsText" text="Update not Provided">
      <formula>NOT(ISERROR(SEARCH("Update not Provided",I82)))</formula>
    </cfRule>
    <cfRule type="containsText" dxfId="2139" priority="2223" operator="containsText" text="Not yet due">
      <formula>NOT(ISERROR(SEARCH("Not yet due",I82)))</formula>
    </cfRule>
    <cfRule type="containsText" dxfId="2138" priority="2224" operator="containsText" text="Completed Behind Schedule">
      <formula>NOT(ISERROR(SEARCH("Completed Behind Schedule",I82)))</formula>
    </cfRule>
    <cfRule type="containsText" dxfId="2137" priority="2225" operator="containsText" text="Off Target">
      <formula>NOT(ISERROR(SEARCH("Off Target",I82)))</formula>
    </cfRule>
    <cfRule type="containsText" dxfId="2136" priority="2226" operator="containsText" text="In Danger of Falling Behind Target">
      <formula>NOT(ISERROR(SEARCH("In Danger of Falling Behind Target",I82)))</formula>
    </cfRule>
    <cfRule type="containsText" dxfId="2135" priority="2227" operator="containsText" text="On Track to be Achieved">
      <formula>NOT(ISERROR(SEARCH("On Track to be Achieved",I82)))</formula>
    </cfRule>
    <cfRule type="containsText" dxfId="2134" priority="2228" operator="containsText" text="Fully Achieved">
      <formula>NOT(ISERROR(SEARCH("Fully Achieved",I82)))</formula>
    </cfRule>
    <cfRule type="containsText" dxfId="2133" priority="2229" operator="containsText" text="Fully Achieved">
      <formula>NOT(ISERROR(SEARCH("Fully Achieved",I82)))</formula>
    </cfRule>
    <cfRule type="containsText" dxfId="2132" priority="2230" operator="containsText" text="Fully Achieved">
      <formula>NOT(ISERROR(SEARCH("Fully Achieved",I82)))</formula>
    </cfRule>
    <cfRule type="containsText" dxfId="2131" priority="2231" operator="containsText" text="Deferred">
      <formula>NOT(ISERROR(SEARCH("Deferred",I82)))</formula>
    </cfRule>
    <cfRule type="containsText" dxfId="2130" priority="2232" operator="containsText" text="Deleted">
      <formula>NOT(ISERROR(SEARCH("Deleted",I82)))</formula>
    </cfRule>
    <cfRule type="containsText" dxfId="2129" priority="2233" operator="containsText" text="In Danger of Falling Behind Target">
      <formula>NOT(ISERROR(SEARCH("In Danger of Falling Behind Target",I82)))</formula>
    </cfRule>
    <cfRule type="containsText" dxfId="2128" priority="2234" operator="containsText" text="Not yet due">
      <formula>NOT(ISERROR(SEARCH("Not yet due",I82)))</formula>
    </cfRule>
    <cfRule type="containsText" dxfId="2127" priority="2235" operator="containsText" text="Update not Provided">
      <formula>NOT(ISERROR(SEARCH("Update not Provided",I82)))</formula>
    </cfRule>
  </conditionalFormatting>
  <conditionalFormatting sqref="I85">
    <cfRule type="containsText" dxfId="2126" priority="2164" operator="containsText" text="On track to be achieved">
      <formula>NOT(ISERROR(SEARCH("On track to be achieved",I85)))</formula>
    </cfRule>
    <cfRule type="containsText" dxfId="2125" priority="2165" operator="containsText" text="Deferred">
      <formula>NOT(ISERROR(SEARCH("Deferred",I85)))</formula>
    </cfRule>
    <cfRule type="containsText" dxfId="2124" priority="2166" operator="containsText" text="Deleted">
      <formula>NOT(ISERROR(SEARCH("Deleted",I85)))</formula>
    </cfRule>
    <cfRule type="containsText" dxfId="2123" priority="2167" operator="containsText" text="In Danger of Falling Behind Target">
      <formula>NOT(ISERROR(SEARCH("In Danger of Falling Behind Target",I85)))</formula>
    </cfRule>
    <cfRule type="containsText" dxfId="2122" priority="2168" operator="containsText" text="Not yet due">
      <formula>NOT(ISERROR(SEARCH("Not yet due",I85)))</formula>
    </cfRule>
    <cfRule type="containsText" dxfId="2121" priority="2169" operator="containsText" text="Update not Provided">
      <formula>NOT(ISERROR(SEARCH("Update not Provided",I85)))</formula>
    </cfRule>
    <cfRule type="containsText" dxfId="2120" priority="2170" operator="containsText" text="Not yet due">
      <formula>NOT(ISERROR(SEARCH("Not yet due",I85)))</formula>
    </cfRule>
    <cfRule type="containsText" dxfId="2119" priority="2171" operator="containsText" text="Completed Behind Schedule">
      <formula>NOT(ISERROR(SEARCH("Completed Behind Schedule",I85)))</formula>
    </cfRule>
    <cfRule type="containsText" dxfId="2118" priority="2172" operator="containsText" text="Off Target">
      <formula>NOT(ISERROR(SEARCH("Off Target",I85)))</formula>
    </cfRule>
    <cfRule type="containsText" dxfId="2117" priority="2173" operator="containsText" text="On Track to be Achieved">
      <formula>NOT(ISERROR(SEARCH("On Track to be Achieved",I85)))</formula>
    </cfRule>
    <cfRule type="containsText" dxfId="2116" priority="2174" operator="containsText" text="Fully Achieved">
      <formula>NOT(ISERROR(SEARCH("Fully Achieved",I85)))</formula>
    </cfRule>
    <cfRule type="containsText" dxfId="2115" priority="2175" operator="containsText" text="Not yet due">
      <formula>NOT(ISERROR(SEARCH("Not yet due",I85)))</formula>
    </cfRule>
    <cfRule type="containsText" dxfId="2114" priority="2176" operator="containsText" text="Not Yet Due">
      <formula>NOT(ISERROR(SEARCH("Not Yet Due",I85)))</formula>
    </cfRule>
    <cfRule type="containsText" dxfId="2113" priority="2177" operator="containsText" text="Deferred">
      <formula>NOT(ISERROR(SEARCH("Deferred",I85)))</formula>
    </cfRule>
    <cfRule type="containsText" dxfId="2112" priority="2178" operator="containsText" text="Deleted">
      <formula>NOT(ISERROR(SEARCH("Deleted",I85)))</formula>
    </cfRule>
    <cfRule type="containsText" dxfId="2111" priority="2179" operator="containsText" text="In Danger of Falling Behind Target">
      <formula>NOT(ISERROR(SEARCH("In Danger of Falling Behind Target",I85)))</formula>
    </cfRule>
    <cfRule type="containsText" dxfId="2110" priority="2180" operator="containsText" text="Not yet due">
      <formula>NOT(ISERROR(SEARCH("Not yet due",I85)))</formula>
    </cfRule>
    <cfRule type="containsText" dxfId="2109" priority="2181" operator="containsText" text="Completed Behind Schedule">
      <formula>NOT(ISERROR(SEARCH("Completed Behind Schedule",I85)))</formula>
    </cfRule>
    <cfRule type="containsText" dxfId="2108" priority="2182" operator="containsText" text="Off Target">
      <formula>NOT(ISERROR(SEARCH("Off Target",I85)))</formula>
    </cfRule>
    <cfRule type="containsText" dxfId="2107" priority="2183" operator="containsText" text="In Danger of Falling Behind Target">
      <formula>NOT(ISERROR(SEARCH("In Danger of Falling Behind Target",I85)))</formula>
    </cfRule>
    <cfRule type="containsText" dxfId="2106" priority="2184" operator="containsText" text="On Track to be Achieved">
      <formula>NOT(ISERROR(SEARCH("On Track to be Achieved",I85)))</formula>
    </cfRule>
    <cfRule type="containsText" dxfId="2105" priority="2185" operator="containsText" text="Fully Achieved">
      <formula>NOT(ISERROR(SEARCH("Fully Achieved",I85)))</formula>
    </cfRule>
    <cfRule type="containsText" dxfId="2104" priority="2186" operator="containsText" text="Update not Provided">
      <formula>NOT(ISERROR(SEARCH("Update not Provided",I85)))</formula>
    </cfRule>
    <cfRule type="containsText" dxfId="2103" priority="2187" operator="containsText" text="Not yet due">
      <formula>NOT(ISERROR(SEARCH("Not yet due",I85)))</formula>
    </cfRule>
    <cfRule type="containsText" dxfId="2102" priority="2188" operator="containsText" text="Completed Behind Schedule">
      <formula>NOT(ISERROR(SEARCH("Completed Behind Schedule",I85)))</formula>
    </cfRule>
    <cfRule type="containsText" dxfId="2101" priority="2189" operator="containsText" text="Off Target">
      <formula>NOT(ISERROR(SEARCH("Off Target",I85)))</formula>
    </cfRule>
    <cfRule type="containsText" dxfId="2100" priority="2190" operator="containsText" text="In Danger of Falling Behind Target">
      <formula>NOT(ISERROR(SEARCH("In Danger of Falling Behind Target",I85)))</formula>
    </cfRule>
    <cfRule type="containsText" dxfId="2099" priority="2191" operator="containsText" text="On Track to be Achieved">
      <formula>NOT(ISERROR(SEARCH("On Track to be Achieved",I85)))</formula>
    </cfRule>
    <cfRule type="containsText" dxfId="2098" priority="2192" operator="containsText" text="Fully Achieved">
      <formula>NOT(ISERROR(SEARCH("Fully Achieved",I85)))</formula>
    </cfRule>
    <cfRule type="containsText" dxfId="2097" priority="2193" operator="containsText" text="Fully Achieved">
      <formula>NOT(ISERROR(SEARCH("Fully Achieved",I85)))</formula>
    </cfRule>
    <cfRule type="containsText" dxfId="2096" priority="2194" operator="containsText" text="Fully Achieved">
      <formula>NOT(ISERROR(SEARCH("Fully Achieved",I85)))</formula>
    </cfRule>
    <cfRule type="containsText" dxfId="2095" priority="2195" operator="containsText" text="Deferred">
      <formula>NOT(ISERROR(SEARCH("Deferred",I85)))</formula>
    </cfRule>
    <cfRule type="containsText" dxfId="2094" priority="2196" operator="containsText" text="Deleted">
      <formula>NOT(ISERROR(SEARCH("Deleted",I85)))</formula>
    </cfRule>
    <cfRule type="containsText" dxfId="2093" priority="2197" operator="containsText" text="In Danger of Falling Behind Target">
      <formula>NOT(ISERROR(SEARCH("In Danger of Falling Behind Target",I85)))</formula>
    </cfRule>
    <cfRule type="containsText" dxfId="2092" priority="2198" operator="containsText" text="Not yet due">
      <formula>NOT(ISERROR(SEARCH("Not yet due",I85)))</formula>
    </cfRule>
    <cfRule type="containsText" dxfId="2091" priority="2199" operator="containsText" text="Update not Provided">
      <formula>NOT(ISERROR(SEARCH("Update not Provided",I85)))</formula>
    </cfRule>
  </conditionalFormatting>
  <conditionalFormatting sqref="I87:I91">
    <cfRule type="containsText" dxfId="2090" priority="2128" operator="containsText" text="On track to be achieved">
      <formula>NOT(ISERROR(SEARCH("On track to be achieved",I87)))</formula>
    </cfRule>
    <cfRule type="containsText" dxfId="2089" priority="2129" operator="containsText" text="Deferred">
      <formula>NOT(ISERROR(SEARCH("Deferred",I87)))</formula>
    </cfRule>
    <cfRule type="containsText" dxfId="2088" priority="2130" operator="containsText" text="Deleted">
      <formula>NOT(ISERROR(SEARCH("Deleted",I87)))</formula>
    </cfRule>
    <cfRule type="containsText" dxfId="2087" priority="2131" operator="containsText" text="In Danger of Falling Behind Target">
      <formula>NOT(ISERROR(SEARCH("In Danger of Falling Behind Target",I87)))</formula>
    </cfRule>
    <cfRule type="containsText" dxfId="2086" priority="2132" operator="containsText" text="Not yet due">
      <formula>NOT(ISERROR(SEARCH("Not yet due",I87)))</formula>
    </cfRule>
    <cfRule type="containsText" dxfId="2085" priority="2133" operator="containsText" text="Update not Provided">
      <formula>NOT(ISERROR(SEARCH("Update not Provided",I87)))</formula>
    </cfRule>
    <cfRule type="containsText" dxfId="2084" priority="2134" operator="containsText" text="Not yet due">
      <formula>NOT(ISERROR(SEARCH("Not yet due",I87)))</formula>
    </cfRule>
    <cfRule type="containsText" dxfId="2083" priority="2135" operator="containsText" text="Completed Behind Schedule">
      <formula>NOT(ISERROR(SEARCH("Completed Behind Schedule",I87)))</formula>
    </cfRule>
    <cfRule type="containsText" dxfId="2082" priority="2136" operator="containsText" text="Off Target">
      <formula>NOT(ISERROR(SEARCH("Off Target",I87)))</formula>
    </cfRule>
    <cfRule type="containsText" dxfId="2081" priority="2137" operator="containsText" text="On Track to be Achieved">
      <formula>NOT(ISERROR(SEARCH("On Track to be Achieved",I87)))</formula>
    </cfRule>
    <cfRule type="containsText" dxfId="2080" priority="2138" operator="containsText" text="Fully Achieved">
      <formula>NOT(ISERROR(SEARCH("Fully Achieved",I87)))</formula>
    </cfRule>
    <cfRule type="containsText" dxfId="2079" priority="2139" operator="containsText" text="Not yet due">
      <formula>NOT(ISERROR(SEARCH("Not yet due",I87)))</formula>
    </cfRule>
    <cfRule type="containsText" dxfId="2078" priority="2140" operator="containsText" text="Not Yet Due">
      <formula>NOT(ISERROR(SEARCH("Not Yet Due",I87)))</formula>
    </cfRule>
    <cfRule type="containsText" dxfId="2077" priority="2141" operator="containsText" text="Deferred">
      <formula>NOT(ISERROR(SEARCH("Deferred",I87)))</formula>
    </cfRule>
    <cfRule type="containsText" dxfId="2076" priority="2142" operator="containsText" text="Deleted">
      <formula>NOT(ISERROR(SEARCH("Deleted",I87)))</formula>
    </cfRule>
    <cfRule type="containsText" dxfId="2075" priority="2143" operator="containsText" text="In Danger of Falling Behind Target">
      <formula>NOT(ISERROR(SEARCH("In Danger of Falling Behind Target",I87)))</formula>
    </cfRule>
    <cfRule type="containsText" dxfId="2074" priority="2144" operator="containsText" text="Not yet due">
      <formula>NOT(ISERROR(SEARCH("Not yet due",I87)))</formula>
    </cfRule>
    <cfRule type="containsText" dxfId="2073" priority="2145" operator="containsText" text="Completed Behind Schedule">
      <formula>NOT(ISERROR(SEARCH("Completed Behind Schedule",I87)))</formula>
    </cfRule>
    <cfRule type="containsText" dxfId="2072" priority="2146" operator="containsText" text="Off Target">
      <formula>NOT(ISERROR(SEARCH("Off Target",I87)))</formula>
    </cfRule>
    <cfRule type="containsText" dxfId="2071" priority="2147" operator="containsText" text="In Danger of Falling Behind Target">
      <formula>NOT(ISERROR(SEARCH("In Danger of Falling Behind Target",I87)))</formula>
    </cfRule>
    <cfRule type="containsText" dxfId="2070" priority="2148" operator="containsText" text="On Track to be Achieved">
      <formula>NOT(ISERROR(SEARCH("On Track to be Achieved",I87)))</formula>
    </cfRule>
    <cfRule type="containsText" dxfId="2069" priority="2149" operator="containsText" text="Fully Achieved">
      <formula>NOT(ISERROR(SEARCH("Fully Achieved",I87)))</formula>
    </cfRule>
    <cfRule type="containsText" dxfId="2068" priority="2150" operator="containsText" text="Update not Provided">
      <formula>NOT(ISERROR(SEARCH("Update not Provided",I87)))</formula>
    </cfRule>
    <cfRule type="containsText" dxfId="2067" priority="2151" operator="containsText" text="Not yet due">
      <formula>NOT(ISERROR(SEARCH("Not yet due",I87)))</formula>
    </cfRule>
    <cfRule type="containsText" dxfId="2066" priority="2152" operator="containsText" text="Completed Behind Schedule">
      <formula>NOT(ISERROR(SEARCH("Completed Behind Schedule",I87)))</formula>
    </cfRule>
    <cfRule type="containsText" dxfId="2065" priority="2153" operator="containsText" text="Off Target">
      <formula>NOT(ISERROR(SEARCH("Off Target",I87)))</formula>
    </cfRule>
    <cfRule type="containsText" dxfId="2064" priority="2154" operator="containsText" text="In Danger of Falling Behind Target">
      <formula>NOT(ISERROR(SEARCH("In Danger of Falling Behind Target",I87)))</formula>
    </cfRule>
    <cfRule type="containsText" dxfId="2063" priority="2155" operator="containsText" text="On Track to be Achieved">
      <formula>NOT(ISERROR(SEARCH("On Track to be Achieved",I87)))</formula>
    </cfRule>
    <cfRule type="containsText" dxfId="2062" priority="2156" operator="containsText" text="Fully Achieved">
      <formula>NOT(ISERROR(SEARCH("Fully Achieved",I87)))</formula>
    </cfRule>
    <cfRule type="containsText" dxfId="2061" priority="2157" operator="containsText" text="Fully Achieved">
      <formula>NOT(ISERROR(SEARCH("Fully Achieved",I87)))</formula>
    </cfRule>
    <cfRule type="containsText" dxfId="2060" priority="2158" operator="containsText" text="Fully Achieved">
      <formula>NOT(ISERROR(SEARCH("Fully Achieved",I87)))</formula>
    </cfRule>
    <cfRule type="containsText" dxfId="2059" priority="2159" operator="containsText" text="Deferred">
      <formula>NOT(ISERROR(SEARCH("Deferred",I87)))</formula>
    </cfRule>
    <cfRule type="containsText" dxfId="2058" priority="2160" operator="containsText" text="Deleted">
      <formula>NOT(ISERROR(SEARCH("Deleted",I87)))</formula>
    </cfRule>
    <cfRule type="containsText" dxfId="2057" priority="2161" operator="containsText" text="In Danger of Falling Behind Target">
      <formula>NOT(ISERROR(SEARCH("In Danger of Falling Behind Target",I87)))</formula>
    </cfRule>
    <cfRule type="containsText" dxfId="2056" priority="2162" operator="containsText" text="Not yet due">
      <formula>NOT(ISERROR(SEARCH("Not yet due",I87)))</formula>
    </cfRule>
    <cfRule type="containsText" dxfId="2055" priority="2163" operator="containsText" text="Update not Provided">
      <formula>NOT(ISERROR(SEARCH("Update not Provided",I87)))</formula>
    </cfRule>
  </conditionalFormatting>
  <conditionalFormatting sqref="I92:I94">
    <cfRule type="containsText" dxfId="2054" priority="2092" operator="containsText" text="On track to be achieved">
      <formula>NOT(ISERROR(SEARCH("On track to be achieved",I92)))</formula>
    </cfRule>
    <cfRule type="containsText" dxfId="2053" priority="2093" operator="containsText" text="Deferred">
      <formula>NOT(ISERROR(SEARCH("Deferred",I92)))</formula>
    </cfRule>
    <cfRule type="containsText" dxfId="2052" priority="2094" operator="containsText" text="Deleted">
      <formula>NOT(ISERROR(SEARCH("Deleted",I92)))</formula>
    </cfRule>
    <cfRule type="containsText" dxfId="2051" priority="2095" operator="containsText" text="In Danger of Falling Behind Target">
      <formula>NOT(ISERROR(SEARCH("In Danger of Falling Behind Target",I92)))</formula>
    </cfRule>
    <cfRule type="containsText" dxfId="2050" priority="2096" operator="containsText" text="Not yet due">
      <formula>NOT(ISERROR(SEARCH("Not yet due",I92)))</formula>
    </cfRule>
    <cfRule type="containsText" dxfId="2049" priority="2097" operator="containsText" text="Update not Provided">
      <formula>NOT(ISERROR(SEARCH("Update not Provided",I92)))</formula>
    </cfRule>
    <cfRule type="containsText" dxfId="2048" priority="2098" operator="containsText" text="Not yet due">
      <formula>NOT(ISERROR(SEARCH("Not yet due",I92)))</formula>
    </cfRule>
    <cfRule type="containsText" dxfId="2047" priority="2099" operator="containsText" text="Completed Behind Schedule">
      <formula>NOT(ISERROR(SEARCH("Completed Behind Schedule",I92)))</formula>
    </cfRule>
    <cfRule type="containsText" dxfId="2046" priority="2100" operator="containsText" text="Off Target">
      <formula>NOT(ISERROR(SEARCH("Off Target",I92)))</formula>
    </cfRule>
    <cfRule type="containsText" dxfId="2045" priority="2101" operator="containsText" text="On Track to be Achieved">
      <formula>NOT(ISERROR(SEARCH("On Track to be Achieved",I92)))</formula>
    </cfRule>
    <cfRule type="containsText" dxfId="2044" priority="2102" operator="containsText" text="Fully Achieved">
      <formula>NOT(ISERROR(SEARCH("Fully Achieved",I92)))</formula>
    </cfRule>
    <cfRule type="containsText" dxfId="2043" priority="2103" operator="containsText" text="Not yet due">
      <formula>NOT(ISERROR(SEARCH("Not yet due",I92)))</formula>
    </cfRule>
    <cfRule type="containsText" dxfId="2042" priority="2104" operator="containsText" text="Not Yet Due">
      <formula>NOT(ISERROR(SEARCH("Not Yet Due",I92)))</formula>
    </cfRule>
    <cfRule type="containsText" dxfId="2041" priority="2105" operator="containsText" text="Deferred">
      <formula>NOT(ISERROR(SEARCH("Deferred",I92)))</formula>
    </cfRule>
    <cfRule type="containsText" dxfId="2040" priority="2106" operator="containsText" text="Deleted">
      <formula>NOT(ISERROR(SEARCH("Deleted",I92)))</formula>
    </cfRule>
    <cfRule type="containsText" dxfId="2039" priority="2107" operator="containsText" text="In Danger of Falling Behind Target">
      <formula>NOT(ISERROR(SEARCH("In Danger of Falling Behind Target",I92)))</formula>
    </cfRule>
    <cfRule type="containsText" dxfId="2038" priority="2108" operator="containsText" text="Not yet due">
      <formula>NOT(ISERROR(SEARCH("Not yet due",I92)))</formula>
    </cfRule>
    <cfRule type="containsText" dxfId="2037" priority="2109" operator="containsText" text="Completed Behind Schedule">
      <formula>NOT(ISERROR(SEARCH("Completed Behind Schedule",I92)))</formula>
    </cfRule>
    <cfRule type="containsText" dxfId="2036" priority="2110" operator="containsText" text="Off Target">
      <formula>NOT(ISERROR(SEARCH("Off Target",I92)))</formula>
    </cfRule>
    <cfRule type="containsText" dxfId="2035" priority="2111" operator="containsText" text="In Danger of Falling Behind Target">
      <formula>NOT(ISERROR(SEARCH("In Danger of Falling Behind Target",I92)))</formula>
    </cfRule>
    <cfRule type="containsText" dxfId="2034" priority="2112" operator="containsText" text="On Track to be Achieved">
      <formula>NOT(ISERROR(SEARCH("On Track to be Achieved",I92)))</formula>
    </cfRule>
    <cfRule type="containsText" dxfId="2033" priority="2113" operator="containsText" text="Fully Achieved">
      <formula>NOT(ISERROR(SEARCH("Fully Achieved",I92)))</formula>
    </cfRule>
    <cfRule type="containsText" dxfId="2032" priority="2114" operator="containsText" text="Update not Provided">
      <formula>NOT(ISERROR(SEARCH("Update not Provided",I92)))</formula>
    </cfRule>
    <cfRule type="containsText" dxfId="2031" priority="2115" operator="containsText" text="Not yet due">
      <formula>NOT(ISERROR(SEARCH("Not yet due",I92)))</formula>
    </cfRule>
    <cfRule type="containsText" dxfId="2030" priority="2116" operator="containsText" text="Completed Behind Schedule">
      <formula>NOT(ISERROR(SEARCH("Completed Behind Schedule",I92)))</formula>
    </cfRule>
    <cfRule type="containsText" dxfId="2029" priority="2117" operator="containsText" text="Off Target">
      <formula>NOT(ISERROR(SEARCH("Off Target",I92)))</formula>
    </cfRule>
    <cfRule type="containsText" dxfId="2028" priority="2118" operator="containsText" text="In Danger of Falling Behind Target">
      <formula>NOT(ISERROR(SEARCH("In Danger of Falling Behind Target",I92)))</formula>
    </cfRule>
    <cfRule type="containsText" dxfId="2027" priority="2119" operator="containsText" text="On Track to be Achieved">
      <formula>NOT(ISERROR(SEARCH("On Track to be Achieved",I92)))</formula>
    </cfRule>
    <cfRule type="containsText" dxfId="2026" priority="2120" operator="containsText" text="Fully Achieved">
      <formula>NOT(ISERROR(SEARCH("Fully Achieved",I92)))</formula>
    </cfRule>
    <cfRule type="containsText" dxfId="2025" priority="2121" operator="containsText" text="Fully Achieved">
      <formula>NOT(ISERROR(SEARCH("Fully Achieved",I92)))</formula>
    </cfRule>
    <cfRule type="containsText" dxfId="2024" priority="2122" operator="containsText" text="Fully Achieved">
      <formula>NOT(ISERROR(SEARCH("Fully Achieved",I92)))</formula>
    </cfRule>
    <cfRule type="containsText" dxfId="2023" priority="2123" operator="containsText" text="Deferred">
      <formula>NOT(ISERROR(SEARCH("Deferred",I92)))</formula>
    </cfRule>
    <cfRule type="containsText" dxfId="2022" priority="2124" operator="containsText" text="Deleted">
      <formula>NOT(ISERROR(SEARCH("Deleted",I92)))</formula>
    </cfRule>
    <cfRule type="containsText" dxfId="2021" priority="2125" operator="containsText" text="In Danger of Falling Behind Target">
      <formula>NOT(ISERROR(SEARCH("In Danger of Falling Behind Target",I92)))</formula>
    </cfRule>
    <cfRule type="containsText" dxfId="2020" priority="2126" operator="containsText" text="Not yet due">
      <formula>NOT(ISERROR(SEARCH("Not yet due",I92)))</formula>
    </cfRule>
    <cfRule type="containsText" dxfId="2019" priority="2127" operator="containsText" text="Update not Provided">
      <formula>NOT(ISERROR(SEARCH("Update not Provided",I92)))</formula>
    </cfRule>
  </conditionalFormatting>
  <conditionalFormatting sqref="I95:I99">
    <cfRule type="containsText" dxfId="2018" priority="2056" operator="containsText" text="On track to be achieved">
      <formula>NOT(ISERROR(SEARCH("On track to be achieved",I95)))</formula>
    </cfRule>
    <cfRule type="containsText" dxfId="2017" priority="2057" operator="containsText" text="Deferred">
      <formula>NOT(ISERROR(SEARCH("Deferred",I95)))</formula>
    </cfRule>
    <cfRule type="containsText" dxfId="2016" priority="2058" operator="containsText" text="Deleted">
      <formula>NOT(ISERROR(SEARCH("Deleted",I95)))</formula>
    </cfRule>
    <cfRule type="containsText" dxfId="2015" priority="2059" operator="containsText" text="In Danger of Falling Behind Target">
      <formula>NOT(ISERROR(SEARCH("In Danger of Falling Behind Target",I95)))</formula>
    </cfRule>
    <cfRule type="containsText" dxfId="2014" priority="2060" operator="containsText" text="Not yet due">
      <formula>NOT(ISERROR(SEARCH("Not yet due",I95)))</formula>
    </cfRule>
    <cfRule type="containsText" dxfId="2013" priority="2061" operator="containsText" text="Update not Provided">
      <formula>NOT(ISERROR(SEARCH("Update not Provided",I95)))</formula>
    </cfRule>
    <cfRule type="containsText" dxfId="2012" priority="2062" operator="containsText" text="Not yet due">
      <formula>NOT(ISERROR(SEARCH("Not yet due",I95)))</formula>
    </cfRule>
    <cfRule type="containsText" dxfId="2011" priority="2063" operator="containsText" text="Completed Behind Schedule">
      <formula>NOT(ISERROR(SEARCH("Completed Behind Schedule",I95)))</formula>
    </cfRule>
    <cfRule type="containsText" dxfId="2010" priority="2064" operator="containsText" text="Off Target">
      <formula>NOT(ISERROR(SEARCH("Off Target",I95)))</formula>
    </cfRule>
    <cfRule type="containsText" dxfId="2009" priority="2065" operator="containsText" text="On Track to be Achieved">
      <formula>NOT(ISERROR(SEARCH("On Track to be Achieved",I95)))</formula>
    </cfRule>
    <cfRule type="containsText" dxfId="2008" priority="2066" operator="containsText" text="Fully Achieved">
      <formula>NOT(ISERROR(SEARCH("Fully Achieved",I95)))</formula>
    </cfRule>
    <cfRule type="containsText" dxfId="2007" priority="2067" operator="containsText" text="Not yet due">
      <formula>NOT(ISERROR(SEARCH("Not yet due",I95)))</formula>
    </cfRule>
    <cfRule type="containsText" dxfId="2006" priority="2068" operator="containsText" text="Not Yet Due">
      <formula>NOT(ISERROR(SEARCH("Not Yet Due",I95)))</formula>
    </cfRule>
    <cfRule type="containsText" dxfId="2005" priority="2069" operator="containsText" text="Deferred">
      <formula>NOT(ISERROR(SEARCH("Deferred",I95)))</formula>
    </cfRule>
    <cfRule type="containsText" dxfId="2004" priority="2070" operator="containsText" text="Deleted">
      <formula>NOT(ISERROR(SEARCH("Deleted",I95)))</formula>
    </cfRule>
    <cfRule type="containsText" dxfId="2003" priority="2071" operator="containsText" text="In Danger of Falling Behind Target">
      <formula>NOT(ISERROR(SEARCH("In Danger of Falling Behind Target",I95)))</formula>
    </cfRule>
    <cfRule type="containsText" dxfId="2002" priority="2072" operator="containsText" text="Not yet due">
      <formula>NOT(ISERROR(SEARCH("Not yet due",I95)))</formula>
    </cfRule>
    <cfRule type="containsText" dxfId="2001" priority="2073" operator="containsText" text="Completed Behind Schedule">
      <formula>NOT(ISERROR(SEARCH("Completed Behind Schedule",I95)))</formula>
    </cfRule>
    <cfRule type="containsText" dxfId="2000" priority="2074" operator="containsText" text="Off Target">
      <formula>NOT(ISERROR(SEARCH("Off Target",I95)))</formula>
    </cfRule>
    <cfRule type="containsText" dxfId="1999" priority="2075" operator="containsText" text="In Danger of Falling Behind Target">
      <formula>NOT(ISERROR(SEARCH("In Danger of Falling Behind Target",I95)))</formula>
    </cfRule>
    <cfRule type="containsText" dxfId="1998" priority="2076" operator="containsText" text="On Track to be Achieved">
      <formula>NOT(ISERROR(SEARCH("On Track to be Achieved",I95)))</formula>
    </cfRule>
    <cfRule type="containsText" dxfId="1997" priority="2077" operator="containsText" text="Fully Achieved">
      <formula>NOT(ISERROR(SEARCH("Fully Achieved",I95)))</formula>
    </cfRule>
    <cfRule type="containsText" dxfId="1996" priority="2078" operator="containsText" text="Update not Provided">
      <formula>NOT(ISERROR(SEARCH("Update not Provided",I95)))</formula>
    </cfRule>
    <cfRule type="containsText" dxfId="1995" priority="2079" operator="containsText" text="Not yet due">
      <formula>NOT(ISERROR(SEARCH("Not yet due",I95)))</formula>
    </cfRule>
    <cfRule type="containsText" dxfId="1994" priority="2080" operator="containsText" text="Completed Behind Schedule">
      <formula>NOT(ISERROR(SEARCH("Completed Behind Schedule",I95)))</formula>
    </cfRule>
    <cfRule type="containsText" dxfId="1993" priority="2081" operator="containsText" text="Off Target">
      <formula>NOT(ISERROR(SEARCH("Off Target",I95)))</formula>
    </cfRule>
    <cfRule type="containsText" dxfId="1992" priority="2082" operator="containsText" text="In Danger of Falling Behind Target">
      <formula>NOT(ISERROR(SEARCH("In Danger of Falling Behind Target",I95)))</formula>
    </cfRule>
    <cfRule type="containsText" dxfId="1991" priority="2083" operator="containsText" text="On Track to be Achieved">
      <formula>NOT(ISERROR(SEARCH("On Track to be Achieved",I95)))</formula>
    </cfRule>
    <cfRule type="containsText" dxfId="1990" priority="2084" operator="containsText" text="Fully Achieved">
      <formula>NOT(ISERROR(SEARCH("Fully Achieved",I95)))</formula>
    </cfRule>
    <cfRule type="containsText" dxfId="1989" priority="2085" operator="containsText" text="Fully Achieved">
      <formula>NOT(ISERROR(SEARCH("Fully Achieved",I95)))</formula>
    </cfRule>
    <cfRule type="containsText" dxfId="1988" priority="2086" operator="containsText" text="Fully Achieved">
      <formula>NOT(ISERROR(SEARCH("Fully Achieved",I95)))</formula>
    </cfRule>
    <cfRule type="containsText" dxfId="1987" priority="2087" operator="containsText" text="Deferred">
      <formula>NOT(ISERROR(SEARCH("Deferred",I95)))</formula>
    </cfRule>
    <cfRule type="containsText" dxfId="1986" priority="2088" operator="containsText" text="Deleted">
      <formula>NOT(ISERROR(SEARCH("Deleted",I95)))</formula>
    </cfRule>
    <cfRule type="containsText" dxfId="1985" priority="2089" operator="containsText" text="In Danger of Falling Behind Target">
      <formula>NOT(ISERROR(SEARCH("In Danger of Falling Behind Target",I95)))</formula>
    </cfRule>
    <cfRule type="containsText" dxfId="1984" priority="2090" operator="containsText" text="Not yet due">
      <formula>NOT(ISERROR(SEARCH("Not yet due",I95)))</formula>
    </cfRule>
    <cfRule type="containsText" dxfId="1983" priority="2091" operator="containsText" text="Update not Provided">
      <formula>NOT(ISERROR(SEARCH("Update not Provided",I95)))</formula>
    </cfRule>
  </conditionalFormatting>
  <conditionalFormatting sqref="I100:I101">
    <cfRule type="containsText" dxfId="1982" priority="2020" operator="containsText" text="On track to be achieved">
      <formula>NOT(ISERROR(SEARCH("On track to be achieved",I100)))</formula>
    </cfRule>
    <cfRule type="containsText" dxfId="1981" priority="2021" operator="containsText" text="Deferred">
      <formula>NOT(ISERROR(SEARCH("Deferred",I100)))</formula>
    </cfRule>
    <cfRule type="containsText" dxfId="1980" priority="2022" operator="containsText" text="Deleted">
      <formula>NOT(ISERROR(SEARCH("Deleted",I100)))</formula>
    </cfRule>
    <cfRule type="containsText" dxfId="1979" priority="2023" operator="containsText" text="In Danger of Falling Behind Target">
      <formula>NOT(ISERROR(SEARCH("In Danger of Falling Behind Target",I100)))</formula>
    </cfRule>
    <cfRule type="containsText" dxfId="1978" priority="2024" operator="containsText" text="Not yet due">
      <formula>NOT(ISERROR(SEARCH("Not yet due",I100)))</formula>
    </cfRule>
    <cfRule type="containsText" dxfId="1977" priority="2025" operator="containsText" text="Update not Provided">
      <formula>NOT(ISERROR(SEARCH("Update not Provided",I100)))</formula>
    </cfRule>
    <cfRule type="containsText" dxfId="1976" priority="2026" operator="containsText" text="Not yet due">
      <formula>NOT(ISERROR(SEARCH("Not yet due",I100)))</formula>
    </cfRule>
    <cfRule type="containsText" dxfId="1975" priority="2027" operator="containsText" text="Completed Behind Schedule">
      <formula>NOT(ISERROR(SEARCH("Completed Behind Schedule",I100)))</formula>
    </cfRule>
    <cfRule type="containsText" dxfId="1974" priority="2028" operator="containsText" text="Off Target">
      <formula>NOT(ISERROR(SEARCH("Off Target",I100)))</formula>
    </cfRule>
    <cfRule type="containsText" dxfId="1973" priority="2029" operator="containsText" text="On Track to be Achieved">
      <formula>NOT(ISERROR(SEARCH("On Track to be Achieved",I100)))</formula>
    </cfRule>
    <cfRule type="containsText" dxfId="1972" priority="2030" operator="containsText" text="Fully Achieved">
      <formula>NOT(ISERROR(SEARCH("Fully Achieved",I100)))</formula>
    </cfRule>
    <cfRule type="containsText" dxfId="1971" priority="2031" operator="containsText" text="Not yet due">
      <formula>NOT(ISERROR(SEARCH("Not yet due",I100)))</formula>
    </cfRule>
    <cfRule type="containsText" dxfId="1970" priority="2032" operator="containsText" text="Not Yet Due">
      <formula>NOT(ISERROR(SEARCH("Not Yet Due",I100)))</formula>
    </cfRule>
    <cfRule type="containsText" dxfId="1969" priority="2033" operator="containsText" text="Deferred">
      <formula>NOT(ISERROR(SEARCH("Deferred",I100)))</formula>
    </cfRule>
    <cfRule type="containsText" dxfId="1968" priority="2034" operator="containsText" text="Deleted">
      <formula>NOT(ISERROR(SEARCH("Deleted",I100)))</formula>
    </cfRule>
    <cfRule type="containsText" dxfId="1967" priority="2035" operator="containsText" text="In Danger of Falling Behind Target">
      <formula>NOT(ISERROR(SEARCH("In Danger of Falling Behind Target",I100)))</formula>
    </cfRule>
    <cfRule type="containsText" dxfId="1966" priority="2036" operator="containsText" text="Not yet due">
      <formula>NOT(ISERROR(SEARCH("Not yet due",I100)))</formula>
    </cfRule>
    <cfRule type="containsText" dxfId="1965" priority="2037" operator="containsText" text="Completed Behind Schedule">
      <formula>NOT(ISERROR(SEARCH("Completed Behind Schedule",I100)))</formula>
    </cfRule>
    <cfRule type="containsText" dxfId="1964" priority="2038" operator="containsText" text="Off Target">
      <formula>NOT(ISERROR(SEARCH("Off Target",I100)))</formula>
    </cfRule>
    <cfRule type="containsText" dxfId="1963" priority="2039" operator="containsText" text="In Danger of Falling Behind Target">
      <formula>NOT(ISERROR(SEARCH("In Danger of Falling Behind Target",I100)))</formula>
    </cfRule>
    <cfRule type="containsText" dxfId="1962" priority="2040" operator="containsText" text="On Track to be Achieved">
      <formula>NOT(ISERROR(SEARCH("On Track to be Achieved",I100)))</formula>
    </cfRule>
    <cfRule type="containsText" dxfId="1961" priority="2041" operator="containsText" text="Fully Achieved">
      <formula>NOT(ISERROR(SEARCH("Fully Achieved",I100)))</formula>
    </cfRule>
    <cfRule type="containsText" dxfId="1960" priority="2042" operator="containsText" text="Update not Provided">
      <formula>NOT(ISERROR(SEARCH("Update not Provided",I100)))</formula>
    </cfRule>
    <cfRule type="containsText" dxfId="1959" priority="2043" operator="containsText" text="Not yet due">
      <formula>NOT(ISERROR(SEARCH("Not yet due",I100)))</formula>
    </cfRule>
    <cfRule type="containsText" dxfId="1958" priority="2044" operator="containsText" text="Completed Behind Schedule">
      <formula>NOT(ISERROR(SEARCH("Completed Behind Schedule",I100)))</formula>
    </cfRule>
    <cfRule type="containsText" dxfId="1957" priority="2045" operator="containsText" text="Off Target">
      <formula>NOT(ISERROR(SEARCH("Off Target",I100)))</formula>
    </cfRule>
    <cfRule type="containsText" dxfId="1956" priority="2046" operator="containsText" text="In Danger of Falling Behind Target">
      <formula>NOT(ISERROR(SEARCH("In Danger of Falling Behind Target",I100)))</formula>
    </cfRule>
    <cfRule type="containsText" dxfId="1955" priority="2047" operator="containsText" text="On Track to be Achieved">
      <formula>NOT(ISERROR(SEARCH("On Track to be Achieved",I100)))</formula>
    </cfRule>
    <cfRule type="containsText" dxfId="1954" priority="2048" operator="containsText" text="Fully Achieved">
      <formula>NOT(ISERROR(SEARCH("Fully Achieved",I100)))</formula>
    </cfRule>
    <cfRule type="containsText" dxfId="1953" priority="2049" operator="containsText" text="Fully Achieved">
      <formula>NOT(ISERROR(SEARCH("Fully Achieved",I100)))</formula>
    </cfRule>
    <cfRule type="containsText" dxfId="1952" priority="2050" operator="containsText" text="Fully Achieved">
      <formula>NOT(ISERROR(SEARCH("Fully Achieved",I100)))</formula>
    </cfRule>
    <cfRule type="containsText" dxfId="1951" priority="2051" operator="containsText" text="Deferred">
      <formula>NOT(ISERROR(SEARCH("Deferred",I100)))</formula>
    </cfRule>
    <cfRule type="containsText" dxfId="1950" priority="2052" operator="containsText" text="Deleted">
      <formula>NOT(ISERROR(SEARCH("Deleted",I100)))</formula>
    </cfRule>
    <cfRule type="containsText" dxfId="1949" priority="2053" operator="containsText" text="In Danger of Falling Behind Target">
      <formula>NOT(ISERROR(SEARCH("In Danger of Falling Behind Target",I100)))</formula>
    </cfRule>
    <cfRule type="containsText" dxfId="1948" priority="2054" operator="containsText" text="Not yet due">
      <formula>NOT(ISERROR(SEARCH("Not yet due",I100)))</formula>
    </cfRule>
    <cfRule type="containsText" dxfId="1947" priority="2055" operator="containsText" text="Update not Provided">
      <formula>NOT(ISERROR(SEARCH("Update not Provided",I100)))</formula>
    </cfRule>
  </conditionalFormatting>
  <conditionalFormatting sqref="I102:I112">
    <cfRule type="containsText" dxfId="1946" priority="1984" operator="containsText" text="On track to be achieved">
      <formula>NOT(ISERROR(SEARCH("On track to be achieved",I102)))</formula>
    </cfRule>
    <cfRule type="containsText" dxfId="1945" priority="1985" operator="containsText" text="Deferred">
      <formula>NOT(ISERROR(SEARCH("Deferred",I102)))</formula>
    </cfRule>
    <cfRule type="containsText" dxfId="1944" priority="1986" operator="containsText" text="Deleted">
      <formula>NOT(ISERROR(SEARCH("Deleted",I102)))</formula>
    </cfRule>
    <cfRule type="containsText" dxfId="1943" priority="1987" operator="containsText" text="In Danger of Falling Behind Target">
      <formula>NOT(ISERROR(SEARCH("In Danger of Falling Behind Target",I102)))</formula>
    </cfRule>
    <cfRule type="containsText" dxfId="1942" priority="1988" operator="containsText" text="Not yet due">
      <formula>NOT(ISERROR(SEARCH("Not yet due",I102)))</formula>
    </cfRule>
    <cfRule type="containsText" dxfId="1941" priority="1989" operator="containsText" text="Update not Provided">
      <formula>NOT(ISERROR(SEARCH("Update not Provided",I102)))</formula>
    </cfRule>
    <cfRule type="containsText" dxfId="1940" priority="1990" operator="containsText" text="Not yet due">
      <formula>NOT(ISERROR(SEARCH("Not yet due",I102)))</formula>
    </cfRule>
    <cfRule type="containsText" dxfId="1939" priority="1991" operator="containsText" text="Completed Behind Schedule">
      <formula>NOT(ISERROR(SEARCH("Completed Behind Schedule",I102)))</formula>
    </cfRule>
    <cfRule type="containsText" dxfId="1938" priority="1992" operator="containsText" text="Off Target">
      <formula>NOT(ISERROR(SEARCH("Off Target",I102)))</formula>
    </cfRule>
    <cfRule type="containsText" dxfId="1937" priority="1993" operator="containsText" text="On Track to be Achieved">
      <formula>NOT(ISERROR(SEARCH("On Track to be Achieved",I102)))</formula>
    </cfRule>
    <cfRule type="containsText" dxfId="1936" priority="1994" operator="containsText" text="Fully Achieved">
      <formula>NOT(ISERROR(SEARCH("Fully Achieved",I102)))</formula>
    </cfRule>
    <cfRule type="containsText" dxfId="1935" priority="1995" operator="containsText" text="Not yet due">
      <formula>NOT(ISERROR(SEARCH("Not yet due",I102)))</formula>
    </cfRule>
    <cfRule type="containsText" dxfId="1934" priority="1996" operator="containsText" text="Not Yet Due">
      <formula>NOT(ISERROR(SEARCH("Not Yet Due",I102)))</formula>
    </cfRule>
    <cfRule type="containsText" dxfId="1933" priority="1997" operator="containsText" text="Deferred">
      <formula>NOT(ISERROR(SEARCH("Deferred",I102)))</formula>
    </cfRule>
    <cfRule type="containsText" dxfId="1932" priority="1998" operator="containsText" text="Deleted">
      <formula>NOT(ISERROR(SEARCH("Deleted",I102)))</formula>
    </cfRule>
    <cfRule type="containsText" dxfId="1931" priority="1999" operator="containsText" text="In Danger of Falling Behind Target">
      <formula>NOT(ISERROR(SEARCH("In Danger of Falling Behind Target",I102)))</formula>
    </cfRule>
    <cfRule type="containsText" dxfId="1930" priority="2000" operator="containsText" text="Not yet due">
      <formula>NOT(ISERROR(SEARCH("Not yet due",I102)))</formula>
    </cfRule>
    <cfRule type="containsText" dxfId="1929" priority="2001" operator="containsText" text="Completed Behind Schedule">
      <formula>NOT(ISERROR(SEARCH("Completed Behind Schedule",I102)))</formula>
    </cfRule>
    <cfRule type="containsText" dxfId="1928" priority="2002" operator="containsText" text="Off Target">
      <formula>NOT(ISERROR(SEARCH("Off Target",I102)))</formula>
    </cfRule>
    <cfRule type="containsText" dxfId="1927" priority="2003" operator="containsText" text="In Danger of Falling Behind Target">
      <formula>NOT(ISERROR(SEARCH("In Danger of Falling Behind Target",I102)))</formula>
    </cfRule>
    <cfRule type="containsText" dxfId="1926" priority="2004" operator="containsText" text="On Track to be Achieved">
      <formula>NOT(ISERROR(SEARCH("On Track to be Achieved",I102)))</formula>
    </cfRule>
    <cfRule type="containsText" dxfId="1925" priority="2005" operator="containsText" text="Fully Achieved">
      <formula>NOT(ISERROR(SEARCH("Fully Achieved",I102)))</formula>
    </cfRule>
    <cfRule type="containsText" dxfId="1924" priority="2006" operator="containsText" text="Update not Provided">
      <formula>NOT(ISERROR(SEARCH("Update not Provided",I102)))</formula>
    </cfRule>
    <cfRule type="containsText" dxfId="1923" priority="2007" operator="containsText" text="Not yet due">
      <formula>NOT(ISERROR(SEARCH("Not yet due",I102)))</formula>
    </cfRule>
    <cfRule type="containsText" dxfId="1922" priority="2008" operator="containsText" text="Completed Behind Schedule">
      <formula>NOT(ISERROR(SEARCH("Completed Behind Schedule",I102)))</formula>
    </cfRule>
    <cfRule type="containsText" dxfId="1921" priority="2009" operator="containsText" text="Off Target">
      <formula>NOT(ISERROR(SEARCH("Off Target",I102)))</formula>
    </cfRule>
    <cfRule type="containsText" dxfId="1920" priority="2010" operator="containsText" text="In Danger of Falling Behind Target">
      <formula>NOT(ISERROR(SEARCH("In Danger of Falling Behind Target",I102)))</formula>
    </cfRule>
    <cfRule type="containsText" dxfId="1919" priority="2011" operator="containsText" text="On Track to be Achieved">
      <formula>NOT(ISERROR(SEARCH("On Track to be Achieved",I102)))</formula>
    </cfRule>
    <cfRule type="containsText" dxfId="1918" priority="2012" operator="containsText" text="Fully Achieved">
      <formula>NOT(ISERROR(SEARCH("Fully Achieved",I102)))</formula>
    </cfRule>
    <cfRule type="containsText" dxfId="1917" priority="2013" operator="containsText" text="Fully Achieved">
      <formula>NOT(ISERROR(SEARCH("Fully Achieved",I102)))</formula>
    </cfRule>
    <cfRule type="containsText" dxfId="1916" priority="2014" operator="containsText" text="Fully Achieved">
      <formula>NOT(ISERROR(SEARCH("Fully Achieved",I102)))</formula>
    </cfRule>
    <cfRule type="containsText" dxfId="1915" priority="2015" operator="containsText" text="Deferred">
      <formula>NOT(ISERROR(SEARCH("Deferred",I102)))</formula>
    </cfRule>
    <cfRule type="containsText" dxfId="1914" priority="2016" operator="containsText" text="Deleted">
      <formula>NOT(ISERROR(SEARCH("Deleted",I102)))</formula>
    </cfRule>
    <cfRule type="containsText" dxfId="1913" priority="2017" operator="containsText" text="In Danger of Falling Behind Target">
      <formula>NOT(ISERROR(SEARCH("In Danger of Falling Behind Target",I102)))</formula>
    </cfRule>
    <cfRule type="containsText" dxfId="1912" priority="2018" operator="containsText" text="Not yet due">
      <formula>NOT(ISERROR(SEARCH("Not yet due",I102)))</formula>
    </cfRule>
    <cfRule type="containsText" dxfId="1911" priority="2019" operator="containsText" text="Update not Provided">
      <formula>NOT(ISERROR(SEARCH("Update not Provided",I102)))</formula>
    </cfRule>
  </conditionalFormatting>
  <conditionalFormatting sqref="I114:I115">
    <cfRule type="containsText" dxfId="1910" priority="1948" operator="containsText" text="On track to be achieved">
      <formula>NOT(ISERROR(SEARCH("On track to be achieved",I114)))</formula>
    </cfRule>
    <cfRule type="containsText" dxfId="1909" priority="1949" operator="containsText" text="Deferred">
      <formula>NOT(ISERROR(SEARCH("Deferred",I114)))</formula>
    </cfRule>
    <cfRule type="containsText" dxfId="1908" priority="1950" operator="containsText" text="Deleted">
      <formula>NOT(ISERROR(SEARCH("Deleted",I114)))</formula>
    </cfRule>
    <cfRule type="containsText" dxfId="1907" priority="1951" operator="containsText" text="In Danger of Falling Behind Target">
      <formula>NOT(ISERROR(SEARCH("In Danger of Falling Behind Target",I114)))</formula>
    </cfRule>
    <cfRule type="containsText" dxfId="1906" priority="1952" operator="containsText" text="Not yet due">
      <formula>NOT(ISERROR(SEARCH("Not yet due",I114)))</formula>
    </cfRule>
    <cfRule type="containsText" dxfId="1905" priority="1953" operator="containsText" text="Update not Provided">
      <formula>NOT(ISERROR(SEARCH("Update not Provided",I114)))</formula>
    </cfRule>
    <cfRule type="containsText" dxfId="1904" priority="1954" operator="containsText" text="Not yet due">
      <formula>NOT(ISERROR(SEARCH("Not yet due",I114)))</formula>
    </cfRule>
    <cfRule type="containsText" dxfId="1903" priority="1955" operator="containsText" text="Completed Behind Schedule">
      <formula>NOT(ISERROR(SEARCH("Completed Behind Schedule",I114)))</formula>
    </cfRule>
    <cfRule type="containsText" dxfId="1902" priority="1956" operator="containsText" text="Off Target">
      <formula>NOT(ISERROR(SEARCH("Off Target",I114)))</formula>
    </cfRule>
    <cfRule type="containsText" dxfId="1901" priority="1957" operator="containsText" text="On Track to be Achieved">
      <formula>NOT(ISERROR(SEARCH("On Track to be Achieved",I114)))</formula>
    </cfRule>
    <cfRule type="containsText" dxfId="1900" priority="1958" operator="containsText" text="Fully Achieved">
      <formula>NOT(ISERROR(SEARCH("Fully Achieved",I114)))</formula>
    </cfRule>
    <cfRule type="containsText" dxfId="1899" priority="1959" operator="containsText" text="Not yet due">
      <formula>NOT(ISERROR(SEARCH("Not yet due",I114)))</formula>
    </cfRule>
    <cfRule type="containsText" dxfId="1898" priority="1960" operator="containsText" text="Not Yet Due">
      <formula>NOT(ISERROR(SEARCH("Not Yet Due",I114)))</formula>
    </cfRule>
    <cfRule type="containsText" dxfId="1897" priority="1961" operator="containsText" text="Deferred">
      <formula>NOT(ISERROR(SEARCH("Deferred",I114)))</formula>
    </cfRule>
    <cfRule type="containsText" dxfId="1896" priority="1962" operator="containsText" text="Deleted">
      <formula>NOT(ISERROR(SEARCH("Deleted",I114)))</formula>
    </cfRule>
    <cfRule type="containsText" dxfId="1895" priority="1963" operator="containsText" text="In Danger of Falling Behind Target">
      <formula>NOT(ISERROR(SEARCH("In Danger of Falling Behind Target",I114)))</formula>
    </cfRule>
    <cfRule type="containsText" dxfId="1894" priority="1964" operator="containsText" text="Not yet due">
      <formula>NOT(ISERROR(SEARCH("Not yet due",I114)))</formula>
    </cfRule>
    <cfRule type="containsText" dxfId="1893" priority="1965" operator="containsText" text="Completed Behind Schedule">
      <formula>NOT(ISERROR(SEARCH("Completed Behind Schedule",I114)))</formula>
    </cfRule>
    <cfRule type="containsText" dxfId="1892" priority="1966" operator="containsText" text="Off Target">
      <formula>NOT(ISERROR(SEARCH("Off Target",I114)))</formula>
    </cfRule>
    <cfRule type="containsText" dxfId="1891" priority="1967" operator="containsText" text="In Danger of Falling Behind Target">
      <formula>NOT(ISERROR(SEARCH("In Danger of Falling Behind Target",I114)))</formula>
    </cfRule>
    <cfRule type="containsText" dxfId="1890" priority="1968" operator="containsText" text="On Track to be Achieved">
      <formula>NOT(ISERROR(SEARCH("On Track to be Achieved",I114)))</formula>
    </cfRule>
    <cfRule type="containsText" dxfId="1889" priority="1969" operator="containsText" text="Fully Achieved">
      <formula>NOT(ISERROR(SEARCH("Fully Achieved",I114)))</formula>
    </cfRule>
    <cfRule type="containsText" dxfId="1888" priority="1970" operator="containsText" text="Update not Provided">
      <formula>NOT(ISERROR(SEARCH("Update not Provided",I114)))</formula>
    </cfRule>
    <cfRule type="containsText" dxfId="1887" priority="1971" operator="containsText" text="Not yet due">
      <formula>NOT(ISERROR(SEARCH("Not yet due",I114)))</formula>
    </cfRule>
    <cfRule type="containsText" dxfId="1886" priority="1972" operator="containsText" text="Completed Behind Schedule">
      <formula>NOT(ISERROR(SEARCH("Completed Behind Schedule",I114)))</formula>
    </cfRule>
    <cfRule type="containsText" dxfId="1885" priority="1973" operator="containsText" text="Off Target">
      <formula>NOT(ISERROR(SEARCH("Off Target",I114)))</formula>
    </cfRule>
    <cfRule type="containsText" dxfId="1884" priority="1974" operator="containsText" text="In Danger of Falling Behind Target">
      <formula>NOT(ISERROR(SEARCH("In Danger of Falling Behind Target",I114)))</formula>
    </cfRule>
    <cfRule type="containsText" dxfId="1883" priority="1975" operator="containsText" text="On Track to be Achieved">
      <formula>NOT(ISERROR(SEARCH("On Track to be Achieved",I114)))</formula>
    </cfRule>
    <cfRule type="containsText" dxfId="1882" priority="1976" operator="containsText" text="Fully Achieved">
      <formula>NOT(ISERROR(SEARCH("Fully Achieved",I114)))</formula>
    </cfRule>
    <cfRule type="containsText" dxfId="1881" priority="1977" operator="containsText" text="Fully Achieved">
      <formula>NOT(ISERROR(SEARCH("Fully Achieved",I114)))</formula>
    </cfRule>
    <cfRule type="containsText" dxfId="1880" priority="1978" operator="containsText" text="Fully Achieved">
      <formula>NOT(ISERROR(SEARCH("Fully Achieved",I114)))</formula>
    </cfRule>
    <cfRule type="containsText" dxfId="1879" priority="1979" operator="containsText" text="Deferred">
      <formula>NOT(ISERROR(SEARCH("Deferred",I114)))</formula>
    </cfRule>
    <cfRule type="containsText" dxfId="1878" priority="1980" operator="containsText" text="Deleted">
      <formula>NOT(ISERROR(SEARCH("Deleted",I114)))</formula>
    </cfRule>
    <cfRule type="containsText" dxfId="1877" priority="1981" operator="containsText" text="In Danger of Falling Behind Target">
      <formula>NOT(ISERROR(SEARCH("In Danger of Falling Behind Target",I114)))</formula>
    </cfRule>
    <cfRule type="containsText" dxfId="1876" priority="1982" operator="containsText" text="Not yet due">
      <formula>NOT(ISERROR(SEARCH("Not yet due",I114)))</formula>
    </cfRule>
    <cfRule type="containsText" dxfId="1875" priority="1983" operator="containsText" text="Update not Provided">
      <formula>NOT(ISERROR(SEARCH("Update not Provided",I114)))</formula>
    </cfRule>
  </conditionalFormatting>
  <conditionalFormatting sqref="I117:I122">
    <cfRule type="containsText" dxfId="1874" priority="1912" operator="containsText" text="On track to be achieved">
      <formula>NOT(ISERROR(SEARCH("On track to be achieved",I117)))</formula>
    </cfRule>
    <cfRule type="containsText" dxfId="1873" priority="1913" operator="containsText" text="Deferred">
      <formula>NOT(ISERROR(SEARCH("Deferred",I117)))</formula>
    </cfRule>
    <cfRule type="containsText" dxfId="1872" priority="1914" operator="containsText" text="Deleted">
      <formula>NOT(ISERROR(SEARCH("Deleted",I117)))</formula>
    </cfRule>
    <cfRule type="containsText" dxfId="1871" priority="1915" operator="containsText" text="In Danger of Falling Behind Target">
      <formula>NOT(ISERROR(SEARCH("In Danger of Falling Behind Target",I117)))</formula>
    </cfRule>
    <cfRule type="containsText" dxfId="1870" priority="1916" operator="containsText" text="Not yet due">
      <formula>NOT(ISERROR(SEARCH("Not yet due",I117)))</formula>
    </cfRule>
    <cfRule type="containsText" dxfId="1869" priority="1917" operator="containsText" text="Update not Provided">
      <formula>NOT(ISERROR(SEARCH("Update not Provided",I117)))</formula>
    </cfRule>
    <cfRule type="containsText" dxfId="1868" priority="1918" operator="containsText" text="Not yet due">
      <formula>NOT(ISERROR(SEARCH("Not yet due",I117)))</formula>
    </cfRule>
    <cfRule type="containsText" dxfId="1867" priority="1919" operator="containsText" text="Completed Behind Schedule">
      <formula>NOT(ISERROR(SEARCH("Completed Behind Schedule",I117)))</formula>
    </cfRule>
    <cfRule type="containsText" dxfId="1866" priority="1920" operator="containsText" text="Off Target">
      <formula>NOT(ISERROR(SEARCH("Off Target",I117)))</formula>
    </cfRule>
    <cfRule type="containsText" dxfId="1865" priority="1921" operator="containsText" text="On Track to be Achieved">
      <formula>NOT(ISERROR(SEARCH("On Track to be Achieved",I117)))</formula>
    </cfRule>
    <cfRule type="containsText" dxfId="1864" priority="1922" operator="containsText" text="Fully Achieved">
      <formula>NOT(ISERROR(SEARCH("Fully Achieved",I117)))</formula>
    </cfRule>
    <cfRule type="containsText" dxfId="1863" priority="1923" operator="containsText" text="Not yet due">
      <formula>NOT(ISERROR(SEARCH("Not yet due",I117)))</formula>
    </cfRule>
    <cfRule type="containsText" dxfId="1862" priority="1924" operator="containsText" text="Not Yet Due">
      <formula>NOT(ISERROR(SEARCH("Not Yet Due",I117)))</formula>
    </cfRule>
    <cfRule type="containsText" dxfId="1861" priority="1925" operator="containsText" text="Deferred">
      <formula>NOT(ISERROR(SEARCH("Deferred",I117)))</formula>
    </cfRule>
    <cfRule type="containsText" dxfId="1860" priority="1926" operator="containsText" text="Deleted">
      <formula>NOT(ISERROR(SEARCH("Deleted",I117)))</formula>
    </cfRule>
    <cfRule type="containsText" dxfId="1859" priority="1927" operator="containsText" text="In Danger of Falling Behind Target">
      <formula>NOT(ISERROR(SEARCH("In Danger of Falling Behind Target",I117)))</formula>
    </cfRule>
    <cfRule type="containsText" dxfId="1858" priority="1928" operator="containsText" text="Not yet due">
      <formula>NOT(ISERROR(SEARCH("Not yet due",I117)))</formula>
    </cfRule>
    <cfRule type="containsText" dxfId="1857" priority="1929" operator="containsText" text="Completed Behind Schedule">
      <formula>NOT(ISERROR(SEARCH("Completed Behind Schedule",I117)))</formula>
    </cfRule>
    <cfRule type="containsText" dxfId="1856" priority="1930" operator="containsText" text="Off Target">
      <formula>NOT(ISERROR(SEARCH("Off Target",I117)))</formula>
    </cfRule>
    <cfRule type="containsText" dxfId="1855" priority="1931" operator="containsText" text="In Danger of Falling Behind Target">
      <formula>NOT(ISERROR(SEARCH("In Danger of Falling Behind Target",I117)))</formula>
    </cfRule>
    <cfRule type="containsText" dxfId="1854" priority="1932" operator="containsText" text="On Track to be Achieved">
      <formula>NOT(ISERROR(SEARCH("On Track to be Achieved",I117)))</formula>
    </cfRule>
    <cfRule type="containsText" dxfId="1853" priority="1933" operator="containsText" text="Fully Achieved">
      <formula>NOT(ISERROR(SEARCH("Fully Achieved",I117)))</formula>
    </cfRule>
    <cfRule type="containsText" dxfId="1852" priority="1934" operator="containsText" text="Update not Provided">
      <formula>NOT(ISERROR(SEARCH("Update not Provided",I117)))</formula>
    </cfRule>
    <cfRule type="containsText" dxfId="1851" priority="1935" operator="containsText" text="Not yet due">
      <formula>NOT(ISERROR(SEARCH("Not yet due",I117)))</formula>
    </cfRule>
    <cfRule type="containsText" dxfId="1850" priority="1936" operator="containsText" text="Completed Behind Schedule">
      <formula>NOT(ISERROR(SEARCH("Completed Behind Schedule",I117)))</formula>
    </cfRule>
    <cfRule type="containsText" dxfId="1849" priority="1937" operator="containsText" text="Off Target">
      <formula>NOT(ISERROR(SEARCH("Off Target",I117)))</formula>
    </cfRule>
    <cfRule type="containsText" dxfId="1848" priority="1938" operator="containsText" text="In Danger of Falling Behind Target">
      <formula>NOT(ISERROR(SEARCH("In Danger of Falling Behind Target",I117)))</formula>
    </cfRule>
    <cfRule type="containsText" dxfId="1847" priority="1939" operator="containsText" text="On Track to be Achieved">
      <formula>NOT(ISERROR(SEARCH("On Track to be Achieved",I117)))</formula>
    </cfRule>
    <cfRule type="containsText" dxfId="1846" priority="1940" operator="containsText" text="Fully Achieved">
      <formula>NOT(ISERROR(SEARCH("Fully Achieved",I117)))</formula>
    </cfRule>
    <cfRule type="containsText" dxfId="1845" priority="1941" operator="containsText" text="Fully Achieved">
      <formula>NOT(ISERROR(SEARCH("Fully Achieved",I117)))</formula>
    </cfRule>
    <cfRule type="containsText" dxfId="1844" priority="1942" operator="containsText" text="Fully Achieved">
      <formula>NOT(ISERROR(SEARCH("Fully Achieved",I117)))</formula>
    </cfRule>
    <cfRule type="containsText" dxfId="1843" priority="1943" operator="containsText" text="Deferred">
      <formula>NOT(ISERROR(SEARCH("Deferred",I117)))</formula>
    </cfRule>
    <cfRule type="containsText" dxfId="1842" priority="1944" operator="containsText" text="Deleted">
      <formula>NOT(ISERROR(SEARCH("Deleted",I117)))</formula>
    </cfRule>
    <cfRule type="containsText" dxfId="1841" priority="1945" operator="containsText" text="In Danger of Falling Behind Target">
      <formula>NOT(ISERROR(SEARCH("In Danger of Falling Behind Target",I117)))</formula>
    </cfRule>
    <cfRule type="containsText" dxfId="1840" priority="1946" operator="containsText" text="Not yet due">
      <formula>NOT(ISERROR(SEARCH("Not yet due",I117)))</formula>
    </cfRule>
    <cfRule type="containsText" dxfId="1839" priority="1947" operator="containsText" text="Update not Provided">
      <formula>NOT(ISERROR(SEARCH("Update not Provided",I117)))</formula>
    </cfRule>
  </conditionalFormatting>
  <conditionalFormatting sqref="J4:J127">
    <cfRule type="containsText" dxfId="1838" priority="1909" operator="containsText" text="reasonable tolerance">
      <formula>NOT(ISERROR(SEARCH("reasonable tolerance",J4)))</formula>
    </cfRule>
    <cfRule type="containsText" dxfId="1837" priority="1910" operator="containsText" text="significantly after">
      <formula>NOT(ISERROR(SEARCH("significantly after",J4)))</formula>
    </cfRule>
    <cfRule type="containsText" dxfId="1836" priority="1911" operator="containsText" text="10% tolerance">
      <formula>NOT(ISERROR(SEARCH("10% tolerance",J4)))</formula>
    </cfRule>
  </conditionalFormatting>
  <conditionalFormatting sqref="E5:E7">
    <cfRule type="containsText" dxfId="1835" priority="1873" operator="containsText" text="On track to be achieved">
      <formula>NOT(ISERROR(SEARCH("On track to be achieved",E5)))</formula>
    </cfRule>
    <cfRule type="containsText" dxfId="1834" priority="1874" operator="containsText" text="Deferred">
      <formula>NOT(ISERROR(SEARCH("Deferred",E5)))</formula>
    </cfRule>
    <cfRule type="containsText" dxfId="1833" priority="1875" operator="containsText" text="Deleted">
      <formula>NOT(ISERROR(SEARCH("Deleted",E5)))</formula>
    </cfRule>
    <cfRule type="containsText" dxfId="1832" priority="1876" operator="containsText" text="In Danger of Falling Behind Target">
      <formula>NOT(ISERROR(SEARCH("In Danger of Falling Behind Target",E5)))</formula>
    </cfRule>
    <cfRule type="containsText" dxfId="1831" priority="1877" operator="containsText" text="Not yet due">
      <formula>NOT(ISERROR(SEARCH("Not yet due",E5)))</formula>
    </cfRule>
    <cfRule type="containsText" dxfId="1830" priority="1878" operator="containsText" text="Update not Provided">
      <formula>NOT(ISERROR(SEARCH("Update not Provided",E5)))</formula>
    </cfRule>
    <cfRule type="containsText" dxfId="1829" priority="1879" operator="containsText" text="Not yet due">
      <formula>NOT(ISERROR(SEARCH("Not yet due",E5)))</formula>
    </cfRule>
    <cfRule type="containsText" dxfId="1828" priority="1880" operator="containsText" text="Completed Behind Schedule">
      <formula>NOT(ISERROR(SEARCH("Completed Behind Schedule",E5)))</formula>
    </cfRule>
    <cfRule type="containsText" dxfId="1827" priority="1881" operator="containsText" text="Off Target">
      <formula>NOT(ISERROR(SEARCH("Off Target",E5)))</formula>
    </cfRule>
    <cfRule type="containsText" dxfId="1826" priority="1882" operator="containsText" text="On Track to be Achieved">
      <formula>NOT(ISERROR(SEARCH("On Track to be Achieved",E5)))</formula>
    </cfRule>
    <cfRule type="containsText" dxfId="1825" priority="1883" operator="containsText" text="Fully Achieved">
      <formula>NOT(ISERROR(SEARCH("Fully Achieved",E5)))</formula>
    </cfRule>
    <cfRule type="containsText" dxfId="1824" priority="1884" operator="containsText" text="Not yet due">
      <formula>NOT(ISERROR(SEARCH("Not yet due",E5)))</formula>
    </cfRule>
    <cfRule type="containsText" dxfId="1823" priority="1885" operator="containsText" text="Not Yet Due">
      <formula>NOT(ISERROR(SEARCH("Not Yet Due",E5)))</formula>
    </cfRule>
    <cfRule type="containsText" dxfId="1822" priority="1886" operator="containsText" text="Deferred">
      <formula>NOT(ISERROR(SEARCH("Deferred",E5)))</formula>
    </cfRule>
    <cfRule type="containsText" dxfId="1821" priority="1887" operator="containsText" text="Deleted">
      <formula>NOT(ISERROR(SEARCH("Deleted",E5)))</formula>
    </cfRule>
    <cfRule type="containsText" dxfId="1820" priority="1888" operator="containsText" text="In Danger of Falling Behind Target">
      <formula>NOT(ISERROR(SEARCH("In Danger of Falling Behind Target",E5)))</formula>
    </cfRule>
    <cfRule type="containsText" dxfId="1819" priority="1889" operator="containsText" text="Not yet due">
      <formula>NOT(ISERROR(SEARCH("Not yet due",E5)))</formula>
    </cfRule>
    <cfRule type="containsText" dxfId="1818" priority="1890" operator="containsText" text="Completed Behind Schedule">
      <formula>NOT(ISERROR(SEARCH("Completed Behind Schedule",E5)))</formula>
    </cfRule>
    <cfRule type="containsText" dxfId="1817" priority="1891" operator="containsText" text="Off Target">
      <formula>NOT(ISERROR(SEARCH("Off Target",E5)))</formula>
    </cfRule>
    <cfRule type="containsText" dxfId="1816" priority="1892" operator="containsText" text="In Danger of Falling Behind Target">
      <formula>NOT(ISERROR(SEARCH("In Danger of Falling Behind Target",E5)))</formula>
    </cfRule>
    <cfRule type="containsText" dxfId="1815" priority="1893" operator="containsText" text="On Track to be Achieved">
      <formula>NOT(ISERROR(SEARCH("On Track to be Achieved",E5)))</formula>
    </cfRule>
    <cfRule type="containsText" dxfId="1814" priority="1894" operator="containsText" text="Fully Achieved">
      <formula>NOT(ISERROR(SEARCH("Fully Achieved",E5)))</formula>
    </cfRule>
    <cfRule type="containsText" dxfId="1813" priority="1895" operator="containsText" text="Update not Provided">
      <formula>NOT(ISERROR(SEARCH("Update not Provided",E5)))</formula>
    </cfRule>
    <cfRule type="containsText" dxfId="1812" priority="1896" operator="containsText" text="Not yet due">
      <formula>NOT(ISERROR(SEARCH("Not yet due",E5)))</formula>
    </cfRule>
    <cfRule type="containsText" dxfId="1811" priority="1897" operator="containsText" text="Completed Behind Schedule">
      <formula>NOT(ISERROR(SEARCH("Completed Behind Schedule",E5)))</formula>
    </cfRule>
    <cfRule type="containsText" dxfId="1810" priority="1898" operator="containsText" text="Off Target">
      <formula>NOT(ISERROR(SEARCH("Off Target",E5)))</formula>
    </cfRule>
    <cfRule type="containsText" dxfId="1809" priority="1899" operator="containsText" text="In Danger of Falling Behind Target">
      <formula>NOT(ISERROR(SEARCH("In Danger of Falling Behind Target",E5)))</formula>
    </cfRule>
    <cfRule type="containsText" dxfId="1808" priority="1900" operator="containsText" text="On Track to be Achieved">
      <formula>NOT(ISERROR(SEARCH("On Track to be Achieved",E5)))</formula>
    </cfRule>
    <cfRule type="containsText" dxfId="1807" priority="1901" operator="containsText" text="Fully Achieved">
      <formula>NOT(ISERROR(SEARCH("Fully Achieved",E5)))</formula>
    </cfRule>
    <cfRule type="containsText" dxfId="1806" priority="1902" operator="containsText" text="Fully Achieved">
      <formula>NOT(ISERROR(SEARCH("Fully Achieved",E5)))</formula>
    </cfRule>
    <cfRule type="containsText" dxfId="1805" priority="1903" operator="containsText" text="Fully Achieved">
      <formula>NOT(ISERROR(SEARCH("Fully Achieved",E5)))</formula>
    </cfRule>
    <cfRule type="containsText" dxfId="1804" priority="1904" operator="containsText" text="Deferred">
      <formula>NOT(ISERROR(SEARCH("Deferred",E5)))</formula>
    </cfRule>
    <cfRule type="containsText" dxfId="1803" priority="1905" operator="containsText" text="Deleted">
      <formula>NOT(ISERROR(SEARCH("Deleted",E5)))</formula>
    </cfRule>
    <cfRule type="containsText" dxfId="1802" priority="1906" operator="containsText" text="In Danger of Falling Behind Target">
      <formula>NOT(ISERROR(SEARCH("In Danger of Falling Behind Target",E5)))</formula>
    </cfRule>
    <cfRule type="containsText" dxfId="1801" priority="1907" operator="containsText" text="Not yet due">
      <formula>NOT(ISERROR(SEARCH("Not yet due",E5)))</formula>
    </cfRule>
    <cfRule type="containsText" dxfId="1800" priority="1908" operator="containsText" text="Update not Provided">
      <formula>NOT(ISERROR(SEARCH("Update not Provided",E5)))</formula>
    </cfRule>
  </conditionalFormatting>
  <conditionalFormatting sqref="E9">
    <cfRule type="containsText" dxfId="1799" priority="1837" operator="containsText" text="On track to be achieved">
      <formula>NOT(ISERROR(SEARCH("On track to be achieved",E9)))</formula>
    </cfRule>
    <cfRule type="containsText" dxfId="1798" priority="1838" operator="containsText" text="Deferred">
      <formula>NOT(ISERROR(SEARCH("Deferred",E9)))</formula>
    </cfRule>
    <cfRule type="containsText" dxfId="1797" priority="1839" operator="containsText" text="Deleted">
      <formula>NOT(ISERROR(SEARCH("Deleted",E9)))</formula>
    </cfRule>
    <cfRule type="containsText" dxfId="1796" priority="1840" operator="containsText" text="In Danger of Falling Behind Target">
      <formula>NOT(ISERROR(SEARCH("In Danger of Falling Behind Target",E9)))</formula>
    </cfRule>
    <cfRule type="containsText" dxfId="1795" priority="1841" operator="containsText" text="Not yet due">
      <formula>NOT(ISERROR(SEARCH("Not yet due",E9)))</formula>
    </cfRule>
    <cfRule type="containsText" dxfId="1794" priority="1842" operator="containsText" text="Update not Provided">
      <formula>NOT(ISERROR(SEARCH("Update not Provided",E9)))</formula>
    </cfRule>
    <cfRule type="containsText" dxfId="1793" priority="1843" operator="containsText" text="Not yet due">
      <formula>NOT(ISERROR(SEARCH("Not yet due",E9)))</formula>
    </cfRule>
    <cfRule type="containsText" dxfId="1792" priority="1844" operator="containsText" text="Completed Behind Schedule">
      <formula>NOT(ISERROR(SEARCH("Completed Behind Schedule",E9)))</formula>
    </cfRule>
    <cfRule type="containsText" dxfId="1791" priority="1845" operator="containsText" text="Off Target">
      <formula>NOT(ISERROR(SEARCH("Off Target",E9)))</formula>
    </cfRule>
    <cfRule type="containsText" dxfId="1790" priority="1846" operator="containsText" text="On Track to be Achieved">
      <formula>NOT(ISERROR(SEARCH("On Track to be Achieved",E9)))</formula>
    </cfRule>
    <cfRule type="containsText" dxfId="1789" priority="1847" operator="containsText" text="Fully Achieved">
      <formula>NOT(ISERROR(SEARCH("Fully Achieved",E9)))</formula>
    </cfRule>
    <cfRule type="containsText" dxfId="1788" priority="1848" operator="containsText" text="Not yet due">
      <formula>NOT(ISERROR(SEARCH("Not yet due",E9)))</formula>
    </cfRule>
    <cfRule type="containsText" dxfId="1787" priority="1849" operator="containsText" text="Not Yet Due">
      <formula>NOT(ISERROR(SEARCH("Not Yet Due",E9)))</formula>
    </cfRule>
    <cfRule type="containsText" dxfId="1786" priority="1850" operator="containsText" text="Deferred">
      <formula>NOT(ISERROR(SEARCH("Deferred",E9)))</formula>
    </cfRule>
    <cfRule type="containsText" dxfId="1785" priority="1851" operator="containsText" text="Deleted">
      <formula>NOT(ISERROR(SEARCH("Deleted",E9)))</formula>
    </cfRule>
    <cfRule type="containsText" dxfId="1784" priority="1852" operator="containsText" text="In Danger of Falling Behind Target">
      <formula>NOT(ISERROR(SEARCH("In Danger of Falling Behind Target",E9)))</formula>
    </cfRule>
    <cfRule type="containsText" dxfId="1783" priority="1853" operator="containsText" text="Not yet due">
      <formula>NOT(ISERROR(SEARCH("Not yet due",E9)))</formula>
    </cfRule>
    <cfRule type="containsText" dxfId="1782" priority="1854" operator="containsText" text="Completed Behind Schedule">
      <formula>NOT(ISERROR(SEARCH("Completed Behind Schedule",E9)))</formula>
    </cfRule>
    <cfRule type="containsText" dxfId="1781" priority="1855" operator="containsText" text="Off Target">
      <formula>NOT(ISERROR(SEARCH("Off Target",E9)))</formula>
    </cfRule>
    <cfRule type="containsText" dxfId="1780" priority="1856" operator="containsText" text="In Danger of Falling Behind Target">
      <formula>NOT(ISERROR(SEARCH("In Danger of Falling Behind Target",E9)))</formula>
    </cfRule>
    <cfRule type="containsText" dxfId="1779" priority="1857" operator="containsText" text="On Track to be Achieved">
      <formula>NOT(ISERROR(SEARCH("On Track to be Achieved",E9)))</formula>
    </cfRule>
    <cfRule type="containsText" dxfId="1778" priority="1858" operator="containsText" text="Fully Achieved">
      <formula>NOT(ISERROR(SEARCH("Fully Achieved",E9)))</formula>
    </cfRule>
    <cfRule type="containsText" dxfId="1777" priority="1859" operator="containsText" text="Update not Provided">
      <formula>NOT(ISERROR(SEARCH("Update not Provided",E9)))</formula>
    </cfRule>
    <cfRule type="containsText" dxfId="1776" priority="1860" operator="containsText" text="Not yet due">
      <formula>NOT(ISERROR(SEARCH("Not yet due",E9)))</formula>
    </cfRule>
    <cfRule type="containsText" dxfId="1775" priority="1861" operator="containsText" text="Completed Behind Schedule">
      <formula>NOT(ISERROR(SEARCH("Completed Behind Schedule",E9)))</formula>
    </cfRule>
    <cfRule type="containsText" dxfId="1774" priority="1862" operator="containsText" text="Off Target">
      <formula>NOT(ISERROR(SEARCH("Off Target",E9)))</formula>
    </cfRule>
    <cfRule type="containsText" dxfId="1773" priority="1863" operator="containsText" text="In Danger of Falling Behind Target">
      <formula>NOT(ISERROR(SEARCH("In Danger of Falling Behind Target",E9)))</formula>
    </cfRule>
    <cfRule type="containsText" dxfId="1772" priority="1864" operator="containsText" text="On Track to be Achieved">
      <formula>NOT(ISERROR(SEARCH("On Track to be Achieved",E9)))</formula>
    </cfRule>
    <cfRule type="containsText" dxfId="1771" priority="1865" operator="containsText" text="Fully Achieved">
      <formula>NOT(ISERROR(SEARCH("Fully Achieved",E9)))</formula>
    </cfRule>
    <cfRule type="containsText" dxfId="1770" priority="1866" operator="containsText" text="Fully Achieved">
      <formula>NOT(ISERROR(SEARCH("Fully Achieved",E9)))</formula>
    </cfRule>
    <cfRule type="containsText" dxfId="1769" priority="1867" operator="containsText" text="Fully Achieved">
      <formula>NOT(ISERROR(SEARCH("Fully Achieved",E9)))</formula>
    </cfRule>
    <cfRule type="containsText" dxfId="1768" priority="1868" operator="containsText" text="Deferred">
      <formula>NOT(ISERROR(SEARCH("Deferred",E9)))</formula>
    </cfRule>
    <cfRule type="containsText" dxfId="1767" priority="1869" operator="containsText" text="Deleted">
      <formula>NOT(ISERROR(SEARCH("Deleted",E9)))</formula>
    </cfRule>
    <cfRule type="containsText" dxfId="1766" priority="1870" operator="containsText" text="In Danger of Falling Behind Target">
      <formula>NOT(ISERROR(SEARCH("In Danger of Falling Behind Target",E9)))</formula>
    </cfRule>
    <cfRule type="containsText" dxfId="1765" priority="1871" operator="containsText" text="Not yet due">
      <formula>NOT(ISERROR(SEARCH("Not yet due",E9)))</formula>
    </cfRule>
    <cfRule type="containsText" dxfId="1764" priority="1872" operator="containsText" text="Update not Provided">
      <formula>NOT(ISERROR(SEARCH("Update not Provided",E9)))</formula>
    </cfRule>
  </conditionalFormatting>
  <conditionalFormatting sqref="E13:E19">
    <cfRule type="containsText" dxfId="1763" priority="1801" operator="containsText" text="On track to be achieved">
      <formula>NOT(ISERROR(SEARCH("On track to be achieved",E13)))</formula>
    </cfRule>
    <cfRule type="containsText" dxfId="1762" priority="1802" operator="containsText" text="Deferred">
      <formula>NOT(ISERROR(SEARCH("Deferred",E13)))</formula>
    </cfRule>
    <cfRule type="containsText" dxfId="1761" priority="1803" operator="containsText" text="Deleted">
      <formula>NOT(ISERROR(SEARCH("Deleted",E13)))</formula>
    </cfRule>
    <cfRule type="containsText" dxfId="1760" priority="1804" operator="containsText" text="In Danger of Falling Behind Target">
      <formula>NOT(ISERROR(SEARCH("In Danger of Falling Behind Target",E13)))</formula>
    </cfRule>
    <cfRule type="containsText" dxfId="1759" priority="1805" operator="containsText" text="Not yet due">
      <formula>NOT(ISERROR(SEARCH("Not yet due",E13)))</formula>
    </cfRule>
    <cfRule type="containsText" dxfId="1758" priority="1806" operator="containsText" text="Update not Provided">
      <formula>NOT(ISERROR(SEARCH("Update not Provided",E13)))</formula>
    </cfRule>
    <cfRule type="containsText" dxfId="1757" priority="1807" operator="containsText" text="Not yet due">
      <formula>NOT(ISERROR(SEARCH("Not yet due",E13)))</formula>
    </cfRule>
    <cfRule type="containsText" dxfId="1756" priority="1808" operator="containsText" text="Completed Behind Schedule">
      <formula>NOT(ISERROR(SEARCH("Completed Behind Schedule",E13)))</formula>
    </cfRule>
    <cfRule type="containsText" dxfId="1755" priority="1809" operator="containsText" text="Off Target">
      <formula>NOT(ISERROR(SEARCH("Off Target",E13)))</formula>
    </cfRule>
    <cfRule type="containsText" dxfId="1754" priority="1810" operator="containsText" text="On Track to be Achieved">
      <formula>NOT(ISERROR(SEARCH("On Track to be Achieved",E13)))</formula>
    </cfRule>
    <cfRule type="containsText" dxfId="1753" priority="1811" operator="containsText" text="Fully Achieved">
      <formula>NOT(ISERROR(SEARCH("Fully Achieved",E13)))</formula>
    </cfRule>
    <cfRule type="containsText" dxfId="1752" priority="1812" operator="containsText" text="Not yet due">
      <formula>NOT(ISERROR(SEARCH("Not yet due",E13)))</formula>
    </cfRule>
    <cfRule type="containsText" dxfId="1751" priority="1813" operator="containsText" text="Not Yet Due">
      <formula>NOT(ISERROR(SEARCH("Not Yet Due",E13)))</formula>
    </cfRule>
    <cfRule type="containsText" dxfId="1750" priority="1814" operator="containsText" text="Deferred">
      <formula>NOT(ISERROR(SEARCH("Deferred",E13)))</formula>
    </cfRule>
    <cfRule type="containsText" dxfId="1749" priority="1815" operator="containsText" text="Deleted">
      <formula>NOT(ISERROR(SEARCH("Deleted",E13)))</formula>
    </cfRule>
    <cfRule type="containsText" dxfId="1748" priority="1816" operator="containsText" text="In Danger of Falling Behind Target">
      <formula>NOT(ISERROR(SEARCH("In Danger of Falling Behind Target",E13)))</formula>
    </cfRule>
    <cfRule type="containsText" dxfId="1747" priority="1817" operator="containsText" text="Not yet due">
      <formula>NOT(ISERROR(SEARCH("Not yet due",E13)))</formula>
    </cfRule>
    <cfRule type="containsText" dxfId="1746" priority="1818" operator="containsText" text="Completed Behind Schedule">
      <formula>NOT(ISERROR(SEARCH("Completed Behind Schedule",E13)))</formula>
    </cfRule>
    <cfRule type="containsText" dxfId="1745" priority="1819" operator="containsText" text="Off Target">
      <formula>NOT(ISERROR(SEARCH("Off Target",E13)))</formula>
    </cfRule>
    <cfRule type="containsText" dxfId="1744" priority="1820" operator="containsText" text="In Danger of Falling Behind Target">
      <formula>NOT(ISERROR(SEARCH("In Danger of Falling Behind Target",E13)))</formula>
    </cfRule>
    <cfRule type="containsText" dxfId="1743" priority="1821" operator="containsText" text="On Track to be Achieved">
      <formula>NOT(ISERROR(SEARCH("On Track to be Achieved",E13)))</formula>
    </cfRule>
    <cfRule type="containsText" dxfId="1742" priority="1822" operator="containsText" text="Fully Achieved">
      <formula>NOT(ISERROR(SEARCH("Fully Achieved",E13)))</formula>
    </cfRule>
    <cfRule type="containsText" dxfId="1741" priority="1823" operator="containsText" text="Update not Provided">
      <formula>NOT(ISERROR(SEARCH("Update not Provided",E13)))</formula>
    </cfRule>
    <cfRule type="containsText" dxfId="1740" priority="1824" operator="containsText" text="Not yet due">
      <formula>NOT(ISERROR(SEARCH("Not yet due",E13)))</formula>
    </cfRule>
    <cfRule type="containsText" dxfId="1739" priority="1825" operator="containsText" text="Completed Behind Schedule">
      <formula>NOT(ISERROR(SEARCH("Completed Behind Schedule",E13)))</formula>
    </cfRule>
    <cfRule type="containsText" dxfId="1738" priority="1826" operator="containsText" text="Off Target">
      <formula>NOT(ISERROR(SEARCH("Off Target",E13)))</formula>
    </cfRule>
    <cfRule type="containsText" dxfId="1737" priority="1827" operator="containsText" text="In Danger of Falling Behind Target">
      <formula>NOT(ISERROR(SEARCH("In Danger of Falling Behind Target",E13)))</formula>
    </cfRule>
    <cfRule type="containsText" dxfId="1736" priority="1828" operator="containsText" text="On Track to be Achieved">
      <formula>NOT(ISERROR(SEARCH("On Track to be Achieved",E13)))</formula>
    </cfRule>
    <cfRule type="containsText" dxfId="1735" priority="1829" operator="containsText" text="Fully Achieved">
      <formula>NOT(ISERROR(SEARCH("Fully Achieved",E13)))</formula>
    </cfRule>
    <cfRule type="containsText" dxfId="1734" priority="1830" operator="containsText" text="Fully Achieved">
      <formula>NOT(ISERROR(SEARCH("Fully Achieved",E13)))</formula>
    </cfRule>
    <cfRule type="containsText" dxfId="1733" priority="1831" operator="containsText" text="Fully Achieved">
      <formula>NOT(ISERROR(SEARCH("Fully Achieved",E13)))</formula>
    </cfRule>
    <cfRule type="containsText" dxfId="1732" priority="1832" operator="containsText" text="Deferred">
      <formula>NOT(ISERROR(SEARCH("Deferred",E13)))</formula>
    </cfRule>
    <cfRule type="containsText" dxfId="1731" priority="1833" operator="containsText" text="Deleted">
      <formula>NOT(ISERROR(SEARCH("Deleted",E13)))</formula>
    </cfRule>
    <cfRule type="containsText" dxfId="1730" priority="1834" operator="containsText" text="In Danger of Falling Behind Target">
      <formula>NOT(ISERROR(SEARCH("In Danger of Falling Behind Target",E13)))</formula>
    </cfRule>
    <cfRule type="containsText" dxfId="1729" priority="1835" operator="containsText" text="Not yet due">
      <formula>NOT(ISERROR(SEARCH("Not yet due",E13)))</formula>
    </cfRule>
    <cfRule type="containsText" dxfId="1728" priority="1836" operator="containsText" text="Update not Provided">
      <formula>NOT(ISERROR(SEARCH("Update not Provided",E13)))</formula>
    </cfRule>
  </conditionalFormatting>
  <conditionalFormatting sqref="E22:E28">
    <cfRule type="containsText" dxfId="1727" priority="1765" operator="containsText" text="On track to be achieved">
      <formula>NOT(ISERROR(SEARCH("On track to be achieved",E22)))</formula>
    </cfRule>
    <cfRule type="containsText" dxfId="1726" priority="1766" operator="containsText" text="Deferred">
      <formula>NOT(ISERROR(SEARCH("Deferred",E22)))</formula>
    </cfRule>
    <cfRule type="containsText" dxfId="1725" priority="1767" operator="containsText" text="Deleted">
      <formula>NOT(ISERROR(SEARCH("Deleted",E22)))</formula>
    </cfRule>
    <cfRule type="containsText" dxfId="1724" priority="1768" operator="containsText" text="In Danger of Falling Behind Target">
      <formula>NOT(ISERROR(SEARCH("In Danger of Falling Behind Target",E22)))</formula>
    </cfRule>
    <cfRule type="containsText" dxfId="1723" priority="1769" operator="containsText" text="Not yet due">
      <formula>NOT(ISERROR(SEARCH("Not yet due",E22)))</formula>
    </cfRule>
    <cfRule type="containsText" dxfId="1722" priority="1770" operator="containsText" text="Update not Provided">
      <formula>NOT(ISERROR(SEARCH("Update not Provided",E22)))</formula>
    </cfRule>
    <cfRule type="containsText" dxfId="1721" priority="1771" operator="containsText" text="Not yet due">
      <formula>NOT(ISERROR(SEARCH("Not yet due",E22)))</formula>
    </cfRule>
    <cfRule type="containsText" dxfId="1720" priority="1772" operator="containsText" text="Completed Behind Schedule">
      <formula>NOT(ISERROR(SEARCH("Completed Behind Schedule",E22)))</formula>
    </cfRule>
    <cfRule type="containsText" dxfId="1719" priority="1773" operator="containsText" text="Off Target">
      <formula>NOT(ISERROR(SEARCH("Off Target",E22)))</formula>
    </cfRule>
    <cfRule type="containsText" dxfId="1718" priority="1774" operator="containsText" text="On Track to be Achieved">
      <formula>NOT(ISERROR(SEARCH("On Track to be Achieved",E22)))</formula>
    </cfRule>
    <cfRule type="containsText" dxfId="1717" priority="1775" operator="containsText" text="Fully Achieved">
      <formula>NOT(ISERROR(SEARCH("Fully Achieved",E22)))</formula>
    </cfRule>
    <cfRule type="containsText" dxfId="1716" priority="1776" operator="containsText" text="Not yet due">
      <formula>NOT(ISERROR(SEARCH("Not yet due",E22)))</formula>
    </cfRule>
    <cfRule type="containsText" dxfId="1715" priority="1777" operator="containsText" text="Not Yet Due">
      <formula>NOT(ISERROR(SEARCH("Not Yet Due",E22)))</formula>
    </cfRule>
    <cfRule type="containsText" dxfId="1714" priority="1778" operator="containsText" text="Deferred">
      <formula>NOT(ISERROR(SEARCH("Deferred",E22)))</formula>
    </cfRule>
    <cfRule type="containsText" dxfId="1713" priority="1779" operator="containsText" text="Deleted">
      <formula>NOT(ISERROR(SEARCH("Deleted",E22)))</formula>
    </cfRule>
    <cfRule type="containsText" dxfId="1712" priority="1780" operator="containsText" text="In Danger of Falling Behind Target">
      <formula>NOT(ISERROR(SEARCH("In Danger of Falling Behind Target",E22)))</formula>
    </cfRule>
    <cfRule type="containsText" dxfId="1711" priority="1781" operator="containsText" text="Not yet due">
      <formula>NOT(ISERROR(SEARCH("Not yet due",E22)))</formula>
    </cfRule>
    <cfRule type="containsText" dxfId="1710" priority="1782" operator="containsText" text="Completed Behind Schedule">
      <formula>NOT(ISERROR(SEARCH("Completed Behind Schedule",E22)))</formula>
    </cfRule>
    <cfRule type="containsText" dxfId="1709" priority="1783" operator="containsText" text="Off Target">
      <formula>NOT(ISERROR(SEARCH("Off Target",E22)))</formula>
    </cfRule>
    <cfRule type="containsText" dxfId="1708" priority="1784" operator="containsText" text="In Danger of Falling Behind Target">
      <formula>NOT(ISERROR(SEARCH("In Danger of Falling Behind Target",E22)))</formula>
    </cfRule>
    <cfRule type="containsText" dxfId="1707" priority="1785" operator="containsText" text="On Track to be Achieved">
      <formula>NOT(ISERROR(SEARCH("On Track to be Achieved",E22)))</formula>
    </cfRule>
    <cfRule type="containsText" dxfId="1706" priority="1786" operator="containsText" text="Fully Achieved">
      <formula>NOT(ISERROR(SEARCH("Fully Achieved",E22)))</formula>
    </cfRule>
    <cfRule type="containsText" dxfId="1705" priority="1787" operator="containsText" text="Update not Provided">
      <formula>NOT(ISERROR(SEARCH("Update not Provided",E22)))</formula>
    </cfRule>
    <cfRule type="containsText" dxfId="1704" priority="1788" operator="containsText" text="Not yet due">
      <formula>NOT(ISERROR(SEARCH("Not yet due",E22)))</formula>
    </cfRule>
    <cfRule type="containsText" dxfId="1703" priority="1789" operator="containsText" text="Completed Behind Schedule">
      <formula>NOT(ISERROR(SEARCH("Completed Behind Schedule",E22)))</formula>
    </cfRule>
    <cfRule type="containsText" dxfId="1702" priority="1790" operator="containsText" text="Off Target">
      <formula>NOT(ISERROR(SEARCH("Off Target",E22)))</formula>
    </cfRule>
    <cfRule type="containsText" dxfId="1701" priority="1791" operator="containsText" text="In Danger of Falling Behind Target">
      <formula>NOT(ISERROR(SEARCH("In Danger of Falling Behind Target",E22)))</formula>
    </cfRule>
    <cfRule type="containsText" dxfId="1700" priority="1792" operator="containsText" text="On Track to be Achieved">
      <formula>NOT(ISERROR(SEARCH("On Track to be Achieved",E22)))</formula>
    </cfRule>
    <cfRule type="containsText" dxfId="1699" priority="1793" operator="containsText" text="Fully Achieved">
      <formula>NOT(ISERROR(SEARCH("Fully Achieved",E22)))</formula>
    </cfRule>
    <cfRule type="containsText" dxfId="1698" priority="1794" operator="containsText" text="Fully Achieved">
      <formula>NOT(ISERROR(SEARCH("Fully Achieved",E22)))</formula>
    </cfRule>
    <cfRule type="containsText" dxfId="1697" priority="1795" operator="containsText" text="Fully Achieved">
      <formula>NOT(ISERROR(SEARCH("Fully Achieved",E22)))</formula>
    </cfRule>
    <cfRule type="containsText" dxfId="1696" priority="1796" operator="containsText" text="Deferred">
      <formula>NOT(ISERROR(SEARCH("Deferred",E22)))</formula>
    </cfRule>
    <cfRule type="containsText" dxfId="1695" priority="1797" operator="containsText" text="Deleted">
      <formula>NOT(ISERROR(SEARCH("Deleted",E22)))</formula>
    </cfRule>
    <cfRule type="containsText" dxfId="1694" priority="1798" operator="containsText" text="In Danger of Falling Behind Target">
      <formula>NOT(ISERROR(SEARCH("In Danger of Falling Behind Target",E22)))</formula>
    </cfRule>
    <cfRule type="containsText" dxfId="1693" priority="1799" operator="containsText" text="Not yet due">
      <formula>NOT(ISERROR(SEARCH("Not yet due",E22)))</formula>
    </cfRule>
    <cfRule type="containsText" dxfId="1692" priority="1800" operator="containsText" text="Update not Provided">
      <formula>NOT(ISERROR(SEARCH("Update not Provided",E22)))</formula>
    </cfRule>
  </conditionalFormatting>
  <conditionalFormatting sqref="E30:E31">
    <cfRule type="containsText" dxfId="1691" priority="1729" operator="containsText" text="On track to be achieved">
      <formula>NOT(ISERROR(SEARCH("On track to be achieved",E30)))</formula>
    </cfRule>
    <cfRule type="containsText" dxfId="1690" priority="1730" operator="containsText" text="Deferred">
      <formula>NOT(ISERROR(SEARCH("Deferred",E30)))</formula>
    </cfRule>
    <cfRule type="containsText" dxfId="1689" priority="1731" operator="containsText" text="Deleted">
      <formula>NOT(ISERROR(SEARCH("Deleted",E30)))</formula>
    </cfRule>
    <cfRule type="containsText" dxfId="1688" priority="1732" operator="containsText" text="In Danger of Falling Behind Target">
      <formula>NOT(ISERROR(SEARCH("In Danger of Falling Behind Target",E30)))</formula>
    </cfRule>
    <cfRule type="containsText" dxfId="1687" priority="1733" operator="containsText" text="Not yet due">
      <formula>NOT(ISERROR(SEARCH("Not yet due",E30)))</formula>
    </cfRule>
    <cfRule type="containsText" dxfId="1686" priority="1734" operator="containsText" text="Update not Provided">
      <formula>NOT(ISERROR(SEARCH("Update not Provided",E30)))</formula>
    </cfRule>
    <cfRule type="containsText" dxfId="1685" priority="1735" operator="containsText" text="Not yet due">
      <formula>NOT(ISERROR(SEARCH("Not yet due",E30)))</formula>
    </cfRule>
    <cfRule type="containsText" dxfId="1684" priority="1736" operator="containsText" text="Completed Behind Schedule">
      <formula>NOT(ISERROR(SEARCH("Completed Behind Schedule",E30)))</formula>
    </cfRule>
    <cfRule type="containsText" dxfId="1683" priority="1737" operator="containsText" text="Off Target">
      <formula>NOT(ISERROR(SEARCH("Off Target",E30)))</formula>
    </cfRule>
    <cfRule type="containsText" dxfId="1682" priority="1738" operator="containsText" text="On Track to be Achieved">
      <formula>NOT(ISERROR(SEARCH("On Track to be Achieved",E30)))</formula>
    </cfRule>
    <cfRule type="containsText" dxfId="1681" priority="1739" operator="containsText" text="Fully Achieved">
      <formula>NOT(ISERROR(SEARCH("Fully Achieved",E30)))</formula>
    </cfRule>
    <cfRule type="containsText" dxfId="1680" priority="1740" operator="containsText" text="Not yet due">
      <formula>NOT(ISERROR(SEARCH("Not yet due",E30)))</formula>
    </cfRule>
    <cfRule type="containsText" dxfId="1679" priority="1741" operator="containsText" text="Not Yet Due">
      <formula>NOT(ISERROR(SEARCH("Not Yet Due",E30)))</formula>
    </cfRule>
    <cfRule type="containsText" dxfId="1678" priority="1742" operator="containsText" text="Deferred">
      <formula>NOT(ISERROR(SEARCH("Deferred",E30)))</formula>
    </cfRule>
    <cfRule type="containsText" dxfId="1677" priority="1743" operator="containsText" text="Deleted">
      <formula>NOT(ISERROR(SEARCH("Deleted",E30)))</formula>
    </cfRule>
    <cfRule type="containsText" dxfId="1676" priority="1744" operator="containsText" text="In Danger of Falling Behind Target">
      <formula>NOT(ISERROR(SEARCH("In Danger of Falling Behind Target",E30)))</formula>
    </cfRule>
    <cfRule type="containsText" dxfId="1675" priority="1745" operator="containsText" text="Not yet due">
      <formula>NOT(ISERROR(SEARCH("Not yet due",E30)))</formula>
    </cfRule>
    <cfRule type="containsText" dxfId="1674" priority="1746" operator="containsText" text="Completed Behind Schedule">
      <formula>NOT(ISERROR(SEARCH("Completed Behind Schedule",E30)))</formula>
    </cfRule>
    <cfRule type="containsText" dxfId="1673" priority="1747" operator="containsText" text="Off Target">
      <formula>NOT(ISERROR(SEARCH("Off Target",E30)))</formula>
    </cfRule>
    <cfRule type="containsText" dxfId="1672" priority="1748" operator="containsText" text="In Danger of Falling Behind Target">
      <formula>NOT(ISERROR(SEARCH("In Danger of Falling Behind Target",E30)))</formula>
    </cfRule>
    <cfRule type="containsText" dxfId="1671" priority="1749" operator="containsText" text="On Track to be Achieved">
      <formula>NOT(ISERROR(SEARCH("On Track to be Achieved",E30)))</formula>
    </cfRule>
    <cfRule type="containsText" dxfId="1670" priority="1750" operator="containsText" text="Fully Achieved">
      <formula>NOT(ISERROR(SEARCH("Fully Achieved",E30)))</formula>
    </cfRule>
    <cfRule type="containsText" dxfId="1669" priority="1751" operator="containsText" text="Update not Provided">
      <formula>NOT(ISERROR(SEARCH("Update not Provided",E30)))</formula>
    </cfRule>
    <cfRule type="containsText" dxfId="1668" priority="1752" operator="containsText" text="Not yet due">
      <formula>NOT(ISERROR(SEARCH("Not yet due",E30)))</formula>
    </cfRule>
    <cfRule type="containsText" dxfId="1667" priority="1753" operator="containsText" text="Completed Behind Schedule">
      <formula>NOT(ISERROR(SEARCH("Completed Behind Schedule",E30)))</formula>
    </cfRule>
    <cfRule type="containsText" dxfId="1666" priority="1754" operator="containsText" text="Off Target">
      <formula>NOT(ISERROR(SEARCH("Off Target",E30)))</formula>
    </cfRule>
    <cfRule type="containsText" dxfId="1665" priority="1755" operator="containsText" text="In Danger of Falling Behind Target">
      <formula>NOT(ISERROR(SEARCH("In Danger of Falling Behind Target",E30)))</formula>
    </cfRule>
    <cfRule type="containsText" dxfId="1664" priority="1756" operator="containsText" text="On Track to be Achieved">
      <formula>NOT(ISERROR(SEARCH("On Track to be Achieved",E30)))</formula>
    </cfRule>
    <cfRule type="containsText" dxfId="1663" priority="1757" operator="containsText" text="Fully Achieved">
      <formula>NOT(ISERROR(SEARCH("Fully Achieved",E30)))</formula>
    </cfRule>
    <cfRule type="containsText" dxfId="1662" priority="1758" operator="containsText" text="Fully Achieved">
      <formula>NOT(ISERROR(SEARCH("Fully Achieved",E30)))</formula>
    </cfRule>
    <cfRule type="containsText" dxfId="1661" priority="1759" operator="containsText" text="Fully Achieved">
      <formula>NOT(ISERROR(SEARCH("Fully Achieved",E30)))</formula>
    </cfRule>
    <cfRule type="containsText" dxfId="1660" priority="1760" operator="containsText" text="Deferred">
      <formula>NOT(ISERROR(SEARCH("Deferred",E30)))</formula>
    </cfRule>
    <cfRule type="containsText" dxfId="1659" priority="1761" operator="containsText" text="Deleted">
      <formula>NOT(ISERROR(SEARCH("Deleted",E30)))</formula>
    </cfRule>
    <cfRule type="containsText" dxfId="1658" priority="1762" operator="containsText" text="In Danger of Falling Behind Target">
      <formula>NOT(ISERROR(SEARCH("In Danger of Falling Behind Target",E30)))</formula>
    </cfRule>
    <cfRule type="containsText" dxfId="1657" priority="1763" operator="containsText" text="Not yet due">
      <formula>NOT(ISERROR(SEARCH("Not yet due",E30)))</formula>
    </cfRule>
    <cfRule type="containsText" dxfId="1656" priority="1764" operator="containsText" text="Update not Provided">
      <formula>NOT(ISERROR(SEARCH("Update not Provided",E30)))</formula>
    </cfRule>
  </conditionalFormatting>
  <conditionalFormatting sqref="E32">
    <cfRule type="containsText" dxfId="1655" priority="1693" operator="containsText" text="On track to be achieved">
      <formula>NOT(ISERROR(SEARCH("On track to be achieved",E32)))</formula>
    </cfRule>
    <cfRule type="containsText" dxfId="1654" priority="1694" operator="containsText" text="Deferred">
      <formula>NOT(ISERROR(SEARCH("Deferred",E32)))</formula>
    </cfRule>
    <cfRule type="containsText" dxfId="1653" priority="1695" operator="containsText" text="Deleted">
      <formula>NOT(ISERROR(SEARCH("Deleted",E32)))</formula>
    </cfRule>
    <cfRule type="containsText" dxfId="1652" priority="1696" operator="containsText" text="In Danger of Falling Behind Target">
      <formula>NOT(ISERROR(SEARCH("In Danger of Falling Behind Target",E32)))</formula>
    </cfRule>
    <cfRule type="containsText" dxfId="1651" priority="1697" operator="containsText" text="Not yet due">
      <formula>NOT(ISERROR(SEARCH("Not yet due",E32)))</formula>
    </cfRule>
    <cfRule type="containsText" dxfId="1650" priority="1698" operator="containsText" text="Update not Provided">
      <formula>NOT(ISERROR(SEARCH("Update not Provided",E32)))</formula>
    </cfRule>
    <cfRule type="containsText" dxfId="1649" priority="1699" operator="containsText" text="Not yet due">
      <formula>NOT(ISERROR(SEARCH("Not yet due",E32)))</formula>
    </cfRule>
    <cfRule type="containsText" dxfId="1648" priority="1700" operator="containsText" text="Completed Behind Schedule">
      <formula>NOT(ISERROR(SEARCH("Completed Behind Schedule",E32)))</formula>
    </cfRule>
    <cfRule type="containsText" dxfId="1647" priority="1701" operator="containsText" text="Off Target">
      <formula>NOT(ISERROR(SEARCH("Off Target",E32)))</formula>
    </cfRule>
    <cfRule type="containsText" dxfId="1646" priority="1702" operator="containsText" text="On Track to be Achieved">
      <formula>NOT(ISERROR(SEARCH("On Track to be Achieved",E32)))</formula>
    </cfRule>
    <cfRule type="containsText" dxfId="1645" priority="1703" operator="containsText" text="Fully Achieved">
      <formula>NOT(ISERROR(SEARCH("Fully Achieved",E32)))</formula>
    </cfRule>
    <cfRule type="containsText" dxfId="1644" priority="1704" operator="containsText" text="Not yet due">
      <formula>NOT(ISERROR(SEARCH("Not yet due",E32)))</formula>
    </cfRule>
    <cfRule type="containsText" dxfId="1643" priority="1705" operator="containsText" text="Not Yet Due">
      <formula>NOT(ISERROR(SEARCH("Not Yet Due",E32)))</formula>
    </cfRule>
    <cfRule type="containsText" dxfId="1642" priority="1706" operator="containsText" text="Deferred">
      <formula>NOT(ISERROR(SEARCH("Deferred",E32)))</formula>
    </cfRule>
    <cfRule type="containsText" dxfId="1641" priority="1707" operator="containsText" text="Deleted">
      <formula>NOT(ISERROR(SEARCH("Deleted",E32)))</formula>
    </cfRule>
    <cfRule type="containsText" dxfId="1640" priority="1708" operator="containsText" text="In Danger of Falling Behind Target">
      <formula>NOT(ISERROR(SEARCH("In Danger of Falling Behind Target",E32)))</formula>
    </cfRule>
    <cfRule type="containsText" dxfId="1639" priority="1709" operator="containsText" text="Not yet due">
      <formula>NOT(ISERROR(SEARCH("Not yet due",E32)))</formula>
    </cfRule>
    <cfRule type="containsText" dxfId="1638" priority="1710" operator="containsText" text="Completed Behind Schedule">
      <formula>NOT(ISERROR(SEARCH("Completed Behind Schedule",E32)))</formula>
    </cfRule>
    <cfRule type="containsText" dxfId="1637" priority="1711" operator="containsText" text="Off Target">
      <formula>NOT(ISERROR(SEARCH("Off Target",E32)))</formula>
    </cfRule>
    <cfRule type="containsText" dxfId="1636" priority="1712" operator="containsText" text="In Danger of Falling Behind Target">
      <formula>NOT(ISERROR(SEARCH("In Danger of Falling Behind Target",E32)))</formula>
    </cfRule>
    <cfRule type="containsText" dxfId="1635" priority="1713" operator="containsText" text="On Track to be Achieved">
      <formula>NOT(ISERROR(SEARCH("On Track to be Achieved",E32)))</formula>
    </cfRule>
    <cfRule type="containsText" dxfId="1634" priority="1714" operator="containsText" text="Fully Achieved">
      <formula>NOT(ISERROR(SEARCH("Fully Achieved",E32)))</formula>
    </cfRule>
    <cfRule type="containsText" dxfId="1633" priority="1715" operator="containsText" text="Update not Provided">
      <formula>NOT(ISERROR(SEARCH("Update not Provided",E32)))</formula>
    </cfRule>
    <cfRule type="containsText" dxfId="1632" priority="1716" operator="containsText" text="Not yet due">
      <formula>NOT(ISERROR(SEARCH("Not yet due",E32)))</formula>
    </cfRule>
    <cfRule type="containsText" dxfId="1631" priority="1717" operator="containsText" text="Completed Behind Schedule">
      <formula>NOT(ISERROR(SEARCH("Completed Behind Schedule",E32)))</formula>
    </cfRule>
    <cfRule type="containsText" dxfId="1630" priority="1718" operator="containsText" text="Off Target">
      <formula>NOT(ISERROR(SEARCH("Off Target",E32)))</formula>
    </cfRule>
    <cfRule type="containsText" dxfId="1629" priority="1719" operator="containsText" text="In Danger of Falling Behind Target">
      <formula>NOT(ISERROR(SEARCH("In Danger of Falling Behind Target",E32)))</formula>
    </cfRule>
    <cfRule type="containsText" dxfId="1628" priority="1720" operator="containsText" text="On Track to be Achieved">
      <formula>NOT(ISERROR(SEARCH("On Track to be Achieved",E32)))</formula>
    </cfRule>
    <cfRule type="containsText" dxfId="1627" priority="1721" operator="containsText" text="Fully Achieved">
      <formula>NOT(ISERROR(SEARCH("Fully Achieved",E32)))</formula>
    </cfRule>
    <cfRule type="containsText" dxfId="1626" priority="1722" operator="containsText" text="Fully Achieved">
      <formula>NOT(ISERROR(SEARCH("Fully Achieved",E32)))</formula>
    </cfRule>
    <cfRule type="containsText" dxfId="1625" priority="1723" operator="containsText" text="Fully Achieved">
      <formula>NOT(ISERROR(SEARCH("Fully Achieved",E32)))</formula>
    </cfRule>
    <cfRule type="containsText" dxfId="1624" priority="1724" operator="containsText" text="Deferred">
      <formula>NOT(ISERROR(SEARCH("Deferred",E32)))</formula>
    </cfRule>
    <cfRule type="containsText" dxfId="1623" priority="1725" operator="containsText" text="Deleted">
      <formula>NOT(ISERROR(SEARCH("Deleted",E32)))</formula>
    </cfRule>
    <cfRule type="containsText" dxfId="1622" priority="1726" operator="containsText" text="In Danger of Falling Behind Target">
      <formula>NOT(ISERROR(SEARCH("In Danger of Falling Behind Target",E32)))</formula>
    </cfRule>
    <cfRule type="containsText" dxfId="1621" priority="1727" operator="containsText" text="Not yet due">
      <formula>NOT(ISERROR(SEARCH("Not yet due",E32)))</formula>
    </cfRule>
    <cfRule type="containsText" dxfId="1620" priority="1728" operator="containsText" text="Update not Provided">
      <formula>NOT(ISERROR(SEARCH("Update not Provided",E32)))</formula>
    </cfRule>
  </conditionalFormatting>
  <conditionalFormatting sqref="E34">
    <cfRule type="containsText" dxfId="1619" priority="1657" operator="containsText" text="On track to be achieved">
      <formula>NOT(ISERROR(SEARCH("On track to be achieved",E34)))</formula>
    </cfRule>
    <cfRule type="containsText" dxfId="1618" priority="1658" operator="containsText" text="Deferred">
      <formula>NOT(ISERROR(SEARCH("Deferred",E34)))</formula>
    </cfRule>
    <cfRule type="containsText" dxfId="1617" priority="1659" operator="containsText" text="Deleted">
      <formula>NOT(ISERROR(SEARCH("Deleted",E34)))</formula>
    </cfRule>
    <cfRule type="containsText" dxfId="1616" priority="1660" operator="containsText" text="In Danger of Falling Behind Target">
      <formula>NOT(ISERROR(SEARCH("In Danger of Falling Behind Target",E34)))</formula>
    </cfRule>
    <cfRule type="containsText" dxfId="1615" priority="1661" operator="containsText" text="Not yet due">
      <formula>NOT(ISERROR(SEARCH("Not yet due",E34)))</formula>
    </cfRule>
    <cfRule type="containsText" dxfId="1614" priority="1662" operator="containsText" text="Update not Provided">
      <formula>NOT(ISERROR(SEARCH("Update not Provided",E34)))</formula>
    </cfRule>
    <cfRule type="containsText" dxfId="1613" priority="1663" operator="containsText" text="Not yet due">
      <formula>NOT(ISERROR(SEARCH("Not yet due",E34)))</formula>
    </cfRule>
    <cfRule type="containsText" dxfId="1612" priority="1664" operator="containsText" text="Completed Behind Schedule">
      <formula>NOT(ISERROR(SEARCH("Completed Behind Schedule",E34)))</formula>
    </cfRule>
    <cfRule type="containsText" dxfId="1611" priority="1665" operator="containsText" text="Off Target">
      <formula>NOT(ISERROR(SEARCH("Off Target",E34)))</formula>
    </cfRule>
    <cfRule type="containsText" dxfId="1610" priority="1666" operator="containsText" text="On Track to be Achieved">
      <formula>NOT(ISERROR(SEARCH("On Track to be Achieved",E34)))</formula>
    </cfRule>
    <cfRule type="containsText" dxfId="1609" priority="1667" operator="containsText" text="Fully Achieved">
      <formula>NOT(ISERROR(SEARCH("Fully Achieved",E34)))</formula>
    </cfRule>
    <cfRule type="containsText" dxfId="1608" priority="1668" operator="containsText" text="Not yet due">
      <formula>NOT(ISERROR(SEARCH("Not yet due",E34)))</formula>
    </cfRule>
    <cfRule type="containsText" dxfId="1607" priority="1669" operator="containsText" text="Not Yet Due">
      <formula>NOT(ISERROR(SEARCH("Not Yet Due",E34)))</formula>
    </cfRule>
    <cfRule type="containsText" dxfId="1606" priority="1670" operator="containsText" text="Deferred">
      <formula>NOT(ISERROR(SEARCH("Deferred",E34)))</formula>
    </cfRule>
    <cfRule type="containsText" dxfId="1605" priority="1671" operator="containsText" text="Deleted">
      <formula>NOT(ISERROR(SEARCH("Deleted",E34)))</formula>
    </cfRule>
    <cfRule type="containsText" dxfId="1604" priority="1672" operator="containsText" text="In Danger of Falling Behind Target">
      <formula>NOT(ISERROR(SEARCH("In Danger of Falling Behind Target",E34)))</formula>
    </cfRule>
    <cfRule type="containsText" dxfId="1603" priority="1673" operator="containsText" text="Not yet due">
      <formula>NOT(ISERROR(SEARCH("Not yet due",E34)))</formula>
    </cfRule>
    <cfRule type="containsText" dxfId="1602" priority="1674" operator="containsText" text="Completed Behind Schedule">
      <formula>NOT(ISERROR(SEARCH("Completed Behind Schedule",E34)))</formula>
    </cfRule>
    <cfRule type="containsText" dxfId="1601" priority="1675" operator="containsText" text="Off Target">
      <formula>NOT(ISERROR(SEARCH("Off Target",E34)))</formula>
    </cfRule>
    <cfRule type="containsText" dxfId="1600" priority="1676" operator="containsText" text="In Danger of Falling Behind Target">
      <formula>NOT(ISERROR(SEARCH("In Danger of Falling Behind Target",E34)))</formula>
    </cfRule>
    <cfRule type="containsText" dxfId="1599" priority="1677" operator="containsText" text="On Track to be Achieved">
      <formula>NOT(ISERROR(SEARCH("On Track to be Achieved",E34)))</formula>
    </cfRule>
    <cfRule type="containsText" dxfId="1598" priority="1678" operator="containsText" text="Fully Achieved">
      <formula>NOT(ISERROR(SEARCH("Fully Achieved",E34)))</formula>
    </cfRule>
    <cfRule type="containsText" dxfId="1597" priority="1679" operator="containsText" text="Update not Provided">
      <formula>NOT(ISERROR(SEARCH("Update not Provided",E34)))</formula>
    </cfRule>
    <cfRule type="containsText" dxfId="1596" priority="1680" operator="containsText" text="Not yet due">
      <formula>NOT(ISERROR(SEARCH("Not yet due",E34)))</formula>
    </cfRule>
    <cfRule type="containsText" dxfId="1595" priority="1681" operator="containsText" text="Completed Behind Schedule">
      <formula>NOT(ISERROR(SEARCH("Completed Behind Schedule",E34)))</formula>
    </cfRule>
    <cfRule type="containsText" dxfId="1594" priority="1682" operator="containsText" text="Off Target">
      <formula>NOT(ISERROR(SEARCH("Off Target",E34)))</formula>
    </cfRule>
    <cfRule type="containsText" dxfId="1593" priority="1683" operator="containsText" text="In Danger of Falling Behind Target">
      <formula>NOT(ISERROR(SEARCH("In Danger of Falling Behind Target",E34)))</formula>
    </cfRule>
    <cfRule type="containsText" dxfId="1592" priority="1684" operator="containsText" text="On Track to be Achieved">
      <formula>NOT(ISERROR(SEARCH("On Track to be Achieved",E34)))</formula>
    </cfRule>
    <cfRule type="containsText" dxfId="1591" priority="1685" operator="containsText" text="Fully Achieved">
      <formula>NOT(ISERROR(SEARCH("Fully Achieved",E34)))</formula>
    </cfRule>
    <cfRule type="containsText" dxfId="1590" priority="1686" operator="containsText" text="Fully Achieved">
      <formula>NOT(ISERROR(SEARCH("Fully Achieved",E34)))</formula>
    </cfRule>
    <cfRule type="containsText" dxfId="1589" priority="1687" operator="containsText" text="Fully Achieved">
      <formula>NOT(ISERROR(SEARCH("Fully Achieved",E34)))</formula>
    </cfRule>
    <cfRule type="containsText" dxfId="1588" priority="1688" operator="containsText" text="Deferred">
      <formula>NOT(ISERROR(SEARCH("Deferred",E34)))</formula>
    </cfRule>
    <cfRule type="containsText" dxfId="1587" priority="1689" operator="containsText" text="Deleted">
      <formula>NOT(ISERROR(SEARCH("Deleted",E34)))</formula>
    </cfRule>
    <cfRule type="containsText" dxfId="1586" priority="1690" operator="containsText" text="In Danger of Falling Behind Target">
      <formula>NOT(ISERROR(SEARCH("In Danger of Falling Behind Target",E34)))</formula>
    </cfRule>
    <cfRule type="containsText" dxfId="1585" priority="1691" operator="containsText" text="Not yet due">
      <formula>NOT(ISERROR(SEARCH("Not yet due",E34)))</formula>
    </cfRule>
    <cfRule type="containsText" dxfId="1584" priority="1692" operator="containsText" text="Update not Provided">
      <formula>NOT(ISERROR(SEARCH("Update not Provided",E34)))</formula>
    </cfRule>
  </conditionalFormatting>
  <conditionalFormatting sqref="E35">
    <cfRule type="containsText" dxfId="1583" priority="1621" operator="containsText" text="On track to be achieved">
      <formula>NOT(ISERROR(SEARCH("On track to be achieved",E35)))</formula>
    </cfRule>
    <cfRule type="containsText" dxfId="1582" priority="1622" operator="containsText" text="Deferred">
      <formula>NOT(ISERROR(SEARCH("Deferred",E35)))</formula>
    </cfRule>
    <cfRule type="containsText" dxfId="1581" priority="1623" operator="containsText" text="Deleted">
      <formula>NOT(ISERROR(SEARCH("Deleted",E35)))</formula>
    </cfRule>
    <cfRule type="containsText" dxfId="1580" priority="1624" operator="containsText" text="In Danger of Falling Behind Target">
      <formula>NOT(ISERROR(SEARCH("In Danger of Falling Behind Target",E35)))</formula>
    </cfRule>
    <cfRule type="containsText" dxfId="1579" priority="1625" operator="containsText" text="Not yet due">
      <formula>NOT(ISERROR(SEARCH("Not yet due",E35)))</formula>
    </cfRule>
    <cfRule type="containsText" dxfId="1578" priority="1626" operator="containsText" text="Update not Provided">
      <formula>NOT(ISERROR(SEARCH("Update not Provided",E35)))</formula>
    </cfRule>
    <cfRule type="containsText" dxfId="1577" priority="1627" operator="containsText" text="Not yet due">
      <formula>NOT(ISERROR(SEARCH("Not yet due",E35)))</formula>
    </cfRule>
    <cfRule type="containsText" dxfId="1576" priority="1628" operator="containsText" text="Completed Behind Schedule">
      <formula>NOT(ISERROR(SEARCH("Completed Behind Schedule",E35)))</formula>
    </cfRule>
    <cfRule type="containsText" dxfId="1575" priority="1629" operator="containsText" text="Off Target">
      <formula>NOT(ISERROR(SEARCH("Off Target",E35)))</formula>
    </cfRule>
    <cfRule type="containsText" dxfId="1574" priority="1630" operator="containsText" text="On Track to be Achieved">
      <formula>NOT(ISERROR(SEARCH("On Track to be Achieved",E35)))</formula>
    </cfRule>
    <cfRule type="containsText" dxfId="1573" priority="1631" operator="containsText" text="Fully Achieved">
      <formula>NOT(ISERROR(SEARCH("Fully Achieved",E35)))</formula>
    </cfRule>
    <cfRule type="containsText" dxfId="1572" priority="1632" operator="containsText" text="Not yet due">
      <formula>NOT(ISERROR(SEARCH("Not yet due",E35)))</formula>
    </cfRule>
    <cfRule type="containsText" dxfId="1571" priority="1633" operator="containsText" text="Not Yet Due">
      <formula>NOT(ISERROR(SEARCH("Not Yet Due",E35)))</formula>
    </cfRule>
    <cfRule type="containsText" dxfId="1570" priority="1634" operator="containsText" text="Deferred">
      <formula>NOT(ISERROR(SEARCH("Deferred",E35)))</formula>
    </cfRule>
    <cfRule type="containsText" dxfId="1569" priority="1635" operator="containsText" text="Deleted">
      <formula>NOT(ISERROR(SEARCH("Deleted",E35)))</formula>
    </cfRule>
    <cfRule type="containsText" dxfId="1568" priority="1636" operator="containsText" text="In Danger of Falling Behind Target">
      <formula>NOT(ISERROR(SEARCH("In Danger of Falling Behind Target",E35)))</formula>
    </cfRule>
    <cfRule type="containsText" dxfId="1567" priority="1637" operator="containsText" text="Not yet due">
      <formula>NOT(ISERROR(SEARCH("Not yet due",E35)))</formula>
    </cfRule>
    <cfRule type="containsText" dxfId="1566" priority="1638" operator="containsText" text="Completed Behind Schedule">
      <formula>NOT(ISERROR(SEARCH("Completed Behind Schedule",E35)))</formula>
    </cfRule>
    <cfRule type="containsText" dxfId="1565" priority="1639" operator="containsText" text="Off Target">
      <formula>NOT(ISERROR(SEARCH("Off Target",E35)))</formula>
    </cfRule>
    <cfRule type="containsText" dxfId="1564" priority="1640" operator="containsText" text="In Danger of Falling Behind Target">
      <formula>NOT(ISERROR(SEARCH("In Danger of Falling Behind Target",E35)))</formula>
    </cfRule>
    <cfRule type="containsText" dxfId="1563" priority="1641" operator="containsText" text="On Track to be Achieved">
      <formula>NOT(ISERROR(SEARCH("On Track to be Achieved",E35)))</formula>
    </cfRule>
    <cfRule type="containsText" dxfId="1562" priority="1642" operator="containsText" text="Fully Achieved">
      <formula>NOT(ISERROR(SEARCH("Fully Achieved",E35)))</formula>
    </cfRule>
    <cfRule type="containsText" dxfId="1561" priority="1643" operator="containsText" text="Update not Provided">
      <formula>NOT(ISERROR(SEARCH("Update not Provided",E35)))</formula>
    </cfRule>
    <cfRule type="containsText" dxfId="1560" priority="1644" operator="containsText" text="Not yet due">
      <formula>NOT(ISERROR(SEARCH("Not yet due",E35)))</formula>
    </cfRule>
    <cfRule type="containsText" dxfId="1559" priority="1645" operator="containsText" text="Completed Behind Schedule">
      <formula>NOT(ISERROR(SEARCH("Completed Behind Schedule",E35)))</formula>
    </cfRule>
    <cfRule type="containsText" dxfId="1558" priority="1646" operator="containsText" text="Off Target">
      <formula>NOT(ISERROR(SEARCH("Off Target",E35)))</formula>
    </cfRule>
    <cfRule type="containsText" dxfId="1557" priority="1647" operator="containsText" text="In Danger of Falling Behind Target">
      <formula>NOT(ISERROR(SEARCH("In Danger of Falling Behind Target",E35)))</formula>
    </cfRule>
    <cfRule type="containsText" dxfId="1556" priority="1648" operator="containsText" text="On Track to be Achieved">
      <formula>NOT(ISERROR(SEARCH("On Track to be Achieved",E35)))</formula>
    </cfRule>
    <cfRule type="containsText" dxfId="1555" priority="1649" operator="containsText" text="Fully Achieved">
      <formula>NOT(ISERROR(SEARCH("Fully Achieved",E35)))</formula>
    </cfRule>
    <cfRule type="containsText" dxfId="1554" priority="1650" operator="containsText" text="Fully Achieved">
      <formula>NOT(ISERROR(SEARCH("Fully Achieved",E35)))</formula>
    </cfRule>
    <cfRule type="containsText" dxfId="1553" priority="1651" operator="containsText" text="Fully Achieved">
      <formula>NOT(ISERROR(SEARCH("Fully Achieved",E35)))</formula>
    </cfRule>
    <cfRule type="containsText" dxfId="1552" priority="1652" operator="containsText" text="Deferred">
      <formula>NOT(ISERROR(SEARCH("Deferred",E35)))</formula>
    </cfRule>
    <cfRule type="containsText" dxfId="1551" priority="1653" operator="containsText" text="Deleted">
      <formula>NOT(ISERROR(SEARCH("Deleted",E35)))</formula>
    </cfRule>
    <cfRule type="containsText" dxfId="1550" priority="1654" operator="containsText" text="In Danger of Falling Behind Target">
      <formula>NOT(ISERROR(SEARCH("In Danger of Falling Behind Target",E35)))</formula>
    </cfRule>
    <cfRule type="containsText" dxfId="1549" priority="1655" operator="containsText" text="Not yet due">
      <formula>NOT(ISERROR(SEARCH("Not yet due",E35)))</formula>
    </cfRule>
    <cfRule type="containsText" dxfId="1548" priority="1656" operator="containsText" text="Update not Provided">
      <formula>NOT(ISERROR(SEARCH("Update not Provided",E35)))</formula>
    </cfRule>
  </conditionalFormatting>
  <conditionalFormatting sqref="E37">
    <cfRule type="containsText" dxfId="1547" priority="1585" operator="containsText" text="On track to be achieved">
      <formula>NOT(ISERROR(SEARCH("On track to be achieved",E37)))</formula>
    </cfRule>
    <cfRule type="containsText" dxfId="1546" priority="1586" operator="containsText" text="Deferred">
      <formula>NOT(ISERROR(SEARCH("Deferred",E37)))</formula>
    </cfRule>
    <cfRule type="containsText" dxfId="1545" priority="1587" operator="containsText" text="Deleted">
      <formula>NOT(ISERROR(SEARCH("Deleted",E37)))</formula>
    </cfRule>
    <cfRule type="containsText" dxfId="1544" priority="1588" operator="containsText" text="In Danger of Falling Behind Target">
      <formula>NOT(ISERROR(SEARCH("In Danger of Falling Behind Target",E37)))</formula>
    </cfRule>
    <cfRule type="containsText" dxfId="1543" priority="1589" operator="containsText" text="Not yet due">
      <formula>NOT(ISERROR(SEARCH("Not yet due",E37)))</formula>
    </cfRule>
    <cfRule type="containsText" dxfId="1542" priority="1590" operator="containsText" text="Update not Provided">
      <formula>NOT(ISERROR(SEARCH("Update not Provided",E37)))</formula>
    </cfRule>
    <cfRule type="containsText" dxfId="1541" priority="1591" operator="containsText" text="Not yet due">
      <formula>NOT(ISERROR(SEARCH("Not yet due",E37)))</formula>
    </cfRule>
    <cfRule type="containsText" dxfId="1540" priority="1592" operator="containsText" text="Completed Behind Schedule">
      <formula>NOT(ISERROR(SEARCH("Completed Behind Schedule",E37)))</formula>
    </cfRule>
    <cfRule type="containsText" dxfId="1539" priority="1593" operator="containsText" text="Off Target">
      <formula>NOT(ISERROR(SEARCH("Off Target",E37)))</formula>
    </cfRule>
    <cfRule type="containsText" dxfId="1538" priority="1594" operator="containsText" text="On Track to be Achieved">
      <formula>NOT(ISERROR(SEARCH("On Track to be Achieved",E37)))</formula>
    </cfRule>
    <cfRule type="containsText" dxfId="1537" priority="1595" operator="containsText" text="Fully Achieved">
      <formula>NOT(ISERROR(SEARCH("Fully Achieved",E37)))</formula>
    </cfRule>
    <cfRule type="containsText" dxfId="1536" priority="1596" operator="containsText" text="Not yet due">
      <formula>NOT(ISERROR(SEARCH("Not yet due",E37)))</formula>
    </cfRule>
    <cfRule type="containsText" dxfId="1535" priority="1597" operator="containsText" text="Not Yet Due">
      <formula>NOT(ISERROR(SEARCH("Not Yet Due",E37)))</formula>
    </cfRule>
    <cfRule type="containsText" dxfId="1534" priority="1598" operator="containsText" text="Deferred">
      <formula>NOT(ISERROR(SEARCH("Deferred",E37)))</formula>
    </cfRule>
    <cfRule type="containsText" dxfId="1533" priority="1599" operator="containsText" text="Deleted">
      <formula>NOT(ISERROR(SEARCH("Deleted",E37)))</formula>
    </cfRule>
    <cfRule type="containsText" dxfId="1532" priority="1600" operator="containsText" text="In Danger of Falling Behind Target">
      <formula>NOT(ISERROR(SEARCH("In Danger of Falling Behind Target",E37)))</formula>
    </cfRule>
    <cfRule type="containsText" dxfId="1531" priority="1601" operator="containsText" text="Not yet due">
      <formula>NOT(ISERROR(SEARCH("Not yet due",E37)))</formula>
    </cfRule>
    <cfRule type="containsText" dxfId="1530" priority="1602" operator="containsText" text="Completed Behind Schedule">
      <formula>NOT(ISERROR(SEARCH("Completed Behind Schedule",E37)))</formula>
    </cfRule>
    <cfRule type="containsText" dxfId="1529" priority="1603" operator="containsText" text="Off Target">
      <formula>NOT(ISERROR(SEARCH("Off Target",E37)))</formula>
    </cfRule>
    <cfRule type="containsText" dxfId="1528" priority="1604" operator="containsText" text="In Danger of Falling Behind Target">
      <formula>NOT(ISERROR(SEARCH("In Danger of Falling Behind Target",E37)))</formula>
    </cfRule>
    <cfRule type="containsText" dxfId="1527" priority="1605" operator="containsText" text="On Track to be Achieved">
      <formula>NOT(ISERROR(SEARCH("On Track to be Achieved",E37)))</formula>
    </cfRule>
    <cfRule type="containsText" dxfId="1526" priority="1606" operator="containsText" text="Fully Achieved">
      <formula>NOT(ISERROR(SEARCH("Fully Achieved",E37)))</formula>
    </cfRule>
    <cfRule type="containsText" dxfId="1525" priority="1607" operator="containsText" text="Update not Provided">
      <formula>NOT(ISERROR(SEARCH("Update not Provided",E37)))</formula>
    </cfRule>
    <cfRule type="containsText" dxfId="1524" priority="1608" operator="containsText" text="Not yet due">
      <formula>NOT(ISERROR(SEARCH("Not yet due",E37)))</formula>
    </cfRule>
    <cfRule type="containsText" dxfId="1523" priority="1609" operator="containsText" text="Completed Behind Schedule">
      <formula>NOT(ISERROR(SEARCH("Completed Behind Schedule",E37)))</formula>
    </cfRule>
    <cfRule type="containsText" dxfId="1522" priority="1610" operator="containsText" text="Off Target">
      <formula>NOT(ISERROR(SEARCH("Off Target",E37)))</formula>
    </cfRule>
    <cfRule type="containsText" dxfId="1521" priority="1611" operator="containsText" text="In Danger of Falling Behind Target">
      <formula>NOT(ISERROR(SEARCH("In Danger of Falling Behind Target",E37)))</formula>
    </cfRule>
    <cfRule type="containsText" dxfId="1520" priority="1612" operator="containsText" text="On Track to be Achieved">
      <formula>NOT(ISERROR(SEARCH("On Track to be Achieved",E37)))</formula>
    </cfRule>
    <cfRule type="containsText" dxfId="1519" priority="1613" operator="containsText" text="Fully Achieved">
      <formula>NOT(ISERROR(SEARCH("Fully Achieved",E37)))</formula>
    </cfRule>
    <cfRule type="containsText" dxfId="1518" priority="1614" operator="containsText" text="Fully Achieved">
      <formula>NOT(ISERROR(SEARCH("Fully Achieved",E37)))</formula>
    </cfRule>
    <cfRule type="containsText" dxfId="1517" priority="1615" operator="containsText" text="Fully Achieved">
      <formula>NOT(ISERROR(SEARCH("Fully Achieved",E37)))</formula>
    </cfRule>
    <cfRule type="containsText" dxfId="1516" priority="1616" operator="containsText" text="Deferred">
      <formula>NOT(ISERROR(SEARCH("Deferred",E37)))</formula>
    </cfRule>
    <cfRule type="containsText" dxfId="1515" priority="1617" operator="containsText" text="Deleted">
      <formula>NOT(ISERROR(SEARCH("Deleted",E37)))</formula>
    </cfRule>
    <cfRule type="containsText" dxfId="1514" priority="1618" operator="containsText" text="In Danger of Falling Behind Target">
      <formula>NOT(ISERROR(SEARCH("In Danger of Falling Behind Target",E37)))</formula>
    </cfRule>
    <cfRule type="containsText" dxfId="1513" priority="1619" operator="containsText" text="Not yet due">
      <formula>NOT(ISERROR(SEARCH("Not yet due",E37)))</formula>
    </cfRule>
    <cfRule type="containsText" dxfId="1512" priority="1620" operator="containsText" text="Update not Provided">
      <formula>NOT(ISERROR(SEARCH("Update not Provided",E37)))</formula>
    </cfRule>
  </conditionalFormatting>
  <conditionalFormatting sqref="E39">
    <cfRule type="containsText" dxfId="1511" priority="1549" operator="containsText" text="On track to be achieved">
      <formula>NOT(ISERROR(SEARCH("On track to be achieved",E39)))</formula>
    </cfRule>
    <cfRule type="containsText" dxfId="1510" priority="1550" operator="containsText" text="Deferred">
      <formula>NOT(ISERROR(SEARCH("Deferred",E39)))</formula>
    </cfRule>
    <cfRule type="containsText" dxfId="1509" priority="1551" operator="containsText" text="Deleted">
      <formula>NOT(ISERROR(SEARCH("Deleted",E39)))</formula>
    </cfRule>
    <cfRule type="containsText" dxfId="1508" priority="1552" operator="containsText" text="In Danger of Falling Behind Target">
      <formula>NOT(ISERROR(SEARCH("In Danger of Falling Behind Target",E39)))</formula>
    </cfRule>
    <cfRule type="containsText" dxfId="1507" priority="1553" operator="containsText" text="Not yet due">
      <formula>NOT(ISERROR(SEARCH("Not yet due",E39)))</formula>
    </cfRule>
    <cfRule type="containsText" dxfId="1506" priority="1554" operator="containsText" text="Update not Provided">
      <formula>NOT(ISERROR(SEARCH("Update not Provided",E39)))</formula>
    </cfRule>
    <cfRule type="containsText" dxfId="1505" priority="1555" operator="containsText" text="Not yet due">
      <formula>NOT(ISERROR(SEARCH("Not yet due",E39)))</formula>
    </cfRule>
    <cfRule type="containsText" dxfId="1504" priority="1556" operator="containsText" text="Completed Behind Schedule">
      <formula>NOT(ISERROR(SEARCH("Completed Behind Schedule",E39)))</formula>
    </cfRule>
    <cfRule type="containsText" dxfId="1503" priority="1557" operator="containsText" text="Off Target">
      <formula>NOT(ISERROR(SEARCH("Off Target",E39)))</formula>
    </cfRule>
    <cfRule type="containsText" dxfId="1502" priority="1558" operator="containsText" text="On Track to be Achieved">
      <formula>NOT(ISERROR(SEARCH("On Track to be Achieved",E39)))</formula>
    </cfRule>
    <cfRule type="containsText" dxfId="1501" priority="1559" operator="containsText" text="Fully Achieved">
      <formula>NOT(ISERROR(SEARCH("Fully Achieved",E39)))</formula>
    </cfRule>
    <cfRule type="containsText" dxfId="1500" priority="1560" operator="containsText" text="Not yet due">
      <formula>NOT(ISERROR(SEARCH("Not yet due",E39)))</formula>
    </cfRule>
    <cfRule type="containsText" dxfId="1499" priority="1561" operator="containsText" text="Not Yet Due">
      <formula>NOT(ISERROR(SEARCH("Not Yet Due",E39)))</formula>
    </cfRule>
    <cfRule type="containsText" dxfId="1498" priority="1562" operator="containsText" text="Deferred">
      <formula>NOT(ISERROR(SEARCH("Deferred",E39)))</formula>
    </cfRule>
    <cfRule type="containsText" dxfId="1497" priority="1563" operator="containsText" text="Deleted">
      <formula>NOT(ISERROR(SEARCH("Deleted",E39)))</formula>
    </cfRule>
    <cfRule type="containsText" dxfId="1496" priority="1564" operator="containsText" text="In Danger of Falling Behind Target">
      <formula>NOT(ISERROR(SEARCH("In Danger of Falling Behind Target",E39)))</formula>
    </cfRule>
    <cfRule type="containsText" dxfId="1495" priority="1565" operator="containsText" text="Not yet due">
      <formula>NOT(ISERROR(SEARCH("Not yet due",E39)))</formula>
    </cfRule>
    <cfRule type="containsText" dxfId="1494" priority="1566" operator="containsText" text="Completed Behind Schedule">
      <formula>NOT(ISERROR(SEARCH("Completed Behind Schedule",E39)))</formula>
    </cfRule>
    <cfRule type="containsText" dxfId="1493" priority="1567" operator="containsText" text="Off Target">
      <formula>NOT(ISERROR(SEARCH("Off Target",E39)))</formula>
    </cfRule>
    <cfRule type="containsText" dxfId="1492" priority="1568" operator="containsText" text="In Danger of Falling Behind Target">
      <formula>NOT(ISERROR(SEARCH("In Danger of Falling Behind Target",E39)))</formula>
    </cfRule>
    <cfRule type="containsText" dxfId="1491" priority="1569" operator="containsText" text="On Track to be Achieved">
      <formula>NOT(ISERROR(SEARCH("On Track to be Achieved",E39)))</formula>
    </cfRule>
    <cfRule type="containsText" dxfId="1490" priority="1570" operator="containsText" text="Fully Achieved">
      <formula>NOT(ISERROR(SEARCH("Fully Achieved",E39)))</formula>
    </cfRule>
    <cfRule type="containsText" dxfId="1489" priority="1571" operator="containsText" text="Update not Provided">
      <formula>NOT(ISERROR(SEARCH("Update not Provided",E39)))</formula>
    </cfRule>
    <cfRule type="containsText" dxfId="1488" priority="1572" operator="containsText" text="Not yet due">
      <formula>NOT(ISERROR(SEARCH("Not yet due",E39)))</formula>
    </cfRule>
    <cfRule type="containsText" dxfId="1487" priority="1573" operator="containsText" text="Completed Behind Schedule">
      <formula>NOT(ISERROR(SEARCH("Completed Behind Schedule",E39)))</formula>
    </cfRule>
    <cfRule type="containsText" dxfId="1486" priority="1574" operator="containsText" text="Off Target">
      <formula>NOT(ISERROR(SEARCH("Off Target",E39)))</formula>
    </cfRule>
    <cfRule type="containsText" dxfId="1485" priority="1575" operator="containsText" text="In Danger of Falling Behind Target">
      <formula>NOT(ISERROR(SEARCH("In Danger of Falling Behind Target",E39)))</formula>
    </cfRule>
    <cfRule type="containsText" dxfId="1484" priority="1576" operator="containsText" text="On Track to be Achieved">
      <formula>NOT(ISERROR(SEARCH("On Track to be Achieved",E39)))</formula>
    </cfRule>
    <cfRule type="containsText" dxfId="1483" priority="1577" operator="containsText" text="Fully Achieved">
      <formula>NOT(ISERROR(SEARCH("Fully Achieved",E39)))</formula>
    </cfRule>
    <cfRule type="containsText" dxfId="1482" priority="1578" operator="containsText" text="Fully Achieved">
      <formula>NOT(ISERROR(SEARCH("Fully Achieved",E39)))</formula>
    </cfRule>
    <cfRule type="containsText" dxfId="1481" priority="1579" operator="containsText" text="Fully Achieved">
      <formula>NOT(ISERROR(SEARCH("Fully Achieved",E39)))</formula>
    </cfRule>
    <cfRule type="containsText" dxfId="1480" priority="1580" operator="containsText" text="Deferred">
      <formula>NOT(ISERROR(SEARCH("Deferred",E39)))</formula>
    </cfRule>
    <cfRule type="containsText" dxfId="1479" priority="1581" operator="containsText" text="Deleted">
      <formula>NOT(ISERROR(SEARCH("Deleted",E39)))</formula>
    </cfRule>
    <cfRule type="containsText" dxfId="1478" priority="1582" operator="containsText" text="In Danger of Falling Behind Target">
      <formula>NOT(ISERROR(SEARCH("In Danger of Falling Behind Target",E39)))</formula>
    </cfRule>
    <cfRule type="containsText" dxfId="1477" priority="1583" operator="containsText" text="Not yet due">
      <formula>NOT(ISERROR(SEARCH("Not yet due",E39)))</formula>
    </cfRule>
    <cfRule type="containsText" dxfId="1476" priority="1584" operator="containsText" text="Update not Provided">
      <formula>NOT(ISERROR(SEARCH("Update not Provided",E39)))</formula>
    </cfRule>
  </conditionalFormatting>
  <conditionalFormatting sqref="E41:E42">
    <cfRule type="containsText" dxfId="1475" priority="1513" operator="containsText" text="On track to be achieved">
      <formula>NOT(ISERROR(SEARCH("On track to be achieved",E41)))</formula>
    </cfRule>
    <cfRule type="containsText" dxfId="1474" priority="1514" operator="containsText" text="Deferred">
      <formula>NOT(ISERROR(SEARCH("Deferred",E41)))</formula>
    </cfRule>
    <cfRule type="containsText" dxfId="1473" priority="1515" operator="containsText" text="Deleted">
      <formula>NOT(ISERROR(SEARCH("Deleted",E41)))</formula>
    </cfRule>
    <cfRule type="containsText" dxfId="1472" priority="1516" operator="containsText" text="In Danger of Falling Behind Target">
      <formula>NOT(ISERROR(SEARCH("In Danger of Falling Behind Target",E41)))</formula>
    </cfRule>
    <cfRule type="containsText" dxfId="1471" priority="1517" operator="containsText" text="Not yet due">
      <formula>NOT(ISERROR(SEARCH("Not yet due",E41)))</formula>
    </cfRule>
    <cfRule type="containsText" dxfId="1470" priority="1518" operator="containsText" text="Update not Provided">
      <formula>NOT(ISERROR(SEARCH("Update not Provided",E41)))</formula>
    </cfRule>
    <cfRule type="containsText" dxfId="1469" priority="1519" operator="containsText" text="Not yet due">
      <formula>NOT(ISERROR(SEARCH("Not yet due",E41)))</formula>
    </cfRule>
    <cfRule type="containsText" dxfId="1468" priority="1520" operator="containsText" text="Completed Behind Schedule">
      <formula>NOT(ISERROR(SEARCH("Completed Behind Schedule",E41)))</formula>
    </cfRule>
    <cfRule type="containsText" dxfId="1467" priority="1521" operator="containsText" text="Off Target">
      <formula>NOT(ISERROR(SEARCH("Off Target",E41)))</formula>
    </cfRule>
    <cfRule type="containsText" dxfId="1466" priority="1522" operator="containsText" text="On Track to be Achieved">
      <formula>NOT(ISERROR(SEARCH("On Track to be Achieved",E41)))</formula>
    </cfRule>
    <cfRule type="containsText" dxfId="1465" priority="1523" operator="containsText" text="Fully Achieved">
      <formula>NOT(ISERROR(SEARCH("Fully Achieved",E41)))</formula>
    </cfRule>
    <cfRule type="containsText" dxfId="1464" priority="1524" operator="containsText" text="Not yet due">
      <formula>NOT(ISERROR(SEARCH("Not yet due",E41)))</formula>
    </cfRule>
    <cfRule type="containsText" dxfId="1463" priority="1525" operator="containsText" text="Not Yet Due">
      <formula>NOT(ISERROR(SEARCH("Not Yet Due",E41)))</formula>
    </cfRule>
    <cfRule type="containsText" dxfId="1462" priority="1526" operator="containsText" text="Deferred">
      <formula>NOT(ISERROR(SEARCH("Deferred",E41)))</formula>
    </cfRule>
    <cfRule type="containsText" dxfId="1461" priority="1527" operator="containsText" text="Deleted">
      <formula>NOT(ISERROR(SEARCH("Deleted",E41)))</formula>
    </cfRule>
    <cfRule type="containsText" dxfId="1460" priority="1528" operator="containsText" text="In Danger of Falling Behind Target">
      <formula>NOT(ISERROR(SEARCH("In Danger of Falling Behind Target",E41)))</formula>
    </cfRule>
    <cfRule type="containsText" dxfId="1459" priority="1529" operator="containsText" text="Not yet due">
      <formula>NOT(ISERROR(SEARCH("Not yet due",E41)))</formula>
    </cfRule>
    <cfRule type="containsText" dxfId="1458" priority="1530" operator="containsText" text="Completed Behind Schedule">
      <formula>NOT(ISERROR(SEARCH("Completed Behind Schedule",E41)))</formula>
    </cfRule>
    <cfRule type="containsText" dxfId="1457" priority="1531" operator="containsText" text="Off Target">
      <formula>NOT(ISERROR(SEARCH("Off Target",E41)))</formula>
    </cfRule>
    <cfRule type="containsText" dxfId="1456" priority="1532" operator="containsText" text="In Danger of Falling Behind Target">
      <formula>NOT(ISERROR(SEARCH("In Danger of Falling Behind Target",E41)))</formula>
    </cfRule>
    <cfRule type="containsText" dxfId="1455" priority="1533" operator="containsText" text="On Track to be Achieved">
      <formula>NOT(ISERROR(SEARCH("On Track to be Achieved",E41)))</formula>
    </cfRule>
    <cfRule type="containsText" dxfId="1454" priority="1534" operator="containsText" text="Fully Achieved">
      <formula>NOT(ISERROR(SEARCH("Fully Achieved",E41)))</formula>
    </cfRule>
    <cfRule type="containsText" dxfId="1453" priority="1535" operator="containsText" text="Update not Provided">
      <formula>NOT(ISERROR(SEARCH("Update not Provided",E41)))</formula>
    </cfRule>
    <cfRule type="containsText" dxfId="1452" priority="1536" operator="containsText" text="Not yet due">
      <formula>NOT(ISERROR(SEARCH("Not yet due",E41)))</formula>
    </cfRule>
    <cfRule type="containsText" dxfId="1451" priority="1537" operator="containsText" text="Completed Behind Schedule">
      <formula>NOT(ISERROR(SEARCH("Completed Behind Schedule",E41)))</formula>
    </cfRule>
    <cfRule type="containsText" dxfId="1450" priority="1538" operator="containsText" text="Off Target">
      <formula>NOT(ISERROR(SEARCH("Off Target",E41)))</formula>
    </cfRule>
    <cfRule type="containsText" dxfId="1449" priority="1539" operator="containsText" text="In Danger of Falling Behind Target">
      <formula>NOT(ISERROR(SEARCH("In Danger of Falling Behind Target",E41)))</formula>
    </cfRule>
    <cfRule type="containsText" dxfId="1448" priority="1540" operator="containsText" text="On Track to be Achieved">
      <formula>NOT(ISERROR(SEARCH("On Track to be Achieved",E41)))</formula>
    </cfRule>
    <cfRule type="containsText" dxfId="1447" priority="1541" operator="containsText" text="Fully Achieved">
      <formula>NOT(ISERROR(SEARCH("Fully Achieved",E41)))</formula>
    </cfRule>
    <cfRule type="containsText" dxfId="1446" priority="1542" operator="containsText" text="Fully Achieved">
      <formula>NOT(ISERROR(SEARCH("Fully Achieved",E41)))</formula>
    </cfRule>
    <cfRule type="containsText" dxfId="1445" priority="1543" operator="containsText" text="Fully Achieved">
      <formula>NOT(ISERROR(SEARCH("Fully Achieved",E41)))</formula>
    </cfRule>
    <cfRule type="containsText" dxfId="1444" priority="1544" operator="containsText" text="Deferred">
      <formula>NOT(ISERROR(SEARCH("Deferred",E41)))</formula>
    </cfRule>
    <cfRule type="containsText" dxfId="1443" priority="1545" operator="containsText" text="Deleted">
      <formula>NOT(ISERROR(SEARCH("Deleted",E41)))</formula>
    </cfRule>
    <cfRule type="containsText" dxfId="1442" priority="1546" operator="containsText" text="In Danger of Falling Behind Target">
      <formula>NOT(ISERROR(SEARCH("In Danger of Falling Behind Target",E41)))</formula>
    </cfRule>
    <cfRule type="containsText" dxfId="1441" priority="1547" operator="containsText" text="Not yet due">
      <formula>NOT(ISERROR(SEARCH("Not yet due",E41)))</formula>
    </cfRule>
    <cfRule type="containsText" dxfId="1440" priority="1548" operator="containsText" text="Update not Provided">
      <formula>NOT(ISERROR(SEARCH("Update not Provided",E41)))</formula>
    </cfRule>
  </conditionalFormatting>
  <conditionalFormatting sqref="E46:E47">
    <cfRule type="containsText" dxfId="1439" priority="1477" operator="containsText" text="On track to be achieved">
      <formula>NOT(ISERROR(SEARCH("On track to be achieved",E46)))</formula>
    </cfRule>
    <cfRule type="containsText" dxfId="1438" priority="1478" operator="containsText" text="Deferred">
      <formula>NOT(ISERROR(SEARCH("Deferred",E46)))</formula>
    </cfRule>
    <cfRule type="containsText" dxfId="1437" priority="1479" operator="containsText" text="Deleted">
      <formula>NOT(ISERROR(SEARCH("Deleted",E46)))</formula>
    </cfRule>
    <cfRule type="containsText" dxfId="1436" priority="1480" operator="containsText" text="In Danger of Falling Behind Target">
      <formula>NOT(ISERROR(SEARCH("In Danger of Falling Behind Target",E46)))</formula>
    </cfRule>
    <cfRule type="containsText" dxfId="1435" priority="1481" operator="containsText" text="Not yet due">
      <formula>NOT(ISERROR(SEARCH("Not yet due",E46)))</formula>
    </cfRule>
    <cfRule type="containsText" dxfId="1434" priority="1482" operator="containsText" text="Update not Provided">
      <formula>NOT(ISERROR(SEARCH("Update not Provided",E46)))</formula>
    </cfRule>
    <cfRule type="containsText" dxfId="1433" priority="1483" operator="containsText" text="Not yet due">
      <formula>NOT(ISERROR(SEARCH("Not yet due",E46)))</formula>
    </cfRule>
    <cfRule type="containsText" dxfId="1432" priority="1484" operator="containsText" text="Completed Behind Schedule">
      <formula>NOT(ISERROR(SEARCH("Completed Behind Schedule",E46)))</formula>
    </cfRule>
    <cfRule type="containsText" dxfId="1431" priority="1485" operator="containsText" text="Off Target">
      <formula>NOT(ISERROR(SEARCH("Off Target",E46)))</formula>
    </cfRule>
    <cfRule type="containsText" dxfId="1430" priority="1486" operator="containsText" text="On Track to be Achieved">
      <formula>NOT(ISERROR(SEARCH("On Track to be Achieved",E46)))</formula>
    </cfRule>
    <cfRule type="containsText" dxfId="1429" priority="1487" operator="containsText" text="Fully Achieved">
      <formula>NOT(ISERROR(SEARCH("Fully Achieved",E46)))</formula>
    </cfRule>
    <cfRule type="containsText" dxfId="1428" priority="1488" operator="containsText" text="Not yet due">
      <formula>NOT(ISERROR(SEARCH("Not yet due",E46)))</formula>
    </cfRule>
    <cfRule type="containsText" dxfId="1427" priority="1489" operator="containsText" text="Not Yet Due">
      <formula>NOT(ISERROR(SEARCH("Not Yet Due",E46)))</formula>
    </cfRule>
    <cfRule type="containsText" dxfId="1426" priority="1490" operator="containsText" text="Deferred">
      <formula>NOT(ISERROR(SEARCH("Deferred",E46)))</formula>
    </cfRule>
    <cfRule type="containsText" dxfId="1425" priority="1491" operator="containsText" text="Deleted">
      <formula>NOT(ISERROR(SEARCH("Deleted",E46)))</formula>
    </cfRule>
    <cfRule type="containsText" dxfId="1424" priority="1492" operator="containsText" text="In Danger of Falling Behind Target">
      <formula>NOT(ISERROR(SEARCH("In Danger of Falling Behind Target",E46)))</formula>
    </cfRule>
    <cfRule type="containsText" dxfId="1423" priority="1493" operator="containsText" text="Not yet due">
      <formula>NOT(ISERROR(SEARCH("Not yet due",E46)))</formula>
    </cfRule>
    <cfRule type="containsText" dxfId="1422" priority="1494" operator="containsText" text="Completed Behind Schedule">
      <formula>NOT(ISERROR(SEARCH("Completed Behind Schedule",E46)))</formula>
    </cfRule>
    <cfRule type="containsText" dxfId="1421" priority="1495" operator="containsText" text="Off Target">
      <formula>NOT(ISERROR(SEARCH("Off Target",E46)))</formula>
    </cfRule>
    <cfRule type="containsText" dxfId="1420" priority="1496" operator="containsText" text="In Danger of Falling Behind Target">
      <formula>NOT(ISERROR(SEARCH("In Danger of Falling Behind Target",E46)))</formula>
    </cfRule>
    <cfRule type="containsText" dxfId="1419" priority="1497" operator="containsText" text="On Track to be Achieved">
      <formula>NOT(ISERROR(SEARCH("On Track to be Achieved",E46)))</formula>
    </cfRule>
    <cfRule type="containsText" dxfId="1418" priority="1498" operator="containsText" text="Fully Achieved">
      <formula>NOT(ISERROR(SEARCH("Fully Achieved",E46)))</formula>
    </cfRule>
    <cfRule type="containsText" dxfId="1417" priority="1499" operator="containsText" text="Update not Provided">
      <formula>NOT(ISERROR(SEARCH("Update not Provided",E46)))</formula>
    </cfRule>
    <cfRule type="containsText" dxfId="1416" priority="1500" operator="containsText" text="Not yet due">
      <formula>NOT(ISERROR(SEARCH("Not yet due",E46)))</formula>
    </cfRule>
    <cfRule type="containsText" dxfId="1415" priority="1501" operator="containsText" text="Completed Behind Schedule">
      <formula>NOT(ISERROR(SEARCH("Completed Behind Schedule",E46)))</formula>
    </cfRule>
    <cfRule type="containsText" dxfId="1414" priority="1502" operator="containsText" text="Off Target">
      <formula>NOT(ISERROR(SEARCH("Off Target",E46)))</formula>
    </cfRule>
    <cfRule type="containsText" dxfId="1413" priority="1503" operator="containsText" text="In Danger of Falling Behind Target">
      <formula>NOT(ISERROR(SEARCH("In Danger of Falling Behind Target",E46)))</formula>
    </cfRule>
    <cfRule type="containsText" dxfId="1412" priority="1504" operator="containsText" text="On Track to be Achieved">
      <formula>NOT(ISERROR(SEARCH("On Track to be Achieved",E46)))</formula>
    </cfRule>
    <cfRule type="containsText" dxfId="1411" priority="1505" operator="containsText" text="Fully Achieved">
      <formula>NOT(ISERROR(SEARCH("Fully Achieved",E46)))</formula>
    </cfRule>
    <cfRule type="containsText" dxfId="1410" priority="1506" operator="containsText" text="Fully Achieved">
      <formula>NOT(ISERROR(SEARCH("Fully Achieved",E46)))</formula>
    </cfRule>
    <cfRule type="containsText" dxfId="1409" priority="1507" operator="containsText" text="Fully Achieved">
      <formula>NOT(ISERROR(SEARCH("Fully Achieved",E46)))</formula>
    </cfRule>
    <cfRule type="containsText" dxfId="1408" priority="1508" operator="containsText" text="Deferred">
      <formula>NOT(ISERROR(SEARCH("Deferred",E46)))</formula>
    </cfRule>
    <cfRule type="containsText" dxfId="1407" priority="1509" operator="containsText" text="Deleted">
      <formula>NOT(ISERROR(SEARCH("Deleted",E46)))</formula>
    </cfRule>
    <cfRule type="containsText" dxfId="1406" priority="1510" operator="containsText" text="In Danger of Falling Behind Target">
      <formula>NOT(ISERROR(SEARCH("In Danger of Falling Behind Target",E46)))</formula>
    </cfRule>
    <cfRule type="containsText" dxfId="1405" priority="1511" operator="containsText" text="Not yet due">
      <formula>NOT(ISERROR(SEARCH("Not yet due",E46)))</formula>
    </cfRule>
    <cfRule type="containsText" dxfId="1404" priority="1512" operator="containsText" text="Update not Provided">
      <formula>NOT(ISERROR(SEARCH("Update not Provided",E46)))</formula>
    </cfRule>
  </conditionalFormatting>
  <conditionalFormatting sqref="E48:E51">
    <cfRule type="containsText" dxfId="1403" priority="1441" operator="containsText" text="On track to be achieved">
      <formula>NOT(ISERROR(SEARCH("On track to be achieved",E48)))</formula>
    </cfRule>
    <cfRule type="containsText" dxfId="1402" priority="1442" operator="containsText" text="Deferred">
      <formula>NOT(ISERROR(SEARCH("Deferred",E48)))</formula>
    </cfRule>
    <cfRule type="containsText" dxfId="1401" priority="1443" operator="containsText" text="Deleted">
      <formula>NOT(ISERROR(SEARCH("Deleted",E48)))</formula>
    </cfRule>
    <cfRule type="containsText" dxfId="1400" priority="1444" operator="containsText" text="In Danger of Falling Behind Target">
      <formula>NOT(ISERROR(SEARCH("In Danger of Falling Behind Target",E48)))</formula>
    </cfRule>
    <cfRule type="containsText" dxfId="1399" priority="1445" operator="containsText" text="Not yet due">
      <formula>NOT(ISERROR(SEARCH("Not yet due",E48)))</formula>
    </cfRule>
    <cfRule type="containsText" dxfId="1398" priority="1446" operator="containsText" text="Update not Provided">
      <formula>NOT(ISERROR(SEARCH("Update not Provided",E48)))</formula>
    </cfRule>
    <cfRule type="containsText" dxfId="1397" priority="1447" operator="containsText" text="Not yet due">
      <formula>NOT(ISERROR(SEARCH("Not yet due",E48)))</formula>
    </cfRule>
    <cfRule type="containsText" dxfId="1396" priority="1448" operator="containsText" text="Completed Behind Schedule">
      <formula>NOT(ISERROR(SEARCH("Completed Behind Schedule",E48)))</formula>
    </cfRule>
    <cfRule type="containsText" dxfId="1395" priority="1449" operator="containsText" text="Off Target">
      <formula>NOT(ISERROR(SEARCH("Off Target",E48)))</formula>
    </cfRule>
    <cfRule type="containsText" dxfId="1394" priority="1450" operator="containsText" text="On Track to be Achieved">
      <formula>NOT(ISERROR(SEARCH("On Track to be Achieved",E48)))</formula>
    </cfRule>
    <cfRule type="containsText" dxfId="1393" priority="1451" operator="containsText" text="Fully Achieved">
      <formula>NOT(ISERROR(SEARCH("Fully Achieved",E48)))</formula>
    </cfRule>
    <cfRule type="containsText" dxfId="1392" priority="1452" operator="containsText" text="Not yet due">
      <formula>NOT(ISERROR(SEARCH("Not yet due",E48)))</formula>
    </cfRule>
    <cfRule type="containsText" dxfId="1391" priority="1453" operator="containsText" text="Not Yet Due">
      <formula>NOT(ISERROR(SEARCH("Not Yet Due",E48)))</formula>
    </cfRule>
    <cfRule type="containsText" dxfId="1390" priority="1454" operator="containsText" text="Deferred">
      <formula>NOT(ISERROR(SEARCH("Deferred",E48)))</formula>
    </cfRule>
    <cfRule type="containsText" dxfId="1389" priority="1455" operator="containsText" text="Deleted">
      <formula>NOT(ISERROR(SEARCH("Deleted",E48)))</formula>
    </cfRule>
    <cfRule type="containsText" dxfId="1388" priority="1456" operator="containsText" text="In Danger of Falling Behind Target">
      <formula>NOT(ISERROR(SEARCH("In Danger of Falling Behind Target",E48)))</formula>
    </cfRule>
    <cfRule type="containsText" dxfId="1387" priority="1457" operator="containsText" text="Not yet due">
      <formula>NOT(ISERROR(SEARCH("Not yet due",E48)))</formula>
    </cfRule>
    <cfRule type="containsText" dxfId="1386" priority="1458" operator="containsText" text="Completed Behind Schedule">
      <formula>NOT(ISERROR(SEARCH("Completed Behind Schedule",E48)))</formula>
    </cfRule>
    <cfRule type="containsText" dxfId="1385" priority="1459" operator="containsText" text="Off Target">
      <formula>NOT(ISERROR(SEARCH("Off Target",E48)))</formula>
    </cfRule>
    <cfRule type="containsText" dxfId="1384" priority="1460" operator="containsText" text="In Danger of Falling Behind Target">
      <formula>NOT(ISERROR(SEARCH("In Danger of Falling Behind Target",E48)))</formula>
    </cfRule>
    <cfRule type="containsText" dxfId="1383" priority="1461" operator="containsText" text="On Track to be Achieved">
      <formula>NOT(ISERROR(SEARCH("On Track to be Achieved",E48)))</formula>
    </cfRule>
    <cfRule type="containsText" dxfId="1382" priority="1462" operator="containsText" text="Fully Achieved">
      <formula>NOT(ISERROR(SEARCH("Fully Achieved",E48)))</formula>
    </cfRule>
    <cfRule type="containsText" dxfId="1381" priority="1463" operator="containsText" text="Update not Provided">
      <formula>NOT(ISERROR(SEARCH("Update not Provided",E48)))</formula>
    </cfRule>
    <cfRule type="containsText" dxfId="1380" priority="1464" operator="containsText" text="Not yet due">
      <formula>NOT(ISERROR(SEARCH("Not yet due",E48)))</formula>
    </cfRule>
    <cfRule type="containsText" dxfId="1379" priority="1465" operator="containsText" text="Completed Behind Schedule">
      <formula>NOT(ISERROR(SEARCH("Completed Behind Schedule",E48)))</formula>
    </cfRule>
    <cfRule type="containsText" dxfId="1378" priority="1466" operator="containsText" text="Off Target">
      <formula>NOT(ISERROR(SEARCH("Off Target",E48)))</formula>
    </cfRule>
    <cfRule type="containsText" dxfId="1377" priority="1467" operator="containsText" text="In Danger of Falling Behind Target">
      <formula>NOT(ISERROR(SEARCH("In Danger of Falling Behind Target",E48)))</formula>
    </cfRule>
    <cfRule type="containsText" dxfId="1376" priority="1468" operator="containsText" text="On Track to be Achieved">
      <formula>NOT(ISERROR(SEARCH("On Track to be Achieved",E48)))</formula>
    </cfRule>
    <cfRule type="containsText" dxfId="1375" priority="1469" operator="containsText" text="Fully Achieved">
      <formula>NOT(ISERROR(SEARCH("Fully Achieved",E48)))</formula>
    </cfRule>
    <cfRule type="containsText" dxfId="1374" priority="1470" operator="containsText" text="Fully Achieved">
      <formula>NOT(ISERROR(SEARCH("Fully Achieved",E48)))</formula>
    </cfRule>
    <cfRule type="containsText" dxfId="1373" priority="1471" operator="containsText" text="Fully Achieved">
      <formula>NOT(ISERROR(SEARCH("Fully Achieved",E48)))</formula>
    </cfRule>
    <cfRule type="containsText" dxfId="1372" priority="1472" operator="containsText" text="Deferred">
      <formula>NOT(ISERROR(SEARCH("Deferred",E48)))</formula>
    </cfRule>
    <cfRule type="containsText" dxfId="1371" priority="1473" operator="containsText" text="Deleted">
      <formula>NOT(ISERROR(SEARCH("Deleted",E48)))</formula>
    </cfRule>
    <cfRule type="containsText" dxfId="1370" priority="1474" operator="containsText" text="In Danger of Falling Behind Target">
      <formula>NOT(ISERROR(SEARCH("In Danger of Falling Behind Target",E48)))</formula>
    </cfRule>
    <cfRule type="containsText" dxfId="1369" priority="1475" operator="containsText" text="Not yet due">
      <formula>NOT(ISERROR(SEARCH("Not yet due",E48)))</formula>
    </cfRule>
    <cfRule type="containsText" dxfId="1368" priority="1476" operator="containsText" text="Update not Provided">
      <formula>NOT(ISERROR(SEARCH("Update not Provided",E48)))</formula>
    </cfRule>
  </conditionalFormatting>
  <conditionalFormatting sqref="E54">
    <cfRule type="containsText" dxfId="1367" priority="1405" operator="containsText" text="On track to be achieved">
      <formula>NOT(ISERROR(SEARCH("On track to be achieved",E54)))</formula>
    </cfRule>
    <cfRule type="containsText" dxfId="1366" priority="1406" operator="containsText" text="Deferred">
      <formula>NOT(ISERROR(SEARCH("Deferred",E54)))</formula>
    </cfRule>
    <cfRule type="containsText" dxfId="1365" priority="1407" operator="containsText" text="Deleted">
      <formula>NOT(ISERROR(SEARCH("Deleted",E54)))</formula>
    </cfRule>
    <cfRule type="containsText" dxfId="1364" priority="1408" operator="containsText" text="In Danger of Falling Behind Target">
      <formula>NOT(ISERROR(SEARCH("In Danger of Falling Behind Target",E54)))</formula>
    </cfRule>
    <cfRule type="containsText" dxfId="1363" priority="1409" operator="containsText" text="Not yet due">
      <formula>NOT(ISERROR(SEARCH("Not yet due",E54)))</formula>
    </cfRule>
    <cfRule type="containsText" dxfId="1362" priority="1410" operator="containsText" text="Update not Provided">
      <formula>NOT(ISERROR(SEARCH("Update not Provided",E54)))</formula>
    </cfRule>
    <cfRule type="containsText" dxfId="1361" priority="1411" operator="containsText" text="Not yet due">
      <formula>NOT(ISERROR(SEARCH("Not yet due",E54)))</formula>
    </cfRule>
    <cfRule type="containsText" dxfId="1360" priority="1412" operator="containsText" text="Completed Behind Schedule">
      <formula>NOT(ISERROR(SEARCH("Completed Behind Schedule",E54)))</formula>
    </cfRule>
    <cfRule type="containsText" dxfId="1359" priority="1413" operator="containsText" text="Off Target">
      <formula>NOT(ISERROR(SEARCH("Off Target",E54)))</formula>
    </cfRule>
    <cfRule type="containsText" dxfId="1358" priority="1414" operator="containsText" text="On Track to be Achieved">
      <formula>NOT(ISERROR(SEARCH("On Track to be Achieved",E54)))</formula>
    </cfRule>
    <cfRule type="containsText" dxfId="1357" priority="1415" operator="containsText" text="Fully Achieved">
      <formula>NOT(ISERROR(SEARCH("Fully Achieved",E54)))</formula>
    </cfRule>
    <cfRule type="containsText" dxfId="1356" priority="1416" operator="containsText" text="Not yet due">
      <formula>NOT(ISERROR(SEARCH("Not yet due",E54)))</formula>
    </cfRule>
    <cfRule type="containsText" dxfId="1355" priority="1417" operator="containsText" text="Not Yet Due">
      <formula>NOT(ISERROR(SEARCH("Not Yet Due",E54)))</formula>
    </cfRule>
    <cfRule type="containsText" dxfId="1354" priority="1418" operator="containsText" text="Deferred">
      <formula>NOT(ISERROR(SEARCH("Deferred",E54)))</formula>
    </cfRule>
    <cfRule type="containsText" dxfId="1353" priority="1419" operator="containsText" text="Deleted">
      <formula>NOT(ISERROR(SEARCH("Deleted",E54)))</formula>
    </cfRule>
    <cfRule type="containsText" dxfId="1352" priority="1420" operator="containsText" text="In Danger of Falling Behind Target">
      <formula>NOT(ISERROR(SEARCH("In Danger of Falling Behind Target",E54)))</formula>
    </cfRule>
    <cfRule type="containsText" dxfId="1351" priority="1421" operator="containsText" text="Not yet due">
      <formula>NOT(ISERROR(SEARCH("Not yet due",E54)))</formula>
    </cfRule>
    <cfRule type="containsText" dxfId="1350" priority="1422" operator="containsText" text="Completed Behind Schedule">
      <formula>NOT(ISERROR(SEARCH("Completed Behind Schedule",E54)))</formula>
    </cfRule>
    <cfRule type="containsText" dxfId="1349" priority="1423" operator="containsText" text="Off Target">
      <formula>NOT(ISERROR(SEARCH("Off Target",E54)))</formula>
    </cfRule>
    <cfRule type="containsText" dxfId="1348" priority="1424" operator="containsText" text="In Danger of Falling Behind Target">
      <formula>NOT(ISERROR(SEARCH("In Danger of Falling Behind Target",E54)))</formula>
    </cfRule>
    <cfRule type="containsText" dxfId="1347" priority="1425" operator="containsText" text="On Track to be Achieved">
      <formula>NOT(ISERROR(SEARCH("On Track to be Achieved",E54)))</formula>
    </cfRule>
    <cfRule type="containsText" dxfId="1346" priority="1426" operator="containsText" text="Fully Achieved">
      <formula>NOT(ISERROR(SEARCH("Fully Achieved",E54)))</formula>
    </cfRule>
    <cfRule type="containsText" dxfId="1345" priority="1427" operator="containsText" text="Update not Provided">
      <formula>NOT(ISERROR(SEARCH("Update not Provided",E54)))</formula>
    </cfRule>
    <cfRule type="containsText" dxfId="1344" priority="1428" operator="containsText" text="Not yet due">
      <formula>NOT(ISERROR(SEARCH("Not yet due",E54)))</formula>
    </cfRule>
    <cfRule type="containsText" dxfId="1343" priority="1429" operator="containsText" text="Completed Behind Schedule">
      <formula>NOT(ISERROR(SEARCH("Completed Behind Schedule",E54)))</formula>
    </cfRule>
    <cfRule type="containsText" dxfId="1342" priority="1430" operator="containsText" text="Off Target">
      <formula>NOT(ISERROR(SEARCH("Off Target",E54)))</formula>
    </cfRule>
    <cfRule type="containsText" dxfId="1341" priority="1431" operator="containsText" text="In Danger of Falling Behind Target">
      <formula>NOT(ISERROR(SEARCH("In Danger of Falling Behind Target",E54)))</formula>
    </cfRule>
    <cfRule type="containsText" dxfId="1340" priority="1432" operator="containsText" text="On Track to be Achieved">
      <formula>NOT(ISERROR(SEARCH("On Track to be Achieved",E54)))</formula>
    </cfRule>
    <cfRule type="containsText" dxfId="1339" priority="1433" operator="containsText" text="Fully Achieved">
      <formula>NOT(ISERROR(SEARCH("Fully Achieved",E54)))</formula>
    </cfRule>
    <cfRule type="containsText" dxfId="1338" priority="1434" operator="containsText" text="Fully Achieved">
      <formula>NOT(ISERROR(SEARCH("Fully Achieved",E54)))</formula>
    </cfRule>
    <cfRule type="containsText" dxfId="1337" priority="1435" operator="containsText" text="Fully Achieved">
      <formula>NOT(ISERROR(SEARCH("Fully Achieved",E54)))</formula>
    </cfRule>
    <cfRule type="containsText" dxfId="1336" priority="1436" operator="containsText" text="Deferred">
      <formula>NOT(ISERROR(SEARCH("Deferred",E54)))</formula>
    </cfRule>
    <cfRule type="containsText" dxfId="1335" priority="1437" operator="containsText" text="Deleted">
      <formula>NOT(ISERROR(SEARCH("Deleted",E54)))</formula>
    </cfRule>
    <cfRule type="containsText" dxfId="1334" priority="1438" operator="containsText" text="In Danger of Falling Behind Target">
      <formula>NOT(ISERROR(SEARCH("In Danger of Falling Behind Target",E54)))</formula>
    </cfRule>
    <cfRule type="containsText" dxfId="1333" priority="1439" operator="containsText" text="Not yet due">
      <formula>NOT(ISERROR(SEARCH("Not yet due",E54)))</formula>
    </cfRule>
    <cfRule type="containsText" dxfId="1332" priority="1440" operator="containsText" text="Update not Provided">
      <formula>NOT(ISERROR(SEARCH("Update not Provided",E54)))</formula>
    </cfRule>
  </conditionalFormatting>
  <conditionalFormatting sqref="E56:E57">
    <cfRule type="containsText" dxfId="1331" priority="1369" operator="containsText" text="On track to be achieved">
      <formula>NOT(ISERROR(SEARCH("On track to be achieved",E56)))</formula>
    </cfRule>
    <cfRule type="containsText" dxfId="1330" priority="1370" operator="containsText" text="Deferred">
      <formula>NOT(ISERROR(SEARCH("Deferred",E56)))</formula>
    </cfRule>
    <cfRule type="containsText" dxfId="1329" priority="1371" operator="containsText" text="Deleted">
      <formula>NOT(ISERROR(SEARCH("Deleted",E56)))</formula>
    </cfRule>
    <cfRule type="containsText" dxfId="1328" priority="1372" operator="containsText" text="In Danger of Falling Behind Target">
      <formula>NOT(ISERROR(SEARCH("In Danger of Falling Behind Target",E56)))</formula>
    </cfRule>
    <cfRule type="containsText" dxfId="1327" priority="1373" operator="containsText" text="Not yet due">
      <formula>NOT(ISERROR(SEARCH("Not yet due",E56)))</formula>
    </cfRule>
    <cfRule type="containsText" dxfId="1326" priority="1374" operator="containsText" text="Update not Provided">
      <formula>NOT(ISERROR(SEARCH("Update not Provided",E56)))</formula>
    </cfRule>
    <cfRule type="containsText" dxfId="1325" priority="1375" operator="containsText" text="Not yet due">
      <formula>NOT(ISERROR(SEARCH("Not yet due",E56)))</formula>
    </cfRule>
    <cfRule type="containsText" dxfId="1324" priority="1376" operator="containsText" text="Completed Behind Schedule">
      <formula>NOT(ISERROR(SEARCH("Completed Behind Schedule",E56)))</formula>
    </cfRule>
    <cfRule type="containsText" dxfId="1323" priority="1377" operator="containsText" text="Off Target">
      <formula>NOT(ISERROR(SEARCH("Off Target",E56)))</formula>
    </cfRule>
    <cfRule type="containsText" dxfId="1322" priority="1378" operator="containsText" text="On Track to be Achieved">
      <formula>NOT(ISERROR(SEARCH("On Track to be Achieved",E56)))</formula>
    </cfRule>
    <cfRule type="containsText" dxfId="1321" priority="1379" operator="containsText" text="Fully Achieved">
      <formula>NOT(ISERROR(SEARCH("Fully Achieved",E56)))</formula>
    </cfRule>
    <cfRule type="containsText" dxfId="1320" priority="1380" operator="containsText" text="Not yet due">
      <formula>NOT(ISERROR(SEARCH("Not yet due",E56)))</formula>
    </cfRule>
    <cfRule type="containsText" dxfId="1319" priority="1381" operator="containsText" text="Not Yet Due">
      <formula>NOT(ISERROR(SEARCH("Not Yet Due",E56)))</formula>
    </cfRule>
    <cfRule type="containsText" dxfId="1318" priority="1382" operator="containsText" text="Deferred">
      <formula>NOT(ISERROR(SEARCH("Deferred",E56)))</formula>
    </cfRule>
    <cfRule type="containsText" dxfId="1317" priority="1383" operator="containsText" text="Deleted">
      <formula>NOT(ISERROR(SEARCH("Deleted",E56)))</formula>
    </cfRule>
    <cfRule type="containsText" dxfId="1316" priority="1384" operator="containsText" text="In Danger of Falling Behind Target">
      <formula>NOT(ISERROR(SEARCH("In Danger of Falling Behind Target",E56)))</formula>
    </cfRule>
    <cfRule type="containsText" dxfId="1315" priority="1385" operator="containsText" text="Not yet due">
      <formula>NOT(ISERROR(SEARCH("Not yet due",E56)))</formula>
    </cfRule>
    <cfRule type="containsText" dxfId="1314" priority="1386" operator="containsText" text="Completed Behind Schedule">
      <formula>NOT(ISERROR(SEARCH("Completed Behind Schedule",E56)))</formula>
    </cfRule>
    <cfRule type="containsText" dxfId="1313" priority="1387" operator="containsText" text="Off Target">
      <formula>NOT(ISERROR(SEARCH("Off Target",E56)))</formula>
    </cfRule>
    <cfRule type="containsText" dxfId="1312" priority="1388" operator="containsText" text="In Danger of Falling Behind Target">
      <formula>NOT(ISERROR(SEARCH("In Danger of Falling Behind Target",E56)))</formula>
    </cfRule>
    <cfRule type="containsText" dxfId="1311" priority="1389" operator="containsText" text="On Track to be Achieved">
      <formula>NOT(ISERROR(SEARCH("On Track to be Achieved",E56)))</formula>
    </cfRule>
    <cfRule type="containsText" dxfId="1310" priority="1390" operator="containsText" text="Fully Achieved">
      <formula>NOT(ISERROR(SEARCH("Fully Achieved",E56)))</formula>
    </cfRule>
    <cfRule type="containsText" dxfId="1309" priority="1391" operator="containsText" text="Update not Provided">
      <formula>NOT(ISERROR(SEARCH("Update not Provided",E56)))</formula>
    </cfRule>
    <cfRule type="containsText" dxfId="1308" priority="1392" operator="containsText" text="Not yet due">
      <formula>NOT(ISERROR(SEARCH("Not yet due",E56)))</formula>
    </cfRule>
    <cfRule type="containsText" dxfId="1307" priority="1393" operator="containsText" text="Completed Behind Schedule">
      <formula>NOT(ISERROR(SEARCH("Completed Behind Schedule",E56)))</formula>
    </cfRule>
    <cfRule type="containsText" dxfId="1306" priority="1394" operator="containsText" text="Off Target">
      <formula>NOT(ISERROR(SEARCH("Off Target",E56)))</formula>
    </cfRule>
    <cfRule type="containsText" dxfId="1305" priority="1395" operator="containsText" text="In Danger of Falling Behind Target">
      <formula>NOT(ISERROR(SEARCH("In Danger of Falling Behind Target",E56)))</formula>
    </cfRule>
    <cfRule type="containsText" dxfId="1304" priority="1396" operator="containsText" text="On Track to be Achieved">
      <formula>NOT(ISERROR(SEARCH("On Track to be Achieved",E56)))</formula>
    </cfRule>
    <cfRule type="containsText" dxfId="1303" priority="1397" operator="containsText" text="Fully Achieved">
      <formula>NOT(ISERROR(SEARCH("Fully Achieved",E56)))</formula>
    </cfRule>
    <cfRule type="containsText" dxfId="1302" priority="1398" operator="containsText" text="Fully Achieved">
      <formula>NOT(ISERROR(SEARCH("Fully Achieved",E56)))</formula>
    </cfRule>
    <cfRule type="containsText" dxfId="1301" priority="1399" operator="containsText" text="Fully Achieved">
      <formula>NOT(ISERROR(SEARCH("Fully Achieved",E56)))</formula>
    </cfRule>
    <cfRule type="containsText" dxfId="1300" priority="1400" operator="containsText" text="Deferred">
      <formula>NOT(ISERROR(SEARCH("Deferred",E56)))</formula>
    </cfRule>
    <cfRule type="containsText" dxfId="1299" priority="1401" operator="containsText" text="Deleted">
      <formula>NOT(ISERROR(SEARCH("Deleted",E56)))</formula>
    </cfRule>
    <cfRule type="containsText" dxfId="1298" priority="1402" operator="containsText" text="In Danger of Falling Behind Target">
      <formula>NOT(ISERROR(SEARCH("In Danger of Falling Behind Target",E56)))</formula>
    </cfRule>
    <cfRule type="containsText" dxfId="1297" priority="1403" operator="containsText" text="Not yet due">
      <formula>NOT(ISERROR(SEARCH("Not yet due",E56)))</formula>
    </cfRule>
    <cfRule type="containsText" dxfId="1296" priority="1404" operator="containsText" text="Update not Provided">
      <formula>NOT(ISERROR(SEARCH("Update not Provided",E56)))</formula>
    </cfRule>
  </conditionalFormatting>
  <conditionalFormatting sqref="E59">
    <cfRule type="containsText" dxfId="1295" priority="1333" operator="containsText" text="On track to be achieved">
      <formula>NOT(ISERROR(SEARCH("On track to be achieved",E59)))</formula>
    </cfRule>
    <cfRule type="containsText" dxfId="1294" priority="1334" operator="containsText" text="Deferred">
      <formula>NOT(ISERROR(SEARCH("Deferred",E59)))</formula>
    </cfRule>
    <cfRule type="containsText" dxfId="1293" priority="1335" operator="containsText" text="Deleted">
      <formula>NOT(ISERROR(SEARCH("Deleted",E59)))</formula>
    </cfRule>
    <cfRule type="containsText" dxfId="1292" priority="1336" operator="containsText" text="In Danger of Falling Behind Target">
      <formula>NOT(ISERROR(SEARCH("In Danger of Falling Behind Target",E59)))</formula>
    </cfRule>
    <cfRule type="containsText" dxfId="1291" priority="1337" operator="containsText" text="Not yet due">
      <formula>NOT(ISERROR(SEARCH("Not yet due",E59)))</formula>
    </cfRule>
    <cfRule type="containsText" dxfId="1290" priority="1338" operator="containsText" text="Update not Provided">
      <formula>NOT(ISERROR(SEARCH("Update not Provided",E59)))</formula>
    </cfRule>
    <cfRule type="containsText" dxfId="1289" priority="1339" operator="containsText" text="Not yet due">
      <formula>NOT(ISERROR(SEARCH("Not yet due",E59)))</formula>
    </cfRule>
    <cfRule type="containsText" dxfId="1288" priority="1340" operator="containsText" text="Completed Behind Schedule">
      <formula>NOT(ISERROR(SEARCH("Completed Behind Schedule",E59)))</formula>
    </cfRule>
    <cfRule type="containsText" dxfId="1287" priority="1341" operator="containsText" text="Off Target">
      <formula>NOT(ISERROR(SEARCH("Off Target",E59)))</formula>
    </cfRule>
    <cfRule type="containsText" dxfId="1286" priority="1342" operator="containsText" text="On Track to be Achieved">
      <formula>NOT(ISERROR(SEARCH("On Track to be Achieved",E59)))</formula>
    </cfRule>
    <cfRule type="containsText" dxfId="1285" priority="1343" operator="containsText" text="Fully Achieved">
      <formula>NOT(ISERROR(SEARCH("Fully Achieved",E59)))</formula>
    </cfRule>
    <cfRule type="containsText" dxfId="1284" priority="1344" operator="containsText" text="Not yet due">
      <formula>NOT(ISERROR(SEARCH("Not yet due",E59)))</formula>
    </cfRule>
    <cfRule type="containsText" dxfId="1283" priority="1345" operator="containsText" text="Not Yet Due">
      <formula>NOT(ISERROR(SEARCH("Not Yet Due",E59)))</formula>
    </cfRule>
    <cfRule type="containsText" dxfId="1282" priority="1346" operator="containsText" text="Deferred">
      <formula>NOT(ISERROR(SEARCH("Deferred",E59)))</formula>
    </cfRule>
    <cfRule type="containsText" dxfId="1281" priority="1347" operator="containsText" text="Deleted">
      <formula>NOT(ISERROR(SEARCH("Deleted",E59)))</formula>
    </cfRule>
    <cfRule type="containsText" dxfId="1280" priority="1348" operator="containsText" text="In Danger of Falling Behind Target">
      <formula>NOT(ISERROR(SEARCH("In Danger of Falling Behind Target",E59)))</formula>
    </cfRule>
    <cfRule type="containsText" dxfId="1279" priority="1349" operator="containsText" text="Not yet due">
      <formula>NOT(ISERROR(SEARCH("Not yet due",E59)))</formula>
    </cfRule>
    <cfRule type="containsText" dxfId="1278" priority="1350" operator="containsText" text="Completed Behind Schedule">
      <formula>NOT(ISERROR(SEARCH("Completed Behind Schedule",E59)))</formula>
    </cfRule>
    <cfRule type="containsText" dxfId="1277" priority="1351" operator="containsText" text="Off Target">
      <formula>NOT(ISERROR(SEARCH("Off Target",E59)))</formula>
    </cfRule>
    <cfRule type="containsText" dxfId="1276" priority="1352" operator="containsText" text="In Danger of Falling Behind Target">
      <formula>NOT(ISERROR(SEARCH("In Danger of Falling Behind Target",E59)))</formula>
    </cfRule>
    <cfRule type="containsText" dxfId="1275" priority="1353" operator="containsText" text="On Track to be Achieved">
      <formula>NOT(ISERROR(SEARCH("On Track to be Achieved",E59)))</formula>
    </cfRule>
    <cfRule type="containsText" dxfId="1274" priority="1354" operator="containsText" text="Fully Achieved">
      <formula>NOT(ISERROR(SEARCH("Fully Achieved",E59)))</formula>
    </cfRule>
    <cfRule type="containsText" dxfId="1273" priority="1355" operator="containsText" text="Update not Provided">
      <formula>NOT(ISERROR(SEARCH("Update not Provided",E59)))</formula>
    </cfRule>
    <cfRule type="containsText" dxfId="1272" priority="1356" operator="containsText" text="Not yet due">
      <formula>NOT(ISERROR(SEARCH("Not yet due",E59)))</formula>
    </cfRule>
    <cfRule type="containsText" dxfId="1271" priority="1357" operator="containsText" text="Completed Behind Schedule">
      <formula>NOT(ISERROR(SEARCH("Completed Behind Schedule",E59)))</formula>
    </cfRule>
    <cfRule type="containsText" dxfId="1270" priority="1358" operator="containsText" text="Off Target">
      <formula>NOT(ISERROR(SEARCH("Off Target",E59)))</formula>
    </cfRule>
    <cfRule type="containsText" dxfId="1269" priority="1359" operator="containsText" text="In Danger of Falling Behind Target">
      <formula>NOT(ISERROR(SEARCH("In Danger of Falling Behind Target",E59)))</formula>
    </cfRule>
    <cfRule type="containsText" dxfId="1268" priority="1360" operator="containsText" text="On Track to be Achieved">
      <formula>NOT(ISERROR(SEARCH("On Track to be Achieved",E59)))</formula>
    </cfRule>
    <cfRule type="containsText" dxfId="1267" priority="1361" operator="containsText" text="Fully Achieved">
      <formula>NOT(ISERROR(SEARCH("Fully Achieved",E59)))</formula>
    </cfRule>
    <cfRule type="containsText" dxfId="1266" priority="1362" operator="containsText" text="Fully Achieved">
      <formula>NOT(ISERROR(SEARCH("Fully Achieved",E59)))</formula>
    </cfRule>
    <cfRule type="containsText" dxfId="1265" priority="1363" operator="containsText" text="Fully Achieved">
      <formula>NOT(ISERROR(SEARCH("Fully Achieved",E59)))</formula>
    </cfRule>
    <cfRule type="containsText" dxfId="1264" priority="1364" operator="containsText" text="Deferred">
      <formula>NOT(ISERROR(SEARCH("Deferred",E59)))</formula>
    </cfRule>
    <cfRule type="containsText" dxfId="1263" priority="1365" operator="containsText" text="Deleted">
      <formula>NOT(ISERROR(SEARCH("Deleted",E59)))</formula>
    </cfRule>
    <cfRule type="containsText" dxfId="1262" priority="1366" operator="containsText" text="In Danger of Falling Behind Target">
      <formula>NOT(ISERROR(SEARCH("In Danger of Falling Behind Target",E59)))</formula>
    </cfRule>
    <cfRule type="containsText" dxfId="1261" priority="1367" operator="containsText" text="Not yet due">
      <formula>NOT(ISERROR(SEARCH("Not yet due",E59)))</formula>
    </cfRule>
    <cfRule type="containsText" dxfId="1260" priority="1368" operator="containsText" text="Update not Provided">
      <formula>NOT(ISERROR(SEARCH("Update not Provided",E59)))</formula>
    </cfRule>
  </conditionalFormatting>
  <conditionalFormatting sqref="E61">
    <cfRule type="containsText" dxfId="1259" priority="1297" operator="containsText" text="On track to be achieved">
      <formula>NOT(ISERROR(SEARCH("On track to be achieved",E61)))</formula>
    </cfRule>
    <cfRule type="containsText" dxfId="1258" priority="1298" operator="containsText" text="Deferred">
      <formula>NOT(ISERROR(SEARCH("Deferred",E61)))</formula>
    </cfRule>
    <cfRule type="containsText" dxfId="1257" priority="1299" operator="containsText" text="Deleted">
      <formula>NOT(ISERROR(SEARCH("Deleted",E61)))</formula>
    </cfRule>
    <cfRule type="containsText" dxfId="1256" priority="1300" operator="containsText" text="In Danger of Falling Behind Target">
      <formula>NOT(ISERROR(SEARCH("In Danger of Falling Behind Target",E61)))</formula>
    </cfRule>
    <cfRule type="containsText" dxfId="1255" priority="1301" operator="containsText" text="Not yet due">
      <formula>NOT(ISERROR(SEARCH("Not yet due",E61)))</formula>
    </cfRule>
    <cfRule type="containsText" dxfId="1254" priority="1302" operator="containsText" text="Update not Provided">
      <formula>NOT(ISERROR(SEARCH("Update not Provided",E61)))</formula>
    </cfRule>
    <cfRule type="containsText" dxfId="1253" priority="1303" operator="containsText" text="Not yet due">
      <formula>NOT(ISERROR(SEARCH("Not yet due",E61)))</formula>
    </cfRule>
    <cfRule type="containsText" dxfId="1252" priority="1304" operator="containsText" text="Completed Behind Schedule">
      <formula>NOT(ISERROR(SEARCH("Completed Behind Schedule",E61)))</formula>
    </cfRule>
    <cfRule type="containsText" dxfId="1251" priority="1305" operator="containsText" text="Off Target">
      <formula>NOT(ISERROR(SEARCH("Off Target",E61)))</formula>
    </cfRule>
    <cfRule type="containsText" dxfId="1250" priority="1306" operator="containsText" text="On Track to be Achieved">
      <formula>NOT(ISERROR(SEARCH("On Track to be Achieved",E61)))</formula>
    </cfRule>
    <cfRule type="containsText" dxfId="1249" priority="1307" operator="containsText" text="Fully Achieved">
      <formula>NOT(ISERROR(SEARCH("Fully Achieved",E61)))</formula>
    </cfRule>
    <cfRule type="containsText" dxfId="1248" priority="1308" operator="containsText" text="Not yet due">
      <formula>NOT(ISERROR(SEARCH("Not yet due",E61)))</formula>
    </cfRule>
    <cfRule type="containsText" dxfId="1247" priority="1309" operator="containsText" text="Not Yet Due">
      <formula>NOT(ISERROR(SEARCH("Not Yet Due",E61)))</formula>
    </cfRule>
    <cfRule type="containsText" dxfId="1246" priority="1310" operator="containsText" text="Deferred">
      <formula>NOT(ISERROR(SEARCH("Deferred",E61)))</formula>
    </cfRule>
    <cfRule type="containsText" dxfId="1245" priority="1311" operator="containsText" text="Deleted">
      <formula>NOT(ISERROR(SEARCH("Deleted",E61)))</formula>
    </cfRule>
    <cfRule type="containsText" dxfId="1244" priority="1312" operator="containsText" text="In Danger of Falling Behind Target">
      <formula>NOT(ISERROR(SEARCH("In Danger of Falling Behind Target",E61)))</formula>
    </cfRule>
    <cfRule type="containsText" dxfId="1243" priority="1313" operator="containsText" text="Not yet due">
      <formula>NOT(ISERROR(SEARCH("Not yet due",E61)))</formula>
    </cfRule>
    <cfRule type="containsText" dxfId="1242" priority="1314" operator="containsText" text="Completed Behind Schedule">
      <formula>NOT(ISERROR(SEARCH("Completed Behind Schedule",E61)))</formula>
    </cfRule>
    <cfRule type="containsText" dxfId="1241" priority="1315" operator="containsText" text="Off Target">
      <formula>NOT(ISERROR(SEARCH("Off Target",E61)))</formula>
    </cfRule>
    <cfRule type="containsText" dxfId="1240" priority="1316" operator="containsText" text="In Danger of Falling Behind Target">
      <formula>NOT(ISERROR(SEARCH("In Danger of Falling Behind Target",E61)))</formula>
    </cfRule>
    <cfRule type="containsText" dxfId="1239" priority="1317" operator="containsText" text="On Track to be Achieved">
      <formula>NOT(ISERROR(SEARCH("On Track to be Achieved",E61)))</formula>
    </cfRule>
    <cfRule type="containsText" dxfId="1238" priority="1318" operator="containsText" text="Fully Achieved">
      <formula>NOT(ISERROR(SEARCH("Fully Achieved",E61)))</formula>
    </cfRule>
    <cfRule type="containsText" dxfId="1237" priority="1319" operator="containsText" text="Update not Provided">
      <formula>NOT(ISERROR(SEARCH("Update not Provided",E61)))</formula>
    </cfRule>
    <cfRule type="containsText" dxfId="1236" priority="1320" operator="containsText" text="Not yet due">
      <formula>NOT(ISERROR(SEARCH("Not yet due",E61)))</formula>
    </cfRule>
    <cfRule type="containsText" dxfId="1235" priority="1321" operator="containsText" text="Completed Behind Schedule">
      <formula>NOT(ISERROR(SEARCH("Completed Behind Schedule",E61)))</formula>
    </cfRule>
    <cfRule type="containsText" dxfId="1234" priority="1322" operator="containsText" text="Off Target">
      <formula>NOT(ISERROR(SEARCH("Off Target",E61)))</formula>
    </cfRule>
    <cfRule type="containsText" dxfId="1233" priority="1323" operator="containsText" text="In Danger of Falling Behind Target">
      <formula>NOT(ISERROR(SEARCH("In Danger of Falling Behind Target",E61)))</formula>
    </cfRule>
    <cfRule type="containsText" dxfId="1232" priority="1324" operator="containsText" text="On Track to be Achieved">
      <formula>NOT(ISERROR(SEARCH("On Track to be Achieved",E61)))</formula>
    </cfRule>
    <cfRule type="containsText" dxfId="1231" priority="1325" operator="containsText" text="Fully Achieved">
      <formula>NOT(ISERROR(SEARCH("Fully Achieved",E61)))</formula>
    </cfRule>
    <cfRule type="containsText" dxfId="1230" priority="1326" operator="containsText" text="Fully Achieved">
      <formula>NOT(ISERROR(SEARCH("Fully Achieved",E61)))</formula>
    </cfRule>
    <cfRule type="containsText" dxfId="1229" priority="1327" operator="containsText" text="Fully Achieved">
      <formula>NOT(ISERROR(SEARCH("Fully Achieved",E61)))</formula>
    </cfRule>
    <cfRule type="containsText" dxfId="1228" priority="1328" operator="containsText" text="Deferred">
      <formula>NOT(ISERROR(SEARCH("Deferred",E61)))</formula>
    </cfRule>
    <cfRule type="containsText" dxfId="1227" priority="1329" operator="containsText" text="Deleted">
      <formula>NOT(ISERROR(SEARCH("Deleted",E61)))</formula>
    </cfRule>
    <cfRule type="containsText" dxfId="1226" priority="1330" operator="containsText" text="In Danger of Falling Behind Target">
      <formula>NOT(ISERROR(SEARCH("In Danger of Falling Behind Target",E61)))</formula>
    </cfRule>
    <cfRule type="containsText" dxfId="1225" priority="1331" operator="containsText" text="Not yet due">
      <formula>NOT(ISERROR(SEARCH("Not yet due",E61)))</formula>
    </cfRule>
    <cfRule type="containsText" dxfId="1224" priority="1332" operator="containsText" text="Update not Provided">
      <formula>NOT(ISERROR(SEARCH("Update not Provided",E61)))</formula>
    </cfRule>
  </conditionalFormatting>
  <conditionalFormatting sqref="E64:E73">
    <cfRule type="containsText" dxfId="1223" priority="1261" operator="containsText" text="On track to be achieved">
      <formula>NOT(ISERROR(SEARCH("On track to be achieved",E64)))</formula>
    </cfRule>
    <cfRule type="containsText" dxfId="1222" priority="1262" operator="containsText" text="Deferred">
      <formula>NOT(ISERROR(SEARCH("Deferred",E64)))</formula>
    </cfRule>
    <cfRule type="containsText" dxfId="1221" priority="1263" operator="containsText" text="Deleted">
      <formula>NOT(ISERROR(SEARCH("Deleted",E64)))</formula>
    </cfRule>
    <cfRule type="containsText" dxfId="1220" priority="1264" operator="containsText" text="In Danger of Falling Behind Target">
      <formula>NOT(ISERROR(SEARCH("In Danger of Falling Behind Target",E64)))</formula>
    </cfRule>
    <cfRule type="containsText" dxfId="1219" priority="1265" operator="containsText" text="Not yet due">
      <formula>NOT(ISERROR(SEARCH("Not yet due",E64)))</formula>
    </cfRule>
    <cfRule type="containsText" dxfId="1218" priority="1266" operator="containsText" text="Update not Provided">
      <formula>NOT(ISERROR(SEARCH("Update not Provided",E64)))</formula>
    </cfRule>
    <cfRule type="containsText" dxfId="1217" priority="1267" operator="containsText" text="Not yet due">
      <formula>NOT(ISERROR(SEARCH("Not yet due",E64)))</formula>
    </cfRule>
    <cfRule type="containsText" dxfId="1216" priority="1268" operator="containsText" text="Completed Behind Schedule">
      <formula>NOT(ISERROR(SEARCH("Completed Behind Schedule",E64)))</formula>
    </cfRule>
    <cfRule type="containsText" dxfId="1215" priority="1269" operator="containsText" text="Off Target">
      <formula>NOT(ISERROR(SEARCH("Off Target",E64)))</formula>
    </cfRule>
    <cfRule type="containsText" dxfId="1214" priority="1270" operator="containsText" text="On Track to be Achieved">
      <formula>NOT(ISERROR(SEARCH("On Track to be Achieved",E64)))</formula>
    </cfRule>
    <cfRule type="containsText" dxfId="1213" priority="1271" operator="containsText" text="Fully Achieved">
      <formula>NOT(ISERROR(SEARCH("Fully Achieved",E64)))</formula>
    </cfRule>
    <cfRule type="containsText" dxfId="1212" priority="1272" operator="containsText" text="Not yet due">
      <formula>NOT(ISERROR(SEARCH("Not yet due",E64)))</formula>
    </cfRule>
    <cfRule type="containsText" dxfId="1211" priority="1273" operator="containsText" text="Not Yet Due">
      <formula>NOT(ISERROR(SEARCH("Not Yet Due",E64)))</formula>
    </cfRule>
    <cfRule type="containsText" dxfId="1210" priority="1274" operator="containsText" text="Deferred">
      <formula>NOT(ISERROR(SEARCH("Deferred",E64)))</formula>
    </cfRule>
    <cfRule type="containsText" dxfId="1209" priority="1275" operator="containsText" text="Deleted">
      <formula>NOT(ISERROR(SEARCH("Deleted",E64)))</formula>
    </cfRule>
    <cfRule type="containsText" dxfId="1208" priority="1276" operator="containsText" text="In Danger of Falling Behind Target">
      <formula>NOT(ISERROR(SEARCH("In Danger of Falling Behind Target",E64)))</formula>
    </cfRule>
    <cfRule type="containsText" dxfId="1207" priority="1277" operator="containsText" text="Not yet due">
      <formula>NOT(ISERROR(SEARCH("Not yet due",E64)))</formula>
    </cfRule>
    <cfRule type="containsText" dxfId="1206" priority="1278" operator="containsText" text="Completed Behind Schedule">
      <formula>NOT(ISERROR(SEARCH("Completed Behind Schedule",E64)))</formula>
    </cfRule>
    <cfRule type="containsText" dxfId="1205" priority="1279" operator="containsText" text="Off Target">
      <formula>NOT(ISERROR(SEARCH("Off Target",E64)))</formula>
    </cfRule>
    <cfRule type="containsText" dxfId="1204" priority="1280" operator="containsText" text="In Danger of Falling Behind Target">
      <formula>NOT(ISERROR(SEARCH("In Danger of Falling Behind Target",E64)))</formula>
    </cfRule>
    <cfRule type="containsText" dxfId="1203" priority="1281" operator="containsText" text="On Track to be Achieved">
      <formula>NOT(ISERROR(SEARCH("On Track to be Achieved",E64)))</formula>
    </cfRule>
    <cfRule type="containsText" dxfId="1202" priority="1282" operator="containsText" text="Fully Achieved">
      <formula>NOT(ISERROR(SEARCH("Fully Achieved",E64)))</formula>
    </cfRule>
    <cfRule type="containsText" dxfId="1201" priority="1283" operator="containsText" text="Update not Provided">
      <formula>NOT(ISERROR(SEARCH("Update not Provided",E64)))</formula>
    </cfRule>
    <cfRule type="containsText" dxfId="1200" priority="1284" operator="containsText" text="Not yet due">
      <formula>NOT(ISERROR(SEARCH("Not yet due",E64)))</formula>
    </cfRule>
    <cfRule type="containsText" dxfId="1199" priority="1285" operator="containsText" text="Completed Behind Schedule">
      <formula>NOT(ISERROR(SEARCH("Completed Behind Schedule",E64)))</formula>
    </cfRule>
    <cfRule type="containsText" dxfId="1198" priority="1286" operator="containsText" text="Off Target">
      <formula>NOT(ISERROR(SEARCH("Off Target",E64)))</formula>
    </cfRule>
    <cfRule type="containsText" dxfId="1197" priority="1287" operator="containsText" text="In Danger of Falling Behind Target">
      <formula>NOT(ISERROR(SEARCH("In Danger of Falling Behind Target",E64)))</formula>
    </cfRule>
    <cfRule type="containsText" dxfId="1196" priority="1288" operator="containsText" text="On Track to be Achieved">
      <formula>NOT(ISERROR(SEARCH("On Track to be Achieved",E64)))</formula>
    </cfRule>
    <cfRule type="containsText" dxfId="1195" priority="1289" operator="containsText" text="Fully Achieved">
      <formula>NOT(ISERROR(SEARCH("Fully Achieved",E64)))</formula>
    </cfRule>
    <cfRule type="containsText" dxfId="1194" priority="1290" operator="containsText" text="Fully Achieved">
      <formula>NOT(ISERROR(SEARCH("Fully Achieved",E64)))</formula>
    </cfRule>
    <cfRule type="containsText" dxfId="1193" priority="1291" operator="containsText" text="Fully Achieved">
      <formula>NOT(ISERROR(SEARCH("Fully Achieved",E64)))</formula>
    </cfRule>
    <cfRule type="containsText" dxfId="1192" priority="1292" operator="containsText" text="Deferred">
      <formula>NOT(ISERROR(SEARCH("Deferred",E64)))</formula>
    </cfRule>
    <cfRule type="containsText" dxfId="1191" priority="1293" operator="containsText" text="Deleted">
      <formula>NOT(ISERROR(SEARCH("Deleted",E64)))</formula>
    </cfRule>
    <cfRule type="containsText" dxfId="1190" priority="1294" operator="containsText" text="In Danger of Falling Behind Target">
      <formula>NOT(ISERROR(SEARCH("In Danger of Falling Behind Target",E64)))</formula>
    </cfRule>
    <cfRule type="containsText" dxfId="1189" priority="1295" operator="containsText" text="Not yet due">
      <formula>NOT(ISERROR(SEARCH("Not yet due",E64)))</formula>
    </cfRule>
    <cfRule type="containsText" dxfId="1188" priority="1296" operator="containsText" text="Update not Provided">
      <formula>NOT(ISERROR(SEARCH("Update not Provided",E64)))</formula>
    </cfRule>
  </conditionalFormatting>
  <conditionalFormatting sqref="E75:E76">
    <cfRule type="containsText" dxfId="1187" priority="1225" operator="containsText" text="On track to be achieved">
      <formula>NOT(ISERROR(SEARCH("On track to be achieved",E75)))</formula>
    </cfRule>
    <cfRule type="containsText" dxfId="1186" priority="1226" operator="containsText" text="Deferred">
      <formula>NOT(ISERROR(SEARCH("Deferred",E75)))</formula>
    </cfRule>
    <cfRule type="containsText" dxfId="1185" priority="1227" operator="containsText" text="Deleted">
      <formula>NOT(ISERROR(SEARCH("Deleted",E75)))</formula>
    </cfRule>
    <cfRule type="containsText" dxfId="1184" priority="1228" operator="containsText" text="In Danger of Falling Behind Target">
      <formula>NOT(ISERROR(SEARCH("In Danger of Falling Behind Target",E75)))</formula>
    </cfRule>
    <cfRule type="containsText" dxfId="1183" priority="1229" operator="containsText" text="Not yet due">
      <formula>NOT(ISERROR(SEARCH("Not yet due",E75)))</formula>
    </cfRule>
    <cfRule type="containsText" dxfId="1182" priority="1230" operator="containsText" text="Update not Provided">
      <formula>NOT(ISERROR(SEARCH("Update not Provided",E75)))</formula>
    </cfRule>
    <cfRule type="containsText" dxfId="1181" priority="1231" operator="containsText" text="Not yet due">
      <formula>NOT(ISERROR(SEARCH("Not yet due",E75)))</formula>
    </cfRule>
    <cfRule type="containsText" dxfId="1180" priority="1232" operator="containsText" text="Completed Behind Schedule">
      <formula>NOT(ISERROR(SEARCH("Completed Behind Schedule",E75)))</formula>
    </cfRule>
    <cfRule type="containsText" dxfId="1179" priority="1233" operator="containsText" text="Off Target">
      <formula>NOT(ISERROR(SEARCH("Off Target",E75)))</formula>
    </cfRule>
    <cfRule type="containsText" dxfId="1178" priority="1234" operator="containsText" text="On Track to be Achieved">
      <formula>NOT(ISERROR(SEARCH("On Track to be Achieved",E75)))</formula>
    </cfRule>
    <cfRule type="containsText" dxfId="1177" priority="1235" operator="containsText" text="Fully Achieved">
      <formula>NOT(ISERROR(SEARCH("Fully Achieved",E75)))</formula>
    </cfRule>
    <cfRule type="containsText" dxfId="1176" priority="1236" operator="containsText" text="Not yet due">
      <formula>NOT(ISERROR(SEARCH("Not yet due",E75)))</formula>
    </cfRule>
    <cfRule type="containsText" dxfId="1175" priority="1237" operator="containsText" text="Not Yet Due">
      <formula>NOT(ISERROR(SEARCH("Not Yet Due",E75)))</formula>
    </cfRule>
    <cfRule type="containsText" dxfId="1174" priority="1238" operator="containsText" text="Deferred">
      <formula>NOT(ISERROR(SEARCH("Deferred",E75)))</formula>
    </cfRule>
    <cfRule type="containsText" dxfId="1173" priority="1239" operator="containsText" text="Deleted">
      <formula>NOT(ISERROR(SEARCH("Deleted",E75)))</formula>
    </cfRule>
    <cfRule type="containsText" dxfId="1172" priority="1240" operator="containsText" text="In Danger of Falling Behind Target">
      <formula>NOT(ISERROR(SEARCH("In Danger of Falling Behind Target",E75)))</formula>
    </cfRule>
    <cfRule type="containsText" dxfId="1171" priority="1241" operator="containsText" text="Not yet due">
      <formula>NOT(ISERROR(SEARCH("Not yet due",E75)))</formula>
    </cfRule>
    <cfRule type="containsText" dxfId="1170" priority="1242" operator="containsText" text="Completed Behind Schedule">
      <formula>NOT(ISERROR(SEARCH("Completed Behind Schedule",E75)))</formula>
    </cfRule>
    <cfRule type="containsText" dxfId="1169" priority="1243" operator="containsText" text="Off Target">
      <formula>NOT(ISERROR(SEARCH("Off Target",E75)))</formula>
    </cfRule>
    <cfRule type="containsText" dxfId="1168" priority="1244" operator="containsText" text="In Danger of Falling Behind Target">
      <formula>NOT(ISERROR(SEARCH("In Danger of Falling Behind Target",E75)))</formula>
    </cfRule>
    <cfRule type="containsText" dxfId="1167" priority="1245" operator="containsText" text="On Track to be Achieved">
      <formula>NOT(ISERROR(SEARCH("On Track to be Achieved",E75)))</formula>
    </cfRule>
    <cfRule type="containsText" dxfId="1166" priority="1246" operator="containsText" text="Fully Achieved">
      <formula>NOT(ISERROR(SEARCH("Fully Achieved",E75)))</formula>
    </cfRule>
    <cfRule type="containsText" dxfId="1165" priority="1247" operator="containsText" text="Update not Provided">
      <formula>NOT(ISERROR(SEARCH("Update not Provided",E75)))</formula>
    </cfRule>
    <cfRule type="containsText" dxfId="1164" priority="1248" operator="containsText" text="Not yet due">
      <formula>NOT(ISERROR(SEARCH("Not yet due",E75)))</formula>
    </cfRule>
    <cfRule type="containsText" dxfId="1163" priority="1249" operator="containsText" text="Completed Behind Schedule">
      <formula>NOT(ISERROR(SEARCH("Completed Behind Schedule",E75)))</formula>
    </cfRule>
    <cfRule type="containsText" dxfId="1162" priority="1250" operator="containsText" text="Off Target">
      <formula>NOT(ISERROR(SEARCH("Off Target",E75)))</formula>
    </cfRule>
    <cfRule type="containsText" dxfId="1161" priority="1251" operator="containsText" text="In Danger of Falling Behind Target">
      <formula>NOT(ISERROR(SEARCH("In Danger of Falling Behind Target",E75)))</formula>
    </cfRule>
    <cfRule type="containsText" dxfId="1160" priority="1252" operator="containsText" text="On Track to be Achieved">
      <formula>NOT(ISERROR(SEARCH("On Track to be Achieved",E75)))</formula>
    </cfRule>
    <cfRule type="containsText" dxfId="1159" priority="1253" operator="containsText" text="Fully Achieved">
      <formula>NOT(ISERROR(SEARCH("Fully Achieved",E75)))</formula>
    </cfRule>
    <cfRule type="containsText" dxfId="1158" priority="1254" operator="containsText" text="Fully Achieved">
      <formula>NOT(ISERROR(SEARCH("Fully Achieved",E75)))</formula>
    </cfRule>
    <cfRule type="containsText" dxfId="1157" priority="1255" operator="containsText" text="Fully Achieved">
      <formula>NOT(ISERROR(SEARCH("Fully Achieved",E75)))</formula>
    </cfRule>
    <cfRule type="containsText" dxfId="1156" priority="1256" operator="containsText" text="Deferred">
      <formula>NOT(ISERROR(SEARCH("Deferred",E75)))</formula>
    </cfRule>
    <cfRule type="containsText" dxfId="1155" priority="1257" operator="containsText" text="Deleted">
      <formula>NOT(ISERROR(SEARCH("Deleted",E75)))</formula>
    </cfRule>
    <cfRule type="containsText" dxfId="1154" priority="1258" operator="containsText" text="In Danger of Falling Behind Target">
      <formula>NOT(ISERROR(SEARCH("In Danger of Falling Behind Target",E75)))</formula>
    </cfRule>
    <cfRule type="containsText" dxfId="1153" priority="1259" operator="containsText" text="Not yet due">
      <formula>NOT(ISERROR(SEARCH("Not yet due",E75)))</formula>
    </cfRule>
    <cfRule type="containsText" dxfId="1152" priority="1260" operator="containsText" text="Update not Provided">
      <formula>NOT(ISERROR(SEARCH("Update not Provided",E75)))</formula>
    </cfRule>
  </conditionalFormatting>
  <conditionalFormatting sqref="E78:E79">
    <cfRule type="containsText" dxfId="1151" priority="1189" operator="containsText" text="On track to be achieved">
      <formula>NOT(ISERROR(SEARCH("On track to be achieved",E78)))</formula>
    </cfRule>
    <cfRule type="containsText" dxfId="1150" priority="1190" operator="containsText" text="Deferred">
      <formula>NOT(ISERROR(SEARCH("Deferred",E78)))</formula>
    </cfRule>
    <cfRule type="containsText" dxfId="1149" priority="1191" operator="containsText" text="Deleted">
      <formula>NOT(ISERROR(SEARCH("Deleted",E78)))</formula>
    </cfRule>
    <cfRule type="containsText" dxfId="1148" priority="1192" operator="containsText" text="In Danger of Falling Behind Target">
      <formula>NOT(ISERROR(SEARCH("In Danger of Falling Behind Target",E78)))</formula>
    </cfRule>
    <cfRule type="containsText" dxfId="1147" priority="1193" operator="containsText" text="Not yet due">
      <formula>NOT(ISERROR(SEARCH("Not yet due",E78)))</formula>
    </cfRule>
    <cfRule type="containsText" dxfId="1146" priority="1194" operator="containsText" text="Update not Provided">
      <formula>NOT(ISERROR(SEARCH("Update not Provided",E78)))</formula>
    </cfRule>
    <cfRule type="containsText" dxfId="1145" priority="1195" operator="containsText" text="Not yet due">
      <formula>NOT(ISERROR(SEARCH("Not yet due",E78)))</formula>
    </cfRule>
    <cfRule type="containsText" dxfId="1144" priority="1196" operator="containsText" text="Completed Behind Schedule">
      <formula>NOT(ISERROR(SEARCH("Completed Behind Schedule",E78)))</formula>
    </cfRule>
    <cfRule type="containsText" dxfId="1143" priority="1197" operator="containsText" text="Off Target">
      <formula>NOT(ISERROR(SEARCH("Off Target",E78)))</formula>
    </cfRule>
    <cfRule type="containsText" dxfId="1142" priority="1198" operator="containsText" text="On Track to be Achieved">
      <formula>NOT(ISERROR(SEARCH("On Track to be Achieved",E78)))</formula>
    </cfRule>
    <cfRule type="containsText" dxfId="1141" priority="1199" operator="containsText" text="Fully Achieved">
      <formula>NOT(ISERROR(SEARCH("Fully Achieved",E78)))</formula>
    </cfRule>
    <cfRule type="containsText" dxfId="1140" priority="1200" operator="containsText" text="Not yet due">
      <formula>NOT(ISERROR(SEARCH("Not yet due",E78)))</formula>
    </cfRule>
    <cfRule type="containsText" dxfId="1139" priority="1201" operator="containsText" text="Not Yet Due">
      <formula>NOT(ISERROR(SEARCH("Not Yet Due",E78)))</formula>
    </cfRule>
    <cfRule type="containsText" dxfId="1138" priority="1202" operator="containsText" text="Deferred">
      <formula>NOT(ISERROR(SEARCH("Deferred",E78)))</formula>
    </cfRule>
    <cfRule type="containsText" dxfId="1137" priority="1203" operator="containsText" text="Deleted">
      <formula>NOT(ISERROR(SEARCH("Deleted",E78)))</formula>
    </cfRule>
    <cfRule type="containsText" dxfId="1136" priority="1204" operator="containsText" text="In Danger of Falling Behind Target">
      <formula>NOT(ISERROR(SEARCH("In Danger of Falling Behind Target",E78)))</formula>
    </cfRule>
    <cfRule type="containsText" dxfId="1135" priority="1205" operator="containsText" text="Not yet due">
      <formula>NOT(ISERROR(SEARCH("Not yet due",E78)))</formula>
    </cfRule>
    <cfRule type="containsText" dxfId="1134" priority="1206" operator="containsText" text="Completed Behind Schedule">
      <formula>NOT(ISERROR(SEARCH("Completed Behind Schedule",E78)))</formula>
    </cfRule>
    <cfRule type="containsText" dxfId="1133" priority="1207" operator="containsText" text="Off Target">
      <formula>NOT(ISERROR(SEARCH("Off Target",E78)))</formula>
    </cfRule>
    <cfRule type="containsText" dxfId="1132" priority="1208" operator="containsText" text="In Danger of Falling Behind Target">
      <formula>NOT(ISERROR(SEARCH("In Danger of Falling Behind Target",E78)))</formula>
    </cfRule>
    <cfRule type="containsText" dxfId="1131" priority="1209" operator="containsText" text="On Track to be Achieved">
      <formula>NOT(ISERROR(SEARCH("On Track to be Achieved",E78)))</formula>
    </cfRule>
    <cfRule type="containsText" dxfId="1130" priority="1210" operator="containsText" text="Fully Achieved">
      <formula>NOT(ISERROR(SEARCH("Fully Achieved",E78)))</formula>
    </cfRule>
    <cfRule type="containsText" dxfId="1129" priority="1211" operator="containsText" text="Update not Provided">
      <formula>NOT(ISERROR(SEARCH("Update not Provided",E78)))</formula>
    </cfRule>
    <cfRule type="containsText" dxfId="1128" priority="1212" operator="containsText" text="Not yet due">
      <formula>NOT(ISERROR(SEARCH("Not yet due",E78)))</formula>
    </cfRule>
    <cfRule type="containsText" dxfId="1127" priority="1213" operator="containsText" text="Completed Behind Schedule">
      <formula>NOT(ISERROR(SEARCH("Completed Behind Schedule",E78)))</formula>
    </cfRule>
    <cfRule type="containsText" dxfId="1126" priority="1214" operator="containsText" text="Off Target">
      <formula>NOT(ISERROR(SEARCH("Off Target",E78)))</formula>
    </cfRule>
    <cfRule type="containsText" dxfId="1125" priority="1215" operator="containsText" text="In Danger of Falling Behind Target">
      <formula>NOT(ISERROR(SEARCH("In Danger of Falling Behind Target",E78)))</formula>
    </cfRule>
    <cfRule type="containsText" dxfId="1124" priority="1216" operator="containsText" text="On Track to be Achieved">
      <formula>NOT(ISERROR(SEARCH("On Track to be Achieved",E78)))</formula>
    </cfRule>
    <cfRule type="containsText" dxfId="1123" priority="1217" operator="containsText" text="Fully Achieved">
      <formula>NOT(ISERROR(SEARCH("Fully Achieved",E78)))</formula>
    </cfRule>
    <cfRule type="containsText" dxfId="1122" priority="1218" operator="containsText" text="Fully Achieved">
      <formula>NOT(ISERROR(SEARCH("Fully Achieved",E78)))</formula>
    </cfRule>
    <cfRule type="containsText" dxfId="1121" priority="1219" operator="containsText" text="Fully Achieved">
      <formula>NOT(ISERROR(SEARCH("Fully Achieved",E78)))</formula>
    </cfRule>
    <cfRule type="containsText" dxfId="1120" priority="1220" operator="containsText" text="Deferred">
      <formula>NOT(ISERROR(SEARCH("Deferred",E78)))</formula>
    </cfRule>
    <cfRule type="containsText" dxfId="1119" priority="1221" operator="containsText" text="Deleted">
      <formula>NOT(ISERROR(SEARCH("Deleted",E78)))</formula>
    </cfRule>
    <cfRule type="containsText" dxfId="1118" priority="1222" operator="containsText" text="In Danger of Falling Behind Target">
      <formula>NOT(ISERROR(SEARCH("In Danger of Falling Behind Target",E78)))</formula>
    </cfRule>
    <cfRule type="containsText" dxfId="1117" priority="1223" operator="containsText" text="Not yet due">
      <formula>NOT(ISERROR(SEARCH("Not yet due",E78)))</formula>
    </cfRule>
    <cfRule type="containsText" dxfId="1116" priority="1224" operator="containsText" text="Update not Provided">
      <formula>NOT(ISERROR(SEARCH("Update not Provided",E78)))</formula>
    </cfRule>
  </conditionalFormatting>
  <conditionalFormatting sqref="E83:E84">
    <cfRule type="containsText" dxfId="1115" priority="1153" operator="containsText" text="On track to be achieved">
      <formula>NOT(ISERROR(SEARCH("On track to be achieved",E83)))</formula>
    </cfRule>
    <cfRule type="containsText" dxfId="1114" priority="1154" operator="containsText" text="Deferred">
      <formula>NOT(ISERROR(SEARCH("Deferred",E83)))</formula>
    </cfRule>
    <cfRule type="containsText" dxfId="1113" priority="1155" operator="containsText" text="Deleted">
      <formula>NOT(ISERROR(SEARCH("Deleted",E83)))</formula>
    </cfRule>
    <cfRule type="containsText" dxfId="1112" priority="1156" operator="containsText" text="In Danger of Falling Behind Target">
      <formula>NOT(ISERROR(SEARCH("In Danger of Falling Behind Target",E83)))</formula>
    </cfRule>
    <cfRule type="containsText" dxfId="1111" priority="1157" operator="containsText" text="Not yet due">
      <formula>NOT(ISERROR(SEARCH("Not yet due",E83)))</formula>
    </cfRule>
    <cfRule type="containsText" dxfId="1110" priority="1158" operator="containsText" text="Update not Provided">
      <formula>NOT(ISERROR(SEARCH("Update not Provided",E83)))</formula>
    </cfRule>
    <cfRule type="containsText" dxfId="1109" priority="1159" operator="containsText" text="Not yet due">
      <formula>NOT(ISERROR(SEARCH("Not yet due",E83)))</formula>
    </cfRule>
    <cfRule type="containsText" dxfId="1108" priority="1160" operator="containsText" text="Completed Behind Schedule">
      <formula>NOT(ISERROR(SEARCH("Completed Behind Schedule",E83)))</formula>
    </cfRule>
    <cfRule type="containsText" dxfId="1107" priority="1161" operator="containsText" text="Off Target">
      <formula>NOT(ISERROR(SEARCH("Off Target",E83)))</formula>
    </cfRule>
    <cfRule type="containsText" dxfId="1106" priority="1162" operator="containsText" text="On Track to be Achieved">
      <formula>NOT(ISERROR(SEARCH("On Track to be Achieved",E83)))</formula>
    </cfRule>
    <cfRule type="containsText" dxfId="1105" priority="1163" operator="containsText" text="Fully Achieved">
      <formula>NOT(ISERROR(SEARCH("Fully Achieved",E83)))</formula>
    </cfRule>
    <cfRule type="containsText" dxfId="1104" priority="1164" operator="containsText" text="Not yet due">
      <formula>NOT(ISERROR(SEARCH("Not yet due",E83)))</formula>
    </cfRule>
    <cfRule type="containsText" dxfId="1103" priority="1165" operator="containsText" text="Not Yet Due">
      <formula>NOT(ISERROR(SEARCH("Not Yet Due",E83)))</formula>
    </cfRule>
    <cfRule type="containsText" dxfId="1102" priority="1166" operator="containsText" text="Deferred">
      <formula>NOT(ISERROR(SEARCH("Deferred",E83)))</formula>
    </cfRule>
    <cfRule type="containsText" dxfId="1101" priority="1167" operator="containsText" text="Deleted">
      <formula>NOT(ISERROR(SEARCH("Deleted",E83)))</formula>
    </cfRule>
    <cfRule type="containsText" dxfId="1100" priority="1168" operator="containsText" text="In Danger of Falling Behind Target">
      <formula>NOT(ISERROR(SEARCH("In Danger of Falling Behind Target",E83)))</formula>
    </cfRule>
    <cfRule type="containsText" dxfId="1099" priority="1169" operator="containsText" text="Not yet due">
      <formula>NOT(ISERROR(SEARCH("Not yet due",E83)))</formula>
    </cfRule>
    <cfRule type="containsText" dxfId="1098" priority="1170" operator="containsText" text="Completed Behind Schedule">
      <formula>NOT(ISERROR(SEARCH("Completed Behind Schedule",E83)))</formula>
    </cfRule>
    <cfRule type="containsText" dxfId="1097" priority="1171" operator="containsText" text="Off Target">
      <formula>NOT(ISERROR(SEARCH("Off Target",E83)))</formula>
    </cfRule>
    <cfRule type="containsText" dxfId="1096" priority="1172" operator="containsText" text="In Danger of Falling Behind Target">
      <formula>NOT(ISERROR(SEARCH("In Danger of Falling Behind Target",E83)))</formula>
    </cfRule>
    <cfRule type="containsText" dxfId="1095" priority="1173" operator="containsText" text="On Track to be Achieved">
      <formula>NOT(ISERROR(SEARCH("On Track to be Achieved",E83)))</formula>
    </cfRule>
    <cfRule type="containsText" dxfId="1094" priority="1174" operator="containsText" text="Fully Achieved">
      <formula>NOT(ISERROR(SEARCH("Fully Achieved",E83)))</formula>
    </cfRule>
    <cfRule type="containsText" dxfId="1093" priority="1175" operator="containsText" text="Update not Provided">
      <formula>NOT(ISERROR(SEARCH("Update not Provided",E83)))</formula>
    </cfRule>
    <cfRule type="containsText" dxfId="1092" priority="1176" operator="containsText" text="Not yet due">
      <formula>NOT(ISERROR(SEARCH("Not yet due",E83)))</formula>
    </cfRule>
    <cfRule type="containsText" dxfId="1091" priority="1177" operator="containsText" text="Completed Behind Schedule">
      <formula>NOT(ISERROR(SEARCH("Completed Behind Schedule",E83)))</formula>
    </cfRule>
    <cfRule type="containsText" dxfId="1090" priority="1178" operator="containsText" text="Off Target">
      <formula>NOT(ISERROR(SEARCH("Off Target",E83)))</formula>
    </cfRule>
    <cfRule type="containsText" dxfId="1089" priority="1179" operator="containsText" text="In Danger of Falling Behind Target">
      <formula>NOT(ISERROR(SEARCH("In Danger of Falling Behind Target",E83)))</formula>
    </cfRule>
    <cfRule type="containsText" dxfId="1088" priority="1180" operator="containsText" text="On Track to be Achieved">
      <formula>NOT(ISERROR(SEARCH("On Track to be Achieved",E83)))</formula>
    </cfRule>
    <cfRule type="containsText" dxfId="1087" priority="1181" operator="containsText" text="Fully Achieved">
      <formula>NOT(ISERROR(SEARCH("Fully Achieved",E83)))</formula>
    </cfRule>
    <cfRule type="containsText" dxfId="1086" priority="1182" operator="containsText" text="Fully Achieved">
      <formula>NOT(ISERROR(SEARCH("Fully Achieved",E83)))</formula>
    </cfRule>
    <cfRule type="containsText" dxfId="1085" priority="1183" operator="containsText" text="Fully Achieved">
      <formula>NOT(ISERROR(SEARCH("Fully Achieved",E83)))</formula>
    </cfRule>
    <cfRule type="containsText" dxfId="1084" priority="1184" operator="containsText" text="Deferred">
      <formula>NOT(ISERROR(SEARCH("Deferred",E83)))</formula>
    </cfRule>
    <cfRule type="containsText" dxfId="1083" priority="1185" operator="containsText" text="Deleted">
      <formula>NOT(ISERROR(SEARCH("Deleted",E83)))</formula>
    </cfRule>
    <cfRule type="containsText" dxfId="1082" priority="1186" operator="containsText" text="In Danger of Falling Behind Target">
      <formula>NOT(ISERROR(SEARCH("In Danger of Falling Behind Target",E83)))</formula>
    </cfRule>
    <cfRule type="containsText" dxfId="1081" priority="1187" operator="containsText" text="Not yet due">
      <formula>NOT(ISERROR(SEARCH("Not yet due",E83)))</formula>
    </cfRule>
    <cfRule type="containsText" dxfId="1080" priority="1188" operator="containsText" text="Update not Provided">
      <formula>NOT(ISERROR(SEARCH("Update not Provided",E83)))</formula>
    </cfRule>
  </conditionalFormatting>
  <conditionalFormatting sqref="E86">
    <cfRule type="containsText" dxfId="1079" priority="1117" operator="containsText" text="On track to be achieved">
      <formula>NOT(ISERROR(SEARCH("On track to be achieved",E86)))</formula>
    </cfRule>
    <cfRule type="containsText" dxfId="1078" priority="1118" operator="containsText" text="Deferred">
      <formula>NOT(ISERROR(SEARCH("Deferred",E86)))</formula>
    </cfRule>
    <cfRule type="containsText" dxfId="1077" priority="1119" operator="containsText" text="Deleted">
      <formula>NOT(ISERROR(SEARCH("Deleted",E86)))</formula>
    </cfRule>
    <cfRule type="containsText" dxfId="1076" priority="1120" operator="containsText" text="In Danger of Falling Behind Target">
      <formula>NOT(ISERROR(SEARCH("In Danger of Falling Behind Target",E86)))</formula>
    </cfRule>
    <cfRule type="containsText" dxfId="1075" priority="1121" operator="containsText" text="Not yet due">
      <formula>NOT(ISERROR(SEARCH("Not yet due",E86)))</formula>
    </cfRule>
    <cfRule type="containsText" dxfId="1074" priority="1122" operator="containsText" text="Update not Provided">
      <formula>NOT(ISERROR(SEARCH("Update not Provided",E86)))</formula>
    </cfRule>
    <cfRule type="containsText" dxfId="1073" priority="1123" operator="containsText" text="Not yet due">
      <formula>NOT(ISERROR(SEARCH("Not yet due",E86)))</formula>
    </cfRule>
    <cfRule type="containsText" dxfId="1072" priority="1124" operator="containsText" text="Completed Behind Schedule">
      <formula>NOT(ISERROR(SEARCH("Completed Behind Schedule",E86)))</formula>
    </cfRule>
    <cfRule type="containsText" dxfId="1071" priority="1125" operator="containsText" text="Off Target">
      <formula>NOT(ISERROR(SEARCH("Off Target",E86)))</formula>
    </cfRule>
    <cfRule type="containsText" dxfId="1070" priority="1126" operator="containsText" text="On Track to be Achieved">
      <formula>NOT(ISERROR(SEARCH("On Track to be Achieved",E86)))</formula>
    </cfRule>
    <cfRule type="containsText" dxfId="1069" priority="1127" operator="containsText" text="Fully Achieved">
      <formula>NOT(ISERROR(SEARCH("Fully Achieved",E86)))</formula>
    </cfRule>
    <cfRule type="containsText" dxfId="1068" priority="1128" operator="containsText" text="Not yet due">
      <formula>NOT(ISERROR(SEARCH("Not yet due",E86)))</formula>
    </cfRule>
    <cfRule type="containsText" dxfId="1067" priority="1129" operator="containsText" text="Not Yet Due">
      <formula>NOT(ISERROR(SEARCH("Not Yet Due",E86)))</formula>
    </cfRule>
    <cfRule type="containsText" dxfId="1066" priority="1130" operator="containsText" text="Deferred">
      <formula>NOT(ISERROR(SEARCH("Deferred",E86)))</formula>
    </cfRule>
    <cfRule type="containsText" dxfId="1065" priority="1131" operator="containsText" text="Deleted">
      <formula>NOT(ISERROR(SEARCH("Deleted",E86)))</formula>
    </cfRule>
    <cfRule type="containsText" dxfId="1064" priority="1132" operator="containsText" text="In Danger of Falling Behind Target">
      <formula>NOT(ISERROR(SEARCH("In Danger of Falling Behind Target",E86)))</formula>
    </cfRule>
    <cfRule type="containsText" dxfId="1063" priority="1133" operator="containsText" text="Not yet due">
      <formula>NOT(ISERROR(SEARCH("Not yet due",E86)))</formula>
    </cfRule>
    <cfRule type="containsText" dxfId="1062" priority="1134" operator="containsText" text="Completed Behind Schedule">
      <formula>NOT(ISERROR(SEARCH("Completed Behind Schedule",E86)))</formula>
    </cfRule>
    <cfRule type="containsText" dxfId="1061" priority="1135" operator="containsText" text="Off Target">
      <formula>NOT(ISERROR(SEARCH("Off Target",E86)))</formula>
    </cfRule>
    <cfRule type="containsText" dxfId="1060" priority="1136" operator="containsText" text="In Danger of Falling Behind Target">
      <formula>NOT(ISERROR(SEARCH("In Danger of Falling Behind Target",E86)))</formula>
    </cfRule>
    <cfRule type="containsText" dxfId="1059" priority="1137" operator="containsText" text="On Track to be Achieved">
      <formula>NOT(ISERROR(SEARCH("On Track to be Achieved",E86)))</formula>
    </cfRule>
    <cfRule type="containsText" dxfId="1058" priority="1138" operator="containsText" text="Fully Achieved">
      <formula>NOT(ISERROR(SEARCH("Fully Achieved",E86)))</formula>
    </cfRule>
    <cfRule type="containsText" dxfId="1057" priority="1139" operator="containsText" text="Update not Provided">
      <formula>NOT(ISERROR(SEARCH("Update not Provided",E86)))</formula>
    </cfRule>
    <cfRule type="containsText" dxfId="1056" priority="1140" operator="containsText" text="Not yet due">
      <formula>NOT(ISERROR(SEARCH("Not yet due",E86)))</formula>
    </cfRule>
    <cfRule type="containsText" dxfId="1055" priority="1141" operator="containsText" text="Completed Behind Schedule">
      <formula>NOT(ISERROR(SEARCH("Completed Behind Schedule",E86)))</formula>
    </cfRule>
    <cfRule type="containsText" dxfId="1054" priority="1142" operator="containsText" text="Off Target">
      <formula>NOT(ISERROR(SEARCH("Off Target",E86)))</formula>
    </cfRule>
    <cfRule type="containsText" dxfId="1053" priority="1143" operator="containsText" text="In Danger of Falling Behind Target">
      <formula>NOT(ISERROR(SEARCH("In Danger of Falling Behind Target",E86)))</formula>
    </cfRule>
    <cfRule type="containsText" dxfId="1052" priority="1144" operator="containsText" text="On Track to be Achieved">
      <formula>NOT(ISERROR(SEARCH("On Track to be Achieved",E86)))</formula>
    </cfRule>
    <cfRule type="containsText" dxfId="1051" priority="1145" operator="containsText" text="Fully Achieved">
      <formula>NOT(ISERROR(SEARCH("Fully Achieved",E86)))</formula>
    </cfRule>
    <cfRule type="containsText" dxfId="1050" priority="1146" operator="containsText" text="Fully Achieved">
      <formula>NOT(ISERROR(SEARCH("Fully Achieved",E86)))</formula>
    </cfRule>
    <cfRule type="containsText" dxfId="1049" priority="1147" operator="containsText" text="Fully Achieved">
      <formula>NOT(ISERROR(SEARCH("Fully Achieved",E86)))</formula>
    </cfRule>
    <cfRule type="containsText" dxfId="1048" priority="1148" operator="containsText" text="Deferred">
      <formula>NOT(ISERROR(SEARCH("Deferred",E86)))</formula>
    </cfRule>
    <cfRule type="containsText" dxfId="1047" priority="1149" operator="containsText" text="Deleted">
      <formula>NOT(ISERROR(SEARCH("Deleted",E86)))</formula>
    </cfRule>
    <cfRule type="containsText" dxfId="1046" priority="1150" operator="containsText" text="In Danger of Falling Behind Target">
      <formula>NOT(ISERROR(SEARCH("In Danger of Falling Behind Target",E86)))</formula>
    </cfRule>
    <cfRule type="containsText" dxfId="1045" priority="1151" operator="containsText" text="Not yet due">
      <formula>NOT(ISERROR(SEARCH("Not yet due",E86)))</formula>
    </cfRule>
    <cfRule type="containsText" dxfId="1044" priority="1152" operator="containsText" text="Update not Provided">
      <formula>NOT(ISERROR(SEARCH("Update not Provided",E86)))</formula>
    </cfRule>
  </conditionalFormatting>
  <conditionalFormatting sqref="E92">
    <cfRule type="containsText" dxfId="1043" priority="1081" operator="containsText" text="On track to be achieved">
      <formula>NOT(ISERROR(SEARCH("On track to be achieved",E92)))</formula>
    </cfRule>
    <cfRule type="containsText" dxfId="1042" priority="1082" operator="containsText" text="Deferred">
      <formula>NOT(ISERROR(SEARCH("Deferred",E92)))</formula>
    </cfRule>
    <cfRule type="containsText" dxfId="1041" priority="1083" operator="containsText" text="Deleted">
      <formula>NOT(ISERROR(SEARCH("Deleted",E92)))</formula>
    </cfRule>
    <cfRule type="containsText" dxfId="1040" priority="1084" operator="containsText" text="In Danger of Falling Behind Target">
      <formula>NOT(ISERROR(SEARCH("In Danger of Falling Behind Target",E92)))</formula>
    </cfRule>
    <cfRule type="containsText" dxfId="1039" priority="1085" operator="containsText" text="Not yet due">
      <formula>NOT(ISERROR(SEARCH("Not yet due",E92)))</formula>
    </cfRule>
    <cfRule type="containsText" dxfId="1038" priority="1086" operator="containsText" text="Update not Provided">
      <formula>NOT(ISERROR(SEARCH("Update not Provided",E92)))</formula>
    </cfRule>
    <cfRule type="containsText" dxfId="1037" priority="1087" operator="containsText" text="Not yet due">
      <formula>NOT(ISERROR(SEARCH("Not yet due",E92)))</formula>
    </cfRule>
    <cfRule type="containsText" dxfId="1036" priority="1088" operator="containsText" text="Completed Behind Schedule">
      <formula>NOT(ISERROR(SEARCH("Completed Behind Schedule",E92)))</formula>
    </cfRule>
    <cfRule type="containsText" dxfId="1035" priority="1089" operator="containsText" text="Off Target">
      <formula>NOT(ISERROR(SEARCH("Off Target",E92)))</formula>
    </cfRule>
    <cfRule type="containsText" dxfId="1034" priority="1090" operator="containsText" text="On Track to be Achieved">
      <formula>NOT(ISERROR(SEARCH("On Track to be Achieved",E92)))</formula>
    </cfRule>
    <cfRule type="containsText" dxfId="1033" priority="1091" operator="containsText" text="Fully Achieved">
      <formula>NOT(ISERROR(SEARCH("Fully Achieved",E92)))</formula>
    </cfRule>
    <cfRule type="containsText" dxfId="1032" priority="1092" operator="containsText" text="Not yet due">
      <formula>NOT(ISERROR(SEARCH("Not yet due",E92)))</formula>
    </cfRule>
    <cfRule type="containsText" dxfId="1031" priority="1093" operator="containsText" text="Not Yet Due">
      <formula>NOT(ISERROR(SEARCH("Not Yet Due",E92)))</formula>
    </cfRule>
    <cfRule type="containsText" dxfId="1030" priority="1094" operator="containsText" text="Deferred">
      <formula>NOT(ISERROR(SEARCH("Deferred",E92)))</formula>
    </cfRule>
    <cfRule type="containsText" dxfId="1029" priority="1095" operator="containsText" text="Deleted">
      <formula>NOT(ISERROR(SEARCH("Deleted",E92)))</formula>
    </cfRule>
    <cfRule type="containsText" dxfId="1028" priority="1096" operator="containsText" text="In Danger of Falling Behind Target">
      <formula>NOT(ISERROR(SEARCH("In Danger of Falling Behind Target",E92)))</formula>
    </cfRule>
    <cfRule type="containsText" dxfId="1027" priority="1097" operator="containsText" text="Not yet due">
      <formula>NOT(ISERROR(SEARCH("Not yet due",E92)))</formula>
    </cfRule>
    <cfRule type="containsText" dxfId="1026" priority="1098" operator="containsText" text="Completed Behind Schedule">
      <formula>NOT(ISERROR(SEARCH("Completed Behind Schedule",E92)))</formula>
    </cfRule>
    <cfRule type="containsText" dxfId="1025" priority="1099" operator="containsText" text="Off Target">
      <formula>NOT(ISERROR(SEARCH("Off Target",E92)))</formula>
    </cfRule>
    <cfRule type="containsText" dxfId="1024" priority="1100" operator="containsText" text="In Danger of Falling Behind Target">
      <formula>NOT(ISERROR(SEARCH("In Danger of Falling Behind Target",E92)))</formula>
    </cfRule>
    <cfRule type="containsText" dxfId="1023" priority="1101" operator="containsText" text="On Track to be Achieved">
      <formula>NOT(ISERROR(SEARCH("On Track to be Achieved",E92)))</formula>
    </cfRule>
    <cfRule type="containsText" dxfId="1022" priority="1102" operator="containsText" text="Fully Achieved">
      <formula>NOT(ISERROR(SEARCH("Fully Achieved",E92)))</formula>
    </cfRule>
    <cfRule type="containsText" dxfId="1021" priority="1103" operator="containsText" text="Update not Provided">
      <formula>NOT(ISERROR(SEARCH("Update not Provided",E92)))</formula>
    </cfRule>
    <cfRule type="containsText" dxfId="1020" priority="1104" operator="containsText" text="Not yet due">
      <formula>NOT(ISERROR(SEARCH("Not yet due",E92)))</formula>
    </cfRule>
    <cfRule type="containsText" dxfId="1019" priority="1105" operator="containsText" text="Completed Behind Schedule">
      <formula>NOT(ISERROR(SEARCH("Completed Behind Schedule",E92)))</formula>
    </cfRule>
    <cfRule type="containsText" dxfId="1018" priority="1106" operator="containsText" text="Off Target">
      <formula>NOT(ISERROR(SEARCH("Off Target",E92)))</formula>
    </cfRule>
    <cfRule type="containsText" dxfId="1017" priority="1107" operator="containsText" text="In Danger of Falling Behind Target">
      <formula>NOT(ISERROR(SEARCH("In Danger of Falling Behind Target",E92)))</formula>
    </cfRule>
    <cfRule type="containsText" dxfId="1016" priority="1108" operator="containsText" text="On Track to be Achieved">
      <formula>NOT(ISERROR(SEARCH("On Track to be Achieved",E92)))</formula>
    </cfRule>
    <cfRule type="containsText" dxfId="1015" priority="1109" operator="containsText" text="Fully Achieved">
      <formula>NOT(ISERROR(SEARCH("Fully Achieved",E92)))</formula>
    </cfRule>
    <cfRule type="containsText" dxfId="1014" priority="1110" operator="containsText" text="Fully Achieved">
      <formula>NOT(ISERROR(SEARCH("Fully Achieved",E92)))</formula>
    </cfRule>
    <cfRule type="containsText" dxfId="1013" priority="1111" operator="containsText" text="Fully Achieved">
      <formula>NOT(ISERROR(SEARCH("Fully Achieved",E92)))</formula>
    </cfRule>
    <cfRule type="containsText" dxfId="1012" priority="1112" operator="containsText" text="Deferred">
      <formula>NOT(ISERROR(SEARCH("Deferred",E92)))</formula>
    </cfRule>
    <cfRule type="containsText" dxfId="1011" priority="1113" operator="containsText" text="Deleted">
      <formula>NOT(ISERROR(SEARCH("Deleted",E92)))</formula>
    </cfRule>
    <cfRule type="containsText" dxfId="1010" priority="1114" operator="containsText" text="In Danger of Falling Behind Target">
      <formula>NOT(ISERROR(SEARCH("In Danger of Falling Behind Target",E92)))</formula>
    </cfRule>
    <cfRule type="containsText" dxfId="1009" priority="1115" operator="containsText" text="Not yet due">
      <formula>NOT(ISERROR(SEARCH("Not yet due",E92)))</formula>
    </cfRule>
    <cfRule type="containsText" dxfId="1008" priority="1116" operator="containsText" text="Update not Provided">
      <formula>NOT(ISERROR(SEARCH("Update not Provided",E92)))</formula>
    </cfRule>
  </conditionalFormatting>
  <conditionalFormatting sqref="E94">
    <cfRule type="containsText" dxfId="1007" priority="1045" operator="containsText" text="On track to be achieved">
      <formula>NOT(ISERROR(SEARCH("On track to be achieved",E94)))</formula>
    </cfRule>
    <cfRule type="containsText" dxfId="1006" priority="1046" operator="containsText" text="Deferred">
      <formula>NOT(ISERROR(SEARCH("Deferred",E94)))</formula>
    </cfRule>
    <cfRule type="containsText" dxfId="1005" priority="1047" operator="containsText" text="Deleted">
      <formula>NOT(ISERROR(SEARCH("Deleted",E94)))</formula>
    </cfRule>
    <cfRule type="containsText" dxfId="1004" priority="1048" operator="containsText" text="In Danger of Falling Behind Target">
      <formula>NOT(ISERROR(SEARCH("In Danger of Falling Behind Target",E94)))</formula>
    </cfRule>
    <cfRule type="containsText" dxfId="1003" priority="1049" operator="containsText" text="Not yet due">
      <formula>NOT(ISERROR(SEARCH("Not yet due",E94)))</formula>
    </cfRule>
    <cfRule type="containsText" dxfId="1002" priority="1050" operator="containsText" text="Update not Provided">
      <formula>NOT(ISERROR(SEARCH("Update not Provided",E94)))</formula>
    </cfRule>
    <cfRule type="containsText" dxfId="1001" priority="1051" operator="containsText" text="Not yet due">
      <formula>NOT(ISERROR(SEARCH("Not yet due",E94)))</formula>
    </cfRule>
    <cfRule type="containsText" dxfId="1000" priority="1052" operator="containsText" text="Completed Behind Schedule">
      <formula>NOT(ISERROR(SEARCH("Completed Behind Schedule",E94)))</formula>
    </cfRule>
    <cfRule type="containsText" dxfId="999" priority="1053" operator="containsText" text="Off Target">
      <formula>NOT(ISERROR(SEARCH("Off Target",E94)))</formula>
    </cfRule>
    <cfRule type="containsText" dxfId="998" priority="1054" operator="containsText" text="On Track to be Achieved">
      <formula>NOT(ISERROR(SEARCH("On Track to be Achieved",E94)))</formula>
    </cfRule>
    <cfRule type="containsText" dxfId="997" priority="1055" operator="containsText" text="Fully Achieved">
      <formula>NOT(ISERROR(SEARCH("Fully Achieved",E94)))</formula>
    </cfRule>
    <cfRule type="containsText" dxfId="996" priority="1056" operator="containsText" text="Not yet due">
      <formula>NOT(ISERROR(SEARCH("Not yet due",E94)))</formula>
    </cfRule>
    <cfRule type="containsText" dxfId="995" priority="1057" operator="containsText" text="Not Yet Due">
      <formula>NOT(ISERROR(SEARCH("Not Yet Due",E94)))</formula>
    </cfRule>
    <cfRule type="containsText" dxfId="994" priority="1058" operator="containsText" text="Deferred">
      <formula>NOT(ISERROR(SEARCH("Deferred",E94)))</formula>
    </cfRule>
    <cfRule type="containsText" dxfId="993" priority="1059" operator="containsText" text="Deleted">
      <formula>NOT(ISERROR(SEARCH("Deleted",E94)))</formula>
    </cfRule>
    <cfRule type="containsText" dxfId="992" priority="1060" operator="containsText" text="In Danger of Falling Behind Target">
      <formula>NOT(ISERROR(SEARCH("In Danger of Falling Behind Target",E94)))</formula>
    </cfRule>
    <cfRule type="containsText" dxfId="991" priority="1061" operator="containsText" text="Not yet due">
      <formula>NOT(ISERROR(SEARCH("Not yet due",E94)))</formula>
    </cfRule>
    <cfRule type="containsText" dxfId="990" priority="1062" operator="containsText" text="Completed Behind Schedule">
      <formula>NOT(ISERROR(SEARCH("Completed Behind Schedule",E94)))</formula>
    </cfRule>
    <cfRule type="containsText" dxfId="989" priority="1063" operator="containsText" text="Off Target">
      <formula>NOT(ISERROR(SEARCH("Off Target",E94)))</formula>
    </cfRule>
    <cfRule type="containsText" dxfId="988" priority="1064" operator="containsText" text="In Danger of Falling Behind Target">
      <formula>NOT(ISERROR(SEARCH("In Danger of Falling Behind Target",E94)))</formula>
    </cfRule>
    <cfRule type="containsText" dxfId="987" priority="1065" operator="containsText" text="On Track to be Achieved">
      <formula>NOT(ISERROR(SEARCH("On Track to be Achieved",E94)))</formula>
    </cfRule>
    <cfRule type="containsText" dxfId="986" priority="1066" operator="containsText" text="Fully Achieved">
      <formula>NOT(ISERROR(SEARCH("Fully Achieved",E94)))</formula>
    </cfRule>
    <cfRule type="containsText" dxfId="985" priority="1067" operator="containsText" text="Update not Provided">
      <formula>NOT(ISERROR(SEARCH("Update not Provided",E94)))</formula>
    </cfRule>
    <cfRule type="containsText" dxfId="984" priority="1068" operator="containsText" text="Not yet due">
      <formula>NOT(ISERROR(SEARCH("Not yet due",E94)))</formula>
    </cfRule>
    <cfRule type="containsText" dxfId="983" priority="1069" operator="containsText" text="Completed Behind Schedule">
      <formula>NOT(ISERROR(SEARCH("Completed Behind Schedule",E94)))</formula>
    </cfRule>
    <cfRule type="containsText" dxfId="982" priority="1070" operator="containsText" text="Off Target">
      <formula>NOT(ISERROR(SEARCH("Off Target",E94)))</formula>
    </cfRule>
    <cfRule type="containsText" dxfId="981" priority="1071" operator="containsText" text="In Danger of Falling Behind Target">
      <formula>NOT(ISERROR(SEARCH("In Danger of Falling Behind Target",E94)))</formula>
    </cfRule>
    <cfRule type="containsText" dxfId="980" priority="1072" operator="containsText" text="On Track to be Achieved">
      <formula>NOT(ISERROR(SEARCH("On Track to be Achieved",E94)))</formula>
    </cfRule>
    <cfRule type="containsText" dxfId="979" priority="1073" operator="containsText" text="Fully Achieved">
      <formula>NOT(ISERROR(SEARCH("Fully Achieved",E94)))</formula>
    </cfRule>
    <cfRule type="containsText" dxfId="978" priority="1074" operator="containsText" text="Fully Achieved">
      <formula>NOT(ISERROR(SEARCH("Fully Achieved",E94)))</formula>
    </cfRule>
    <cfRule type="containsText" dxfId="977" priority="1075" operator="containsText" text="Fully Achieved">
      <formula>NOT(ISERROR(SEARCH("Fully Achieved",E94)))</formula>
    </cfRule>
    <cfRule type="containsText" dxfId="976" priority="1076" operator="containsText" text="Deferred">
      <formula>NOT(ISERROR(SEARCH("Deferred",E94)))</formula>
    </cfRule>
    <cfRule type="containsText" dxfId="975" priority="1077" operator="containsText" text="Deleted">
      <formula>NOT(ISERROR(SEARCH("Deleted",E94)))</formula>
    </cfRule>
    <cfRule type="containsText" dxfId="974" priority="1078" operator="containsText" text="In Danger of Falling Behind Target">
      <formula>NOT(ISERROR(SEARCH("In Danger of Falling Behind Target",E94)))</formula>
    </cfRule>
    <cfRule type="containsText" dxfId="973" priority="1079" operator="containsText" text="Not yet due">
      <formula>NOT(ISERROR(SEARCH("Not yet due",E94)))</formula>
    </cfRule>
    <cfRule type="containsText" dxfId="972" priority="1080" operator="containsText" text="Update not Provided">
      <formula>NOT(ISERROR(SEARCH("Update not Provided",E94)))</formula>
    </cfRule>
  </conditionalFormatting>
  <conditionalFormatting sqref="E99:E100">
    <cfRule type="containsText" dxfId="971" priority="1009" operator="containsText" text="On track to be achieved">
      <formula>NOT(ISERROR(SEARCH("On track to be achieved",E99)))</formula>
    </cfRule>
    <cfRule type="containsText" dxfId="970" priority="1010" operator="containsText" text="Deferred">
      <formula>NOT(ISERROR(SEARCH("Deferred",E99)))</formula>
    </cfRule>
    <cfRule type="containsText" dxfId="969" priority="1011" operator="containsText" text="Deleted">
      <formula>NOT(ISERROR(SEARCH("Deleted",E99)))</formula>
    </cfRule>
    <cfRule type="containsText" dxfId="968" priority="1012" operator="containsText" text="In Danger of Falling Behind Target">
      <formula>NOT(ISERROR(SEARCH("In Danger of Falling Behind Target",E99)))</formula>
    </cfRule>
    <cfRule type="containsText" dxfId="967" priority="1013" operator="containsText" text="Not yet due">
      <formula>NOT(ISERROR(SEARCH("Not yet due",E99)))</formula>
    </cfRule>
    <cfRule type="containsText" dxfId="966" priority="1014" operator="containsText" text="Update not Provided">
      <formula>NOT(ISERROR(SEARCH("Update not Provided",E99)))</formula>
    </cfRule>
    <cfRule type="containsText" dxfId="965" priority="1015" operator="containsText" text="Not yet due">
      <formula>NOT(ISERROR(SEARCH("Not yet due",E99)))</formula>
    </cfRule>
    <cfRule type="containsText" dxfId="964" priority="1016" operator="containsText" text="Completed Behind Schedule">
      <formula>NOT(ISERROR(SEARCH("Completed Behind Schedule",E99)))</formula>
    </cfRule>
    <cfRule type="containsText" dxfId="963" priority="1017" operator="containsText" text="Off Target">
      <formula>NOT(ISERROR(SEARCH("Off Target",E99)))</formula>
    </cfRule>
    <cfRule type="containsText" dxfId="962" priority="1018" operator="containsText" text="On Track to be Achieved">
      <formula>NOT(ISERROR(SEARCH("On Track to be Achieved",E99)))</formula>
    </cfRule>
    <cfRule type="containsText" dxfId="961" priority="1019" operator="containsText" text="Fully Achieved">
      <formula>NOT(ISERROR(SEARCH("Fully Achieved",E99)))</formula>
    </cfRule>
    <cfRule type="containsText" dxfId="960" priority="1020" operator="containsText" text="Not yet due">
      <formula>NOT(ISERROR(SEARCH("Not yet due",E99)))</formula>
    </cfRule>
    <cfRule type="containsText" dxfId="959" priority="1021" operator="containsText" text="Not Yet Due">
      <formula>NOT(ISERROR(SEARCH("Not Yet Due",E99)))</formula>
    </cfRule>
    <cfRule type="containsText" dxfId="958" priority="1022" operator="containsText" text="Deferred">
      <formula>NOT(ISERROR(SEARCH("Deferred",E99)))</formula>
    </cfRule>
    <cfRule type="containsText" dxfId="957" priority="1023" operator="containsText" text="Deleted">
      <formula>NOT(ISERROR(SEARCH("Deleted",E99)))</formula>
    </cfRule>
    <cfRule type="containsText" dxfId="956" priority="1024" operator="containsText" text="In Danger of Falling Behind Target">
      <formula>NOT(ISERROR(SEARCH("In Danger of Falling Behind Target",E99)))</formula>
    </cfRule>
    <cfRule type="containsText" dxfId="955" priority="1025" operator="containsText" text="Not yet due">
      <formula>NOT(ISERROR(SEARCH("Not yet due",E99)))</formula>
    </cfRule>
    <cfRule type="containsText" dxfId="954" priority="1026" operator="containsText" text="Completed Behind Schedule">
      <formula>NOT(ISERROR(SEARCH("Completed Behind Schedule",E99)))</formula>
    </cfRule>
    <cfRule type="containsText" dxfId="953" priority="1027" operator="containsText" text="Off Target">
      <formula>NOT(ISERROR(SEARCH("Off Target",E99)))</formula>
    </cfRule>
    <cfRule type="containsText" dxfId="952" priority="1028" operator="containsText" text="In Danger of Falling Behind Target">
      <formula>NOT(ISERROR(SEARCH("In Danger of Falling Behind Target",E99)))</formula>
    </cfRule>
    <cfRule type="containsText" dxfId="951" priority="1029" operator="containsText" text="On Track to be Achieved">
      <formula>NOT(ISERROR(SEARCH("On Track to be Achieved",E99)))</formula>
    </cfRule>
    <cfRule type="containsText" dxfId="950" priority="1030" operator="containsText" text="Fully Achieved">
      <formula>NOT(ISERROR(SEARCH("Fully Achieved",E99)))</formula>
    </cfRule>
    <cfRule type="containsText" dxfId="949" priority="1031" operator="containsText" text="Update not Provided">
      <formula>NOT(ISERROR(SEARCH("Update not Provided",E99)))</formula>
    </cfRule>
    <cfRule type="containsText" dxfId="948" priority="1032" operator="containsText" text="Not yet due">
      <formula>NOT(ISERROR(SEARCH("Not yet due",E99)))</formula>
    </cfRule>
    <cfRule type="containsText" dxfId="947" priority="1033" operator="containsText" text="Completed Behind Schedule">
      <formula>NOT(ISERROR(SEARCH("Completed Behind Schedule",E99)))</formula>
    </cfRule>
    <cfRule type="containsText" dxfId="946" priority="1034" operator="containsText" text="Off Target">
      <formula>NOT(ISERROR(SEARCH("Off Target",E99)))</formula>
    </cfRule>
    <cfRule type="containsText" dxfId="945" priority="1035" operator="containsText" text="In Danger of Falling Behind Target">
      <formula>NOT(ISERROR(SEARCH("In Danger of Falling Behind Target",E99)))</formula>
    </cfRule>
    <cfRule type="containsText" dxfId="944" priority="1036" operator="containsText" text="On Track to be Achieved">
      <formula>NOT(ISERROR(SEARCH("On Track to be Achieved",E99)))</formula>
    </cfRule>
    <cfRule type="containsText" dxfId="943" priority="1037" operator="containsText" text="Fully Achieved">
      <formula>NOT(ISERROR(SEARCH("Fully Achieved",E99)))</formula>
    </cfRule>
    <cfRule type="containsText" dxfId="942" priority="1038" operator="containsText" text="Fully Achieved">
      <formula>NOT(ISERROR(SEARCH("Fully Achieved",E99)))</formula>
    </cfRule>
    <cfRule type="containsText" dxfId="941" priority="1039" operator="containsText" text="Fully Achieved">
      <formula>NOT(ISERROR(SEARCH("Fully Achieved",E99)))</formula>
    </cfRule>
    <cfRule type="containsText" dxfId="940" priority="1040" operator="containsText" text="Deferred">
      <formula>NOT(ISERROR(SEARCH("Deferred",E99)))</formula>
    </cfRule>
    <cfRule type="containsText" dxfId="939" priority="1041" operator="containsText" text="Deleted">
      <formula>NOT(ISERROR(SEARCH("Deleted",E99)))</formula>
    </cfRule>
    <cfRule type="containsText" dxfId="938" priority="1042" operator="containsText" text="In Danger of Falling Behind Target">
      <formula>NOT(ISERROR(SEARCH("In Danger of Falling Behind Target",E99)))</formula>
    </cfRule>
    <cfRule type="containsText" dxfId="937" priority="1043" operator="containsText" text="Not yet due">
      <formula>NOT(ISERROR(SEARCH("Not yet due",E99)))</formula>
    </cfRule>
    <cfRule type="containsText" dxfId="936" priority="1044" operator="containsText" text="Update not Provided">
      <formula>NOT(ISERROR(SEARCH("Update not Provided",E99)))</formula>
    </cfRule>
  </conditionalFormatting>
  <conditionalFormatting sqref="E102:E104">
    <cfRule type="containsText" dxfId="935" priority="973" operator="containsText" text="On track to be achieved">
      <formula>NOT(ISERROR(SEARCH("On track to be achieved",E102)))</formula>
    </cfRule>
    <cfRule type="containsText" dxfId="934" priority="974" operator="containsText" text="Deferred">
      <formula>NOT(ISERROR(SEARCH("Deferred",E102)))</formula>
    </cfRule>
    <cfRule type="containsText" dxfId="933" priority="975" operator="containsText" text="Deleted">
      <formula>NOT(ISERROR(SEARCH("Deleted",E102)))</formula>
    </cfRule>
    <cfRule type="containsText" dxfId="932" priority="976" operator="containsText" text="In Danger of Falling Behind Target">
      <formula>NOT(ISERROR(SEARCH("In Danger of Falling Behind Target",E102)))</formula>
    </cfRule>
    <cfRule type="containsText" dxfId="931" priority="977" operator="containsText" text="Not yet due">
      <formula>NOT(ISERROR(SEARCH("Not yet due",E102)))</formula>
    </cfRule>
    <cfRule type="containsText" dxfId="930" priority="978" operator="containsText" text="Update not Provided">
      <formula>NOT(ISERROR(SEARCH("Update not Provided",E102)))</formula>
    </cfRule>
    <cfRule type="containsText" dxfId="929" priority="979" operator="containsText" text="Not yet due">
      <formula>NOT(ISERROR(SEARCH("Not yet due",E102)))</formula>
    </cfRule>
    <cfRule type="containsText" dxfId="928" priority="980" operator="containsText" text="Completed Behind Schedule">
      <formula>NOT(ISERROR(SEARCH("Completed Behind Schedule",E102)))</formula>
    </cfRule>
    <cfRule type="containsText" dxfId="927" priority="981" operator="containsText" text="Off Target">
      <formula>NOT(ISERROR(SEARCH("Off Target",E102)))</formula>
    </cfRule>
    <cfRule type="containsText" dxfId="926" priority="982" operator="containsText" text="On Track to be Achieved">
      <formula>NOT(ISERROR(SEARCH("On Track to be Achieved",E102)))</formula>
    </cfRule>
    <cfRule type="containsText" dxfId="925" priority="983" operator="containsText" text="Fully Achieved">
      <formula>NOT(ISERROR(SEARCH("Fully Achieved",E102)))</formula>
    </cfRule>
    <cfRule type="containsText" dxfId="924" priority="984" operator="containsText" text="Not yet due">
      <formula>NOT(ISERROR(SEARCH("Not yet due",E102)))</formula>
    </cfRule>
    <cfRule type="containsText" dxfId="923" priority="985" operator="containsText" text="Not Yet Due">
      <formula>NOT(ISERROR(SEARCH("Not Yet Due",E102)))</formula>
    </cfRule>
    <cfRule type="containsText" dxfId="922" priority="986" operator="containsText" text="Deferred">
      <formula>NOT(ISERROR(SEARCH("Deferred",E102)))</formula>
    </cfRule>
    <cfRule type="containsText" dxfId="921" priority="987" operator="containsText" text="Deleted">
      <formula>NOT(ISERROR(SEARCH("Deleted",E102)))</formula>
    </cfRule>
    <cfRule type="containsText" dxfId="920" priority="988" operator="containsText" text="In Danger of Falling Behind Target">
      <formula>NOT(ISERROR(SEARCH("In Danger of Falling Behind Target",E102)))</formula>
    </cfRule>
    <cfRule type="containsText" dxfId="919" priority="989" operator="containsText" text="Not yet due">
      <formula>NOT(ISERROR(SEARCH("Not yet due",E102)))</formula>
    </cfRule>
    <cfRule type="containsText" dxfId="918" priority="990" operator="containsText" text="Completed Behind Schedule">
      <formula>NOT(ISERROR(SEARCH("Completed Behind Schedule",E102)))</formula>
    </cfRule>
    <cfRule type="containsText" dxfId="917" priority="991" operator="containsText" text="Off Target">
      <formula>NOT(ISERROR(SEARCH("Off Target",E102)))</formula>
    </cfRule>
    <cfRule type="containsText" dxfId="916" priority="992" operator="containsText" text="In Danger of Falling Behind Target">
      <formula>NOT(ISERROR(SEARCH("In Danger of Falling Behind Target",E102)))</formula>
    </cfRule>
    <cfRule type="containsText" dxfId="915" priority="993" operator="containsText" text="On Track to be Achieved">
      <formula>NOT(ISERROR(SEARCH("On Track to be Achieved",E102)))</formula>
    </cfRule>
    <cfRule type="containsText" dxfId="914" priority="994" operator="containsText" text="Fully Achieved">
      <formula>NOT(ISERROR(SEARCH("Fully Achieved",E102)))</formula>
    </cfRule>
    <cfRule type="containsText" dxfId="913" priority="995" operator="containsText" text="Update not Provided">
      <formula>NOT(ISERROR(SEARCH("Update not Provided",E102)))</formula>
    </cfRule>
    <cfRule type="containsText" dxfId="912" priority="996" operator="containsText" text="Not yet due">
      <formula>NOT(ISERROR(SEARCH("Not yet due",E102)))</formula>
    </cfRule>
    <cfRule type="containsText" dxfId="911" priority="997" operator="containsText" text="Completed Behind Schedule">
      <formula>NOT(ISERROR(SEARCH("Completed Behind Schedule",E102)))</formula>
    </cfRule>
    <cfRule type="containsText" dxfId="910" priority="998" operator="containsText" text="Off Target">
      <formula>NOT(ISERROR(SEARCH("Off Target",E102)))</formula>
    </cfRule>
    <cfRule type="containsText" dxfId="909" priority="999" operator="containsText" text="In Danger of Falling Behind Target">
      <formula>NOT(ISERROR(SEARCH("In Danger of Falling Behind Target",E102)))</formula>
    </cfRule>
    <cfRule type="containsText" dxfId="908" priority="1000" operator="containsText" text="On Track to be Achieved">
      <formula>NOT(ISERROR(SEARCH("On Track to be Achieved",E102)))</formula>
    </cfRule>
    <cfRule type="containsText" dxfId="907" priority="1001" operator="containsText" text="Fully Achieved">
      <formula>NOT(ISERROR(SEARCH("Fully Achieved",E102)))</formula>
    </cfRule>
    <cfRule type="containsText" dxfId="906" priority="1002" operator="containsText" text="Fully Achieved">
      <formula>NOT(ISERROR(SEARCH("Fully Achieved",E102)))</formula>
    </cfRule>
    <cfRule type="containsText" dxfId="905" priority="1003" operator="containsText" text="Fully Achieved">
      <formula>NOT(ISERROR(SEARCH("Fully Achieved",E102)))</formula>
    </cfRule>
    <cfRule type="containsText" dxfId="904" priority="1004" operator="containsText" text="Deferred">
      <formula>NOT(ISERROR(SEARCH("Deferred",E102)))</formula>
    </cfRule>
    <cfRule type="containsText" dxfId="903" priority="1005" operator="containsText" text="Deleted">
      <formula>NOT(ISERROR(SEARCH("Deleted",E102)))</formula>
    </cfRule>
    <cfRule type="containsText" dxfId="902" priority="1006" operator="containsText" text="In Danger of Falling Behind Target">
      <formula>NOT(ISERROR(SEARCH("In Danger of Falling Behind Target",E102)))</formula>
    </cfRule>
    <cfRule type="containsText" dxfId="901" priority="1007" operator="containsText" text="Not yet due">
      <formula>NOT(ISERROR(SEARCH("Not yet due",E102)))</formula>
    </cfRule>
    <cfRule type="containsText" dxfId="900" priority="1008" operator="containsText" text="Update not Provided">
      <formula>NOT(ISERROR(SEARCH("Update not Provided",E102)))</formula>
    </cfRule>
  </conditionalFormatting>
  <conditionalFormatting sqref="E107:E112">
    <cfRule type="containsText" dxfId="899" priority="937" operator="containsText" text="On track to be achieved">
      <formula>NOT(ISERROR(SEARCH("On track to be achieved",E107)))</formula>
    </cfRule>
    <cfRule type="containsText" dxfId="898" priority="938" operator="containsText" text="Deferred">
      <formula>NOT(ISERROR(SEARCH("Deferred",E107)))</formula>
    </cfRule>
    <cfRule type="containsText" dxfId="897" priority="939" operator="containsText" text="Deleted">
      <formula>NOT(ISERROR(SEARCH("Deleted",E107)))</formula>
    </cfRule>
    <cfRule type="containsText" dxfId="896" priority="940" operator="containsText" text="In Danger of Falling Behind Target">
      <formula>NOT(ISERROR(SEARCH("In Danger of Falling Behind Target",E107)))</formula>
    </cfRule>
    <cfRule type="containsText" dxfId="895" priority="941" operator="containsText" text="Not yet due">
      <formula>NOT(ISERROR(SEARCH("Not yet due",E107)))</formula>
    </cfRule>
    <cfRule type="containsText" dxfId="894" priority="942" operator="containsText" text="Update not Provided">
      <formula>NOT(ISERROR(SEARCH("Update not Provided",E107)))</formula>
    </cfRule>
    <cfRule type="containsText" dxfId="893" priority="943" operator="containsText" text="Not yet due">
      <formula>NOT(ISERROR(SEARCH("Not yet due",E107)))</formula>
    </cfRule>
    <cfRule type="containsText" dxfId="892" priority="944" operator="containsText" text="Completed Behind Schedule">
      <formula>NOT(ISERROR(SEARCH("Completed Behind Schedule",E107)))</formula>
    </cfRule>
    <cfRule type="containsText" dxfId="891" priority="945" operator="containsText" text="Off Target">
      <formula>NOT(ISERROR(SEARCH("Off Target",E107)))</formula>
    </cfRule>
    <cfRule type="containsText" dxfId="890" priority="946" operator="containsText" text="On Track to be Achieved">
      <formula>NOT(ISERROR(SEARCH("On Track to be Achieved",E107)))</formula>
    </cfRule>
    <cfRule type="containsText" dxfId="889" priority="947" operator="containsText" text="Fully Achieved">
      <formula>NOT(ISERROR(SEARCH("Fully Achieved",E107)))</formula>
    </cfRule>
    <cfRule type="containsText" dxfId="888" priority="948" operator="containsText" text="Not yet due">
      <formula>NOT(ISERROR(SEARCH("Not yet due",E107)))</formula>
    </cfRule>
    <cfRule type="containsText" dxfId="887" priority="949" operator="containsText" text="Not Yet Due">
      <formula>NOT(ISERROR(SEARCH("Not Yet Due",E107)))</formula>
    </cfRule>
    <cfRule type="containsText" dxfId="886" priority="950" operator="containsText" text="Deferred">
      <formula>NOT(ISERROR(SEARCH("Deferred",E107)))</formula>
    </cfRule>
    <cfRule type="containsText" dxfId="885" priority="951" operator="containsText" text="Deleted">
      <formula>NOT(ISERROR(SEARCH("Deleted",E107)))</formula>
    </cfRule>
    <cfRule type="containsText" dxfId="884" priority="952" operator="containsText" text="In Danger of Falling Behind Target">
      <formula>NOT(ISERROR(SEARCH("In Danger of Falling Behind Target",E107)))</formula>
    </cfRule>
    <cfRule type="containsText" dxfId="883" priority="953" operator="containsText" text="Not yet due">
      <formula>NOT(ISERROR(SEARCH("Not yet due",E107)))</formula>
    </cfRule>
    <cfRule type="containsText" dxfId="882" priority="954" operator="containsText" text="Completed Behind Schedule">
      <formula>NOT(ISERROR(SEARCH("Completed Behind Schedule",E107)))</formula>
    </cfRule>
    <cfRule type="containsText" dxfId="881" priority="955" operator="containsText" text="Off Target">
      <formula>NOT(ISERROR(SEARCH("Off Target",E107)))</formula>
    </cfRule>
    <cfRule type="containsText" dxfId="880" priority="956" operator="containsText" text="In Danger of Falling Behind Target">
      <formula>NOT(ISERROR(SEARCH("In Danger of Falling Behind Target",E107)))</formula>
    </cfRule>
    <cfRule type="containsText" dxfId="879" priority="957" operator="containsText" text="On Track to be Achieved">
      <formula>NOT(ISERROR(SEARCH("On Track to be Achieved",E107)))</formula>
    </cfRule>
    <cfRule type="containsText" dxfId="878" priority="958" operator="containsText" text="Fully Achieved">
      <formula>NOT(ISERROR(SEARCH("Fully Achieved",E107)))</formula>
    </cfRule>
    <cfRule type="containsText" dxfId="877" priority="959" operator="containsText" text="Update not Provided">
      <formula>NOT(ISERROR(SEARCH("Update not Provided",E107)))</formula>
    </cfRule>
    <cfRule type="containsText" dxfId="876" priority="960" operator="containsText" text="Not yet due">
      <formula>NOT(ISERROR(SEARCH("Not yet due",E107)))</formula>
    </cfRule>
    <cfRule type="containsText" dxfId="875" priority="961" operator="containsText" text="Completed Behind Schedule">
      <formula>NOT(ISERROR(SEARCH("Completed Behind Schedule",E107)))</formula>
    </cfRule>
    <cfRule type="containsText" dxfId="874" priority="962" operator="containsText" text="Off Target">
      <formula>NOT(ISERROR(SEARCH("Off Target",E107)))</formula>
    </cfRule>
    <cfRule type="containsText" dxfId="873" priority="963" operator="containsText" text="In Danger of Falling Behind Target">
      <formula>NOT(ISERROR(SEARCH("In Danger of Falling Behind Target",E107)))</formula>
    </cfRule>
    <cfRule type="containsText" dxfId="872" priority="964" operator="containsText" text="On Track to be Achieved">
      <formula>NOT(ISERROR(SEARCH("On Track to be Achieved",E107)))</formula>
    </cfRule>
    <cfRule type="containsText" dxfId="871" priority="965" operator="containsText" text="Fully Achieved">
      <formula>NOT(ISERROR(SEARCH("Fully Achieved",E107)))</formula>
    </cfRule>
    <cfRule type="containsText" dxfId="870" priority="966" operator="containsText" text="Fully Achieved">
      <formula>NOT(ISERROR(SEARCH("Fully Achieved",E107)))</formula>
    </cfRule>
    <cfRule type="containsText" dxfId="869" priority="967" operator="containsText" text="Fully Achieved">
      <formula>NOT(ISERROR(SEARCH("Fully Achieved",E107)))</formula>
    </cfRule>
    <cfRule type="containsText" dxfId="868" priority="968" operator="containsText" text="Deferred">
      <formula>NOT(ISERROR(SEARCH("Deferred",E107)))</formula>
    </cfRule>
    <cfRule type="containsText" dxfId="867" priority="969" operator="containsText" text="Deleted">
      <formula>NOT(ISERROR(SEARCH("Deleted",E107)))</formula>
    </cfRule>
    <cfRule type="containsText" dxfId="866" priority="970" operator="containsText" text="In Danger of Falling Behind Target">
      <formula>NOT(ISERROR(SEARCH("In Danger of Falling Behind Target",E107)))</formula>
    </cfRule>
    <cfRule type="containsText" dxfId="865" priority="971" operator="containsText" text="Not yet due">
      <formula>NOT(ISERROR(SEARCH("Not yet due",E107)))</formula>
    </cfRule>
    <cfRule type="containsText" dxfId="864" priority="972" operator="containsText" text="Update not Provided">
      <formula>NOT(ISERROR(SEARCH("Update not Provided",E107)))</formula>
    </cfRule>
  </conditionalFormatting>
  <conditionalFormatting sqref="E114">
    <cfRule type="containsText" dxfId="863" priority="901" operator="containsText" text="On track to be achieved">
      <formula>NOT(ISERROR(SEARCH("On track to be achieved",E114)))</formula>
    </cfRule>
    <cfRule type="containsText" dxfId="862" priority="902" operator="containsText" text="Deferred">
      <formula>NOT(ISERROR(SEARCH("Deferred",E114)))</formula>
    </cfRule>
    <cfRule type="containsText" dxfId="861" priority="903" operator="containsText" text="Deleted">
      <formula>NOT(ISERROR(SEARCH("Deleted",E114)))</formula>
    </cfRule>
    <cfRule type="containsText" dxfId="860" priority="904" operator="containsText" text="In Danger of Falling Behind Target">
      <formula>NOT(ISERROR(SEARCH("In Danger of Falling Behind Target",E114)))</formula>
    </cfRule>
    <cfRule type="containsText" dxfId="859" priority="905" operator="containsText" text="Not yet due">
      <formula>NOT(ISERROR(SEARCH("Not yet due",E114)))</formula>
    </cfRule>
    <cfRule type="containsText" dxfId="858" priority="906" operator="containsText" text="Update not Provided">
      <formula>NOT(ISERROR(SEARCH("Update not Provided",E114)))</formula>
    </cfRule>
    <cfRule type="containsText" dxfId="857" priority="907" operator="containsText" text="Not yet due">
      <formula>NOT(ISERROR(SEARCH("Not yet due",E114)))</formula>
    </cfRule>
    <cfRule type="containsText" dxfId="856" priority="908" operator="containsText" text="Completed Behind Schedule">
      <formula>NOT(ISERROR(SEARCH("Completed Behind Schedule",E114)))</formula>
    </cfRule>
    <cfRule type="containsText" dxfId="855" priority="909" operator="containsText" text="Off Target">
      <formula>NOT(ISERROR(SEARCH("Off Target",E114)))</formula>
    </cfRule>
    <cfRule type="containsText" dxfId="854" priority="910" operator="containsText" text="On Track to be Achieved">
      <formula>NOT(ISERROR(SEARCH("On Track to be Achieved",E114)))</formula>
    </cfRule>
    <cfRule type="containsText" dxfId="853" priority="911" operator="containsText" text="Fully Achieved">
      <formula>NOT(ISERROR(SEARCH("Fully Achieved",E114)))</formula>
    </cfRule>
    <cfRule type="containsText" dxfId="852" priority="912" operator="containsText" text="Not yet due">
      <formula>NOT(ISERROR(SEARCH("Not yet due",E114)))</formula>
    </cfRule>
    <cfRule type="containsText" dxfId="851" priority="913" operator="containsText" text="Not Yet Due">
      <formula>NOT(ISERROR(SEARCH("Not Yet Due",E114)))</formula>
    </cfRule>
    <cfRule type="containsText" dxfId="850" priority="914" operator="containsText" text="Deferred">
      <formula>NOT(ISERROR(SEARCH("Deferred",E114)))</formula>
    </cfRule>
    <cfRule type="containsText" dxfId="849" priority="915" operator="containsText" text="Deleted">
      <formula>NOT(ISERROR(SEARCH("Deleted",E114)))</formula>
    </cfRule>
    <cfRule type="containsText" dxfId="848" priority="916" operator="containsText" text="In Danger of Falling Behind Target">
      <formula>NOT(ISERROR(SEARCH("In Danger of Falling Behind Target",E114)))</formula>
    </cfRule>
    <cfRule type="containsText" dxfId="847" priority="917" operator="containsText" text="Not yet due">
      <formula>NOT(ISERROR(SEARCH("Not yet due",E114)))</formula>
    </cfRule>
    <cfRule type="containsText" dxfId="846" priority="918" operator="containsText" text="Completed Behind Schedule">
      <formula>NOT(ISERROR(SEARCH("Completed Behind Schedule",E114)))</formula>
    </cfRule>
    <cfRule type="containsText" dxfId="845" priority="919" operator="containsText" text="Off Target">
      <formula>NOT(ISERROR(SEARCH("Off Target",E114)))</formula>
    </cfRule>
    <cfRule type="containsText" dxfId="844" priority="920" operator="containsText" text="In Danger of Falling Behind Target">
      <formula>NOT(ISERROR(SEARCH("In Danger of Falling Behind Target",E114)))</formula>
    </cfRule>
    <cfRule type="containsText" dxfId="843" priority="921" operator="containsText" text="On Track to be Achieved">
      <formula>NOT(ISERROR(SEARCH("On Track to be Achieved",E114)))</formula>
    </cfRule>
    <cfRule type="containsText" dxfId="842" priority="922" operator="containsText" text="Fully Achieved">
      <formula>NOT(ISERROR(SEARCH("Fully Achieved",E114)))</formula>
    </cfRule>
    <cfRule type="containsText" dxfId="841" priority="923" operator="containsText" text="Update not Provided">
      <formula>NOT(ISERROR(SEARCH("Update not Provided",E114)))</formula>
    </cfRule>
    <cfRule type="containsText" dxfId="840" priority="924" operator="containsText" text="Not yet due">
      <formula>NOT(ISERROR(SEARCH("Not yet due",E114)))</formula>
    </cfRule>
    <cfRule type="containsText" dxfId="839" priority="925" operator="containsText" text="Completed Behind Schedule">
      <formula>NOT(ISERROR(SEARCH("Completed Behind Schedule",E114)))</formula>
    </cfRule>
    <cfRule type="containsText" dxfId="838" priority="926" operator="containsText" text="Off Target">
      <formula>NOT(ISERROR(SEARCH("Off Target",E114)))</formula>
    </cfRule>
    <cfRule type="containsText" dxfId="837" priority="927" operator="containsText" text="In Danger of Falling Behind Target">
      <formula>NOT(ISERROR(SEARCH("In Danger of Falling Behind Target",E114)))</formula>
    </cfRule>
    <cfRule type="containsText" dxfId="836" priority="928" operator="containsText" text="On Track to be Achieved">
      <formula>NOT(ISERROR(SEARCH("On Track to be Achieved",E114)))</formula>
    </cfRule>
    <cfRule type="containsText" dxfId="835" priority="929" operator="containsText" text="Fully Achieved">
      <formula>NOT(ISERROR(SEARCH("Fully Achieved",E114)))</formula>
    </cfRule>
    <cfRule type="containsText" dxfId="834" priority="930" operator="containsText" text="Fully Achieved">
      <formula>NOT(ISERROR(SEARCH("Fully Achieved",E114)))</formula>
    </cfRule>
    <cfRule type="containsText" dxfId="833" priority="931" operator="containsText" text="Fully Achieved">
      <formula>NOT(ISERROR(SEARCH("Fully Achieved",E114)))</formula>
    </cfRule>
    <cfRule type="containsText" dxfId="832" priority="932" operator="containsText" text="Deferred">
      <formula>NOT(ISERROR(SEARCH("Deferred",E114)))</formula>
    </cfRule>
    <cfRule type="containsText" dxfId="831" priority="933" operator="containsText" text="Deleted">
      <formula>NOT(ISERROR(SEARCH("Deleted",E114)))</formula>
    </cfRule>
    <cfRule type="containsText" dxfId="830" priority="934" operator="containsText" text="In Danger of Falling Behind Target">
      <formula>NOT(ISERROR(SEARCH("In Danger of Falling Behind Target",E114)))</formula>
    </cfRule>
    <cfRule type="containsText" dxfId="829" priority="935" operator="containsText" text="Not yet due">
      <formula>NOT(ISERROR(SEARCH("Not yet due",E114)))</formula>
    </cfRule>
    <cfRule type="containsText" dxfId="828" priority="936" operator="containsText" text="Update not Provided">
      <formula>NOT(ISERROR(SEARCH("Update not Provided",E114)))</formula>
    </cfRule>
  </conditionalFormatting>
  <conditionalFormatting sqref="E116">
    <cfRule type="containsText" dxfId="827" priority="865" operator="containsText" text="On track to be achieved">
      <formula>NOT(ISERROR(SEARCH("On track to be achieved",E116)))</formula>
    </cfRule>
    <cfRule type="containsText" dxfId="826" priority="866" operator="containsText" text="Deferred">
      <formula>NOT(ISERROR(SEARCH("Deferred",E116)))</formula>
    </cfRule>
    <cfRule type="containsText" dxfId="825" priority="867" operator="containsText" text="Deleted">
      <formula>NOT(ISERROR(SEARCH("Deleted",E116)))</formula>
    </cfRule>
    <cfRule type="containsText" dxfId="824" priority="868" operator="containsText" text="In Danger of Falling Behind Target">
      <formula>NOT(ISERROR(SEARCH("In Danger of Falling Behind Target",E116)))</formula>
    </cfRule>
    <cfRule type="containsText" dxfId="823" priority="869" operator="containsText" text="Not yet due">
      <formula>NOT(ISERROR(SEARCH("Not yet due",E116)))</formula>
    </cfRule>
    <cfRule type="containsText" dxfId="822" priority="870" operator="containsText" text="Update not Provided">
      <formula>NOT(ISERROR(SEARCH("Update not Provided",E116)))</formula>
    </cfRule>
    <cfRule type="containsText" dxfId="821" priority="871" operator="containsText" text="Not yet due">
      <formula>NOT(ISERROR(SEARCH("Not yet due",E116)))</formula>
    </cfRule>
    <cfRule type="containsText" dxfId="820" priority="872" operator="containsText" text="Completed Behind Schedule">
      <formula>NOT(ISERROR(SEARCH("Completed Behind Schedule",E116)))</formula>
    </cfRule>
    <cfRule type="containsText" dxfId="819" priority="873" operator="containsText" text="Off Target">
      <formula>NOT(ISERROR(SEARCH("Off Target",E116)))</formula>
    </cfRule>
    <cfRule type="containsText" dxfId="818" priority="874" operator="containsText" text="On Track to be Achieved">
      <formula>NOT(ISERROR(SEARCH("On Track to be Achieved",E116)))</formula>
    </cfRule>
    <cfRule type="containsText" dxfId="817" priority="875" operator="containsText" text="Fully Achieved">
      <formula>NOT(ISERROR(SEARCH("Fully Achieved",E116)))</formula>
    </cfRule>
    <cfRule type="containsText" dxfId="816" priority="876" operator="containsText" text="Not yet due">
      <formula>NOT(ISERROR(SEARCH("Not yet due",E116)))</formula>
    </cfRule>
    <cfRule type="containsText" dxfId="815" priority="877" operator="containsText" text="Not Yet Due">
      <formula>NOT(ISERROR(SEARCH("Not Yet Due",E116)))</formula>
    </cfRule>
    <cfRule type="containsText" dxfId="814" priority="878" operator="containsText" text="Deferred">
      <formula>NOT(ISERROR(SEARCH("Deferred",E116)))</formula>
    </cfRule>
    <cfRule type="containsText" dxfId="813" priority="879" operator="containsText" text="Deleted">
      <formula>NOT(ISERROR(SEARCH("Deleted",E116)))</formula>
    </cfRule>
    <cfRule type="containsText" dxfId="812" priority="880" operator="containsText" text="In Danger of Falling Behind Target">
      <formula>NOT(ISERROR(SEARCH("In Danger of Falling Behind Target",E116)))</formula>
    </cfRule>
    <cfRule type="containsText" dxfId="811" priority="881" operator="containsText" text="Not yet due">
      <formula>NOT(ISERROR(SEARCH("Not yet due",E116)))</formula>
    </cfRule>
    <cfRule type="containsText" dxfId="810" priority="882" operator="containsText" text="Completed Behind Schedule">
      <formula>NOT(ISERROR(SEARCH("Completed Behind Schedule",E116)))</formula>
    </cfRule>
    <cfRule type="containsText" dxfId="809" priority="883" operator="containsText" text="Off Target">
      <formula>NOT(ISERROR(SEARCH("Off Target",E116)))</formula>
    </cfRule>
    <cfRule type="containsText" dxfId="808" priority="884" operator="containsText" text="In Danger of Falling Behind Target">
      <formula>NOT(ISERROR(SEARCH("In Danger of Falling Behind Target",E116)))</formula>
    </cfRule>
    <cfRule type="containsText" dxfId="807" priority="885" operator="containsText" text="On Track to be Achieved">
      <formula>NOT(ISERROR(SEARCH("On Track to be Achieved",E116)))</formula>
    </cfRule>
    <cfRule type="containsText" dxfId="806" priority="886" operator="containsText" text="Fully Achieved">
      <formula>NOT(ISERROR(SEARCH("Fully Achieved",E116)))</formula>
    </cfRule>
    <cfRule type="containsText" dxfId="805" priority="887" operator="containsText" text="Update not Provided">
      <formula>NOT(ISERROR(SEARCH("Update not Provided",E116)))</formula>
    </cfRule>
    <cfRule type="containsText" dxfId="804" priority="888" operator="containsText" text="Not yet due">
      <formula>NOT(ISERROR(SEARCH("Not yet due",E116)))</formula>
    </cfRule>
    <cfRule type="containsText" dxfId="803" priority="889" operator="containsText" text="Completed Behind Schedule">
      <formula>NOT(ISERROR(SEARCH("Completed Behind Schedule",E116)))</formula>
    </cfRule>
    <cfRule type="containsText" dxfId="802" priority="890" operator="containsText" text="Off Target">
      <formula>NOT(ISERROR(SEARCH("Off Target",E116)))</formula>
    </cfRule>
    <cfRule type="containsText" dxfId="801" priority="891" operator="containsText" text="In Danger of Falling Behind Target">
      <formula>NOT(ISERROR(SEARCH("In Danger of Falling Behind Target",E116)))</formula>
    </cfRule>
    <cfRule type="containsText" dxfId="800" priority="892" operator="containsText" text="On Track to be Achieved">
      <formula>NOT(ISERROR(SEARCH("On Track to be Achieved",E116)))</formula>
    </cfRule>
    <cfRule type="containsText" dxfId="799" priority="893" operator="containsText" text="Fully Achieved">
      <formula>NOT(ISERROR(SEARCH("Fully Achieved",E116)))</formula>
    </cfRule>
    <cfRule type="containsText" dxfId="798" priority="894" operator="containsText" text="Fully Achieved">
      <formula>NOT(ISERROR(SEARCH("Fully Achieved",E116)))</formula>
    </cfRule>
    <cfRule type="containsText" dxfId="797" priority="895" operator="containsText" text="Fully Achieved">
      <formula>NOT(ISERROR(SEARCH("Fully Achieved",E116)))</formula>
    </cfRule>
    <cfRule type="containsText" dxfId="796" priority="896" operator="containsText" text="Deferred">
      <formula>NOT(ISERROR(SEARCH("Deferred",E116)))</formula>
    </cfRule>
    <cfRule type="containsText" dxfId="795" priority="897" operator="containsText" text="Deleted">
      <formula>NOT(ISERROR(SEARCH("Deleted",E116)))</formula>
    </cfRule>
    <cfRule type="containsText" dxfId="794" priority="898" operator="containsText" text="In Danger of Falling Behind Target">
      <formula>NOT(ISERROR(SEARCH("In Danger of Falling Behind Target",E116)))</formula>
    </cfRule>
    <cfRule type="containsText" dxfId="793" priority="899" operator="containsText" text="Not yet due">
      <formula>NOT(ISERROR(SEARCH("Not yet due",E116)))</formula>
    </cfRule>
    <cfRule type="containsText" dxfId="792" priority="900" operator="containsText" text="Update not Provided">
      <formula>NOT(ISERROR(SEARCH("Update not Provided",E116)))</formula>
    </cfRule>
  </conditionalFormatting>
  <conditionalFormatting sqref="E118:E122">
    <cfRule type="containsText" dxfId="791" priority="829" operator="containsText" text="On track to be achieved">
      <formula>NOT(ISERROR(SEARCH("On track to be achieved",E118)))</formula>
    </cfRule>
    <cfRule type="containsText" dxfId="790" priority="830" operator="containsText" text="Deferred">
      <formula>NOT(ISERROR(SEARCH("Deferred",E118)))</formula>
    </cfRule>
    <cfRule type="containsText" dxfId="789" priority="831" operator="containsText" text="Deleted">
      <formula>NOT(ISERROR(SEARCH("Deleted",E118)))</formula>
    </cfRule>
    <cfRule type="containsText" dxfId="788" priority="832" operator="containsText" text="In Danger of Falling Behind Target">
      <formula>NOT(ISERROR(SEARCH("In Danger of Falling Behind Target",E118)))</formula>
    </cfRule>
    <cfRule type="containsText" dxfId="787" priority="833" operator="containsText" text="Not yet due">
      <formula>NOT(ISERROR(SEARCH("Not yet due",E118)))</formula>
    </cfRule>
    <cfRule type="containsText" dxfId="786" priority="834" operator="containsText" text="Update not Provided">
      <formula>NOT(ISERROR(SEARCH("Update not Provided",E118)))</formula>
    </cfRule>
    <cfRule type="containsText" dxfId="785" priority="835" operator="containsText" text="Not yet due">
      <formula>NOT(ISERROR(SEARCH("Not yet due",E118)))</formula>
    </cfRule>
    <cfRule type="containsText" dxfId="784" priority="836" operator="containsText" text="Completed Behind Schedule">
      <formula>NOT(ISERROR(SEARCH("Completed Behind Schedule",E118)))</formula>
    </cfRule>
    <cfRule type="containsText" dxfId="783" priority="837" operator="containsText" text="Off Target">
      <formula>NOT(ISERROR(SEARCH("Off Target",E118)))</formula>
    </cfRule>
    <cfRule type="containsText" dxfId="782" priority="838" operator="containsText" text="On Track to be Achieved">
      <formula>NOT(ISERROR(SEARCH("On Track to be Achieved",E118)))</formula>
    </cfRule>
    <cfRule type="containsText" dxfId="781" priority="839" operator="containsText" text="Fully Achieved">
      <formula>NOT(ISERROR(SEARCH("Fully Achieved",E118)))</formula>
    </cfRule>
    <cfRule type="containsText" dxfId="780" priority="840" operator="containsText" text="Not yet due">
      <formula>NOT(ISERROR(SEARCH("Not yet due",E118)))</formula>
    </cfRule>
    <cfRule type="containsText" dxfId="779" priority="841" operator="containsText" text="Not Yet Due">
      <formula>NOT(ISERROR(SEARCH("Not Yet Due",E118)))</formula>
    </cfRule>
    <cfRule type="containsText" dxfId="778" priority="842" operator="containsText" text="Deferred">
      <formula>NOT(ISERROR(SEARCH("Deferred",E118)))</formula>
    </cfRule>
    <cfRule type="containsText" dxfId="777" priority="843" operator="containsText" text="Deleted">
      <formula>NOT(ISERROR(SEARCH("Deleted",E118)))</formula>
    </cfRule>
    <cfRule type="containsText" dxfId="776" priority="844" operator="containsText" text="In Danger of Falling Behind Target">
      <formula>NOT(ISERROR(SEARCH("In Danger of Falling Behind Target",E118)))</formula>
    </cfRule>
    <cfRule type="containsText" dxfId="775" priority="845" operator="containsText" text="Not yet due">
      <formula>NOT(ISERROR(SEARCH("Not yet due",E118)))</formula>
    </cfRule>
    <cfRule type="containsText" dxfId="774" priority="846" operator="containsText" text="Completed Behind Schedule">
      <formula>NOT(ISERROR(SEARCH("Completed Behind Schedule",E118)))</formula>
    </cfRule>
    <cfRule type="containsText" dxfId="773" priority="847" operator="containsText" text="Off Target">
      <formula>NOT(ISERROR(SEARCH("Off Target",E118)))</formula>
    </cfRule>
    <cfRule type="containsText" dxfId="772" priority="848" operator="containsText" text="In Danger of Falling Behind Target">
      <formula>NOT(ISERROR(SEARCH("In Danger of Falling Behind Target",E118)))</formula>
    </cfRule>
    <cfRule type="containsText" dxfId="771" priority="849" operator="containsText" text="On Track to be Achieved">
      <formula>NOT(ISERROR(SEARCH("On Track to be Achieved",E118)))</formula>
    </cfRule>
    <cfRule type="containsText" dxfId="770" priority="850" operator="containsText" text="Fully Achieved">
      <formula>NOT(ISERROR(SEARCH("Fully Achieved",E118)))</formula>
    </cfRule>
    <cfRule type="containsText" dxfId="769" priority="851" operator="containsText" text="Update not Provided">
      <formula>NOT(ISERROR(SEARCH("Update not Provided",E118)))</formula>
    </cfRule>
    <cfRule type="containsText" dxfId="768" priority="852" operator="containsText" text="Not yet due">
      <formula>NOT(ISERROR(SEARCH("Not yet due",E118)))</formula>
    </cfRule>
    <cfRule type="containsText" dxfId="767" priority="853" operator="containsText" text="Completed Behind Schedule">
      <formula>NOT(ISERROR(SEARCH("Completed Behind Schedule",E118)))</formula>
    </cfRule>
    <cfRule type="containsText" dxfId="766" priority="854" operator="containsText" text="Off Target">
      <formula>NOT(ISERROR(SEARCH("Off Target",E118)))</formula>
    </cfRule>
    <cfRule type="containsText" dxfId="765" priority="855" operator="containsText" text="In Danger of Falling Behind Target">
      <formula>NOT(ISERROR(SEARCH("In Danger of Falling Behind Target",E118)))</formula>
    </cfRule>
    <cfRule type="containsText" dxfId="764" priority="856" operator="containsText" text="On Track to be Achieved">
      <formula>NOT(ISERROR(SEARCH("On Track to be Achieved",E118)))</formula>
    </cfRule>
    <cfRule type="containsText" dxfId="763" priority="857" operator="containsText" text="Fully Achieved">
      <formula>NOT(ISERROR(SEARCH("Fully Achieved",E118)))</formula>
    </cfRule>
    <cfRule type="containsText" dxfId="762" priority="858" operator="containsText" text="Fully Achieved">
      <formula>NOT(ISERROR(SEARCH("Fully Achieved",E118)))</formula>
    </cfRule>
    <cfRule type="containsText" dxfId="761" priority="859" operator="containsText" text="Fully Achieved">
      <formula>NOT(ISERROR(SEARCH("Fully Achieved",E118)))</formula>
    </cfRule>
    <cfRule type="containsText" dxfId="760" priority="860" operator="containsText" text="Deferred">
      <formula>NOT(ISERROR(SEARCH("Deferred",E118)))</formula>
    </cfRule>
    <cfRule type="containsText" dxfId="759" priority="861" operator="containsText" text="Deleted">
      <formula>NOT(ISERROR(SEARCH("Deleted",E118)))</formula>
    </cfRule>
    <cfRule type="containsText" dxfId="758" priority="862" operator="containsText" text="In Danger of Falling Behind Target">
      <formula>NOT(ISERROR(SEARCH("In Danger of Falling Behind Target",E118)))</formula>
    </cfRule>
    <cfRule type="containsText" dxfId="757" priority="863" operator="containsText" text="Not yet due">
      <formula>NOT(ISERROR(SEARCH("Not yet due",E118)))</formula>
    </cfRule>
    <cfRule type="containsText" dxfId="756" priority="864" operator="containsText" text="Update not Provided">
      <formula>NOT(ISERROR(SEARCH("Update not Provided",E118)))</formula>
    </cfRule>
  </conditionalFormatting>
  <conditionalFormatting sqref="E124">
    <cfRule type="containsText" dxfId="755" priority="793" operator="containsText" text="On track to be achieved">
      <formula>NOT(ISERROR(SEARCH("On track to be achieved",E124)))</formula>
    </cfRule>
    <cfRule type="containsText" dxfId="754" priority="794" operator="containsText" text="Deferred">
      <formula>NOT(ISERROR(SEARCH("Deferred",E124)))</formula>
    </cfRule>
    <cfRule type="containsText" dxfId="753" priority="795" operator="containsText" text="Deleted">
      <formula>NOT(ISERROR(SEARCH("Deleted",E124)))</formula>
    </cfRule>
    <cfRule type="containsText" dxfId="752" priority="796" operator="containsText" text="In Danger of Falling Behind Target">
      <formula>NOT(ISERROR(SEARCH("In Danger of Falling Behind Target",E124)))</formula>
    </cfRule>
    <cfRule type="containsText" dxfId="751" priority="797" operator="containsText" text="Not yet due">
      <formula>NOT(ISERROR(SEARCH("Not yet due",E124)))</formula>
    </cfRule>
    <cfRule type="containsText" dxfId="750" priority="798" operator="containsText" text="Update not Provided">
      <formula>NOT(ISERROR(SEARCH("Update not Provided",E124)))</formula>
    </cfRule>
    <cfRule type="containsText" dxfId="749" priority="799" operator="containsText" text="Not yet due">
      <formula>NOT(ISERROR(SEARCH("Not yet due",E124)))</formula>
    </cfRule>
    <cfRule type="containsText" dxfId="748" priority="800" operator="containsText" text="Completed Behind Schedule">
      <formula>NOT(ISERROR(SEARCH("Completed Behind Schedule",E124)))</formula>
    </cfRule>
    <cfRule type="containsText" dxfId="747" priority="801" operator="containsText" text="Off Target">
      <formula>NOT(ISERROR(SEARCH("Off Target",E124)))</formula>
    </cfRule>
    <cfRule type="containsText" dxfId="746" priority="802" operator="containsText" text="On Track to be Achieved">
      <formula>NOT(ISERROR(SEARCH("On Track to be Achieved",E124)))</formula>
    </cfRule>
    <cfRule type="containsText" dxfId="745" priority="803" operator="containsText" text="Fully Achieved">
      <formula>NOT(ISERROR(SEARCH("Fully Achieved",E124)))</formula>
    </cfRule>
    <cfRule type="containsText" dxfId="744" priority="804" operator="containsText" text="Not yet due">
      <formula>NOT(ISERROR(SEARCH("Not yet due",E124)))</formula>
    </cfRule>
    <cfRule type="containsText" dxfId="743" priority="805" operator="containsText" text="Not Yet Due">
      <formula>NOT(ISERROR(SEARCH("Not Yet Due",E124)))</formula>
    </cfRule>
    <cfRule type="containsText" dxfId="742" priority="806" operator="containsText" text="Deferred">
      <formula>NOT(ISERROR(SEARCH("Deferred",E124)))</formula>
    </cfRule>
    <cfRule type="containsText" dxfId="741" priority="807" operator="containsText" text="Deleted">
      <formula>NOT(ISERROR(SEARCH("Deleted",E124)))</formula>
    </cfRule>
    <cfRule type="containsText" dxfId="740" priority="808" operator="containsText" text="In Danger of Falling Behind Target">
      <formula>NOT(ISERROR(SEARCH("In Danger of Falling Behind Target",E124)))</formula>
    </cfRule>
    <cfRule type="containsText" dxfId="739" priority="809" operator="containsText" text="Not yet due">
      <formula>NOT(ISERROR(SEARCH("Not yet due",E124)))</formula>
    </cfRule>
    <cfRule type="containsText" dxfId="738" priority="810" operator="containsText" text="Completed Behind Schedule">
      <formula>NOT(ISERROR(SEARCH("Completed Behind Schedule",E124)))</formula>
    </cfRule>
    <cfRule type="containsText" dxfId="737" priority="811" operator="containsText" text="Off Target">
      <formula>NOT(ISERROR(SEARCH("Off Target",E124)))</formula>
    </cfRule>
    <cfRule type="containsText" dxfId="736" priority="812" operator="containsText" text="In Danger of Falling Behind Target">
      <formula>NOT(ISERROR(SEARCH("In Danger of Falling Behind Target",E124)))</formula>
    </cfRule>
    <cfRule type="containsText" dxfId="735" priority="813" operator="containsText" text="On Track to be Achieved">
      <formula>NOT(ISERROR(SEARCH("On Track to be Achieved",E124)))</formula>
    </cfRule>
    <cfRule type="containsText" dxfId="734" priority="814" operator="containsText" text="Fully Achieved">
      <formula>NOT(ISERROR(SEARCH("Fully Achieved",E124)))</formula>
    </cfRule>
    <cfRule type="containsText" dxfId="733" priority="815" operator="containsText" text="Update not Provided">
      <formula>NOT(ISERROR(SEARCH("Update not Provided",E124)))</formula>
    </cfRule>
    <cfRule type="containsText" dxfId="732" priority="816" operator="containsText" text="Not yet due">
      <formula>NOT(ISERROR(SEARCH("Not yet due",E124)))</formula>
    </cfRule>
    <cfRule type="containsText" dxfId="731" priority="817" operator="containsText" text="Completed Behind Schedule">
      <formula>NOT(ISERROR(SEARCH("Completed Behind Schedule",E124)))</formula>
    </cfRule>
    <cfRule type="containsText" dxfId="730" priority="818" operator="containsText" text="Off Target">
      <formula>NOT(ISERROR(SEARCH("Off Target",E124)))</formula>
    </cfRule>
    <cfRule type="containsText" dxfId="729" priority="819" operator="containsText" text="In Danger of Falling Behind Target">
      <formula>NOT(ISERROR(SEARCH("In Danger of Falling Behind Target",E124)))</formula>
    </cfRule>
    <cfRule type="containsText" dxfId="728" priority="820" operator="containsText" text="On Track to be Achieved">
      <formula>NOT(ISERROR(SEARCH("On Track to be Achieved",E124)))</formula>
    </cfRule>
    <cfRule type="containsText" dxfId="727" priority="821" operator="containsText" text="Fully Achieved">
      <formula>NOT(ISERROR(SEARCH("Fully Achieved",E124)))</formula>
    </cfRule>
    <cfRule type="containsText" dxfId="726" priority="822" operator="containsText" text="Fully Achieved">
      <formula>NOT(ISERROR(SEARCH("Fully Achieved",E124)))</formula>
    </cfRule>
    <cfRule type="containsText" dxfId="725" priority="823" operator="containsText" text="Fully Achieved">
      <formula>NOT(ISERROR(SEARCH("Fully Achieved",E124)))</formula>
    </cfRule>
    <cfRule type="containsText" dxfId="724" priority="824" operator="containsText" text="Deferred">
      <formula>NOT(ISERROR(SEARCH("Deferred",E124)))</formula>
    </cfRule>
    <cfRule type="containsText" dxfId="723" priority="825" operator="containsText" text="Deleted">
      <formula>NOT(ISERROR(SEARCH("Deleted",E124)))</formula>
    </cfRule>
    <cfRule type="containsText" dxfId="722" priority="826" operator="containsText" text="In Danger of Falling Behind Target">
      <formula>NOT(ISERROR(SEARCH("In Danger of Falling Behind Target",E124)))</formula>
    </cfRule>
    <cfRule type="containsText" dxfId="721" priority="827" operator="containsText" text="Not yet due">
      <formula>NOT(ISERROR(SEARCH("Not yet due",E124)))</formula>
    </cfRule>
    <cfRule type="containsText" dxfId="720" priority="828" operator="containsText" text="Update not Provided">
      <formula>NOT(ISERROR(SEARCH("Update not Provided",E124)))</formula>
    </cfRule>
  </conditionalFormatting>
  <conditionalFormatting sqref="E126">
    <cfRule type="containsText" dxfId="719" priority="757" operator="containsText" text="On track to be achieved">
      <formula>NOT(ISERROR(SEARCH("On track to be achieved",E126)))</formula>
    </cfRule>
    <cfRule type="containsText" dxfId="718" priority="758" operator="containsText" text="Deferred">
      <formula>NOT(ISERROR(SEARCH("Deferred",E126)))</formula>
    </cfRule>
    <cfRule type="containsText" dxfId="717" priority="759" operator="containsText" text="Deleted">
      <formula>NOT(ISERROR(SEARCH("Deleted",E126)))</formula>
    </cfRule>
    <cfRule type="containsText" dxfId="716" priority="760" operator="containsText" text="In Danger of Falling Behind Target">
      <formula>NOT(ISERROR(SEARCH("In Danger of Falling Behind Target",E126)))</formula>
    </cfRule>
    <cfRule type="containsText" dxfId="715" priority="761" operator="containsText" text="Not yet due">
      <formula>NOT(ISERROR(SEARCH("Not yet due",E126)))</formula>
    </cfRule>
    <cfRule type="containsText" dxfId="714" priority="762" operator="containsText" text="Update not Provided">
      <formula>NOT(ISERROR(SEARCH("Update not Provided",E126)))</formula>
    </cfRule>
    <cfRule type="containsText" dxfId="713" priority="763" operator="containsText" text="Not yet due">
      <formula>NOT(ISERROR(SEARCH("Not yet due",E126)))</formula>
    </cfRule>
    <cfRule type="containsText" dxfId="712" priority="764" operator="containsText" text="Completed Behind Schedule">
      <formula>NOT(ISERROR(SEARCH("Completed Behind Schedule",E126)))</formula>
    </cfRule>
    <cfRule type="containsText" dxfId="711" priority="765" operator="containsText" text="Off Target">
      <formula>NOT(ISERROR(SEARCH("Off Target",E126)))</formula>
    </cfRule>
    <cfRule type="containsText" dxfId="710" priority="766" operator="containsText" text="On Track to be Achieved">
      <formula>NOT(ISERROR(SEARCH("On Track to be Achieved",E126)))</formula>
    </cfRule>
    <cfRule type="containsText" dxfId="709" priority="767" operator="containsText" text="Fully Achieved">
      <formula>NOT(ISERROR(SEARCH("Fully Achieved",E126)))</formula>
    </cfRule>
    <cfRule type="containsText" dxfId="708" priority="768" operator="containsText" text="Not yet due">
      <formula>NOT(ISERROR(SEARCH("Not yet due",E126)))</formula>
    </cfRule>
    <cfRule type="containsText" dxfId="707" priority="769" operator="containsText" text="Not Yet Due">
      <formula>NOT(ISERROR(SEARCH("Not Yet Due",E126)))</formula>
    </cfRule>
    <cfRule type="containsText" dxfId="706" priority="770" operator="containsText" text="Deferred">
      <formula>NOT(ISERROR(SEARCH("Deferred",E126)))</formula>
    </cfRule>
    <cfRule type="containsText" dxfId="705" priority="771" operator="containsText" text="Deleted">
      <formula>NOT(ISERROR(SEARCH("Deleted",E126)))</formula>
    </cfRule>
    <cfRule type="containsText" dxfId="704" priority="772" operator="containsText" text="In Danger of Falling Behind Target">
      <formula>NOT(ISERROR(SEARCH("In Danger of Falling Behind Target",E126)))</formula>
    </cfRule>
    <cfRule type="containsText" dxfId="703" priority="773" operator="containsText" text="Not yet due">
      <formula>NOT(ISERROR(SEARCH("Not yet due",E126)))</formula>
    </cfRule>
    <cfRule type="containsText" dxfId="702" priority="774" operator="containsText" text="Completed Behind Schedule">
      <formula>NOT(ISERROR(SEARCH("Completed Behind Schedule",E126)))</formula>
    </cfRule>
    <cfRule type="containsText" dxfId="701" priority="775" operator="containsText" text="Off Target">
      <formula>NOT(ISERROR(SEARCH("Off Target",E126)))</formula>
    </cfRule>
    <cfRule type="containsText" dxfId="700" priority="776" operator="containsText" text="In Danger of Falling Behind Target">
      <formula>NOT(ISERROR(SEARCH("In Danger of Falling Behind Target",E126)))</formula>
    </cfRule>
    <cfRule type="containsText" dxfId="699" priority="777" operator="containsText" text="On Track to be Achieved">
      <formula>NOT(ISERROR(SEARCH("On Track to be Achieved",E126)))</formula>
    </cfRule>
    <cfRule type="containsText" dxfId="698" priority="778" operator="containsText" text="Fully Achieved">
      <formula>NOT(ISERROR(SEARCH("Fully Achieved",E126)))</formula>
    </cfRule>
    <cfRule type="containsText" dxfId="697" priority="779" operator="containsText" text="Update not Provided">
      <formula>NOT(ISERROR(SEARCH("Update not Provided",E126)))</formula>
    </cfRule>
    <cfRule type="containsText" dxfId="696" priority="780" operator="containsText" text="Not yet due">
      <formula>NOT(ISERROR(SEARCH("Not yet due",E126)))</formula>
    </cfRule>
    <cfRule type="containsText" dxfId="695" priority="781" operator="containsText" text="Completed Behind Schedule">
      <formula>NOT(ISERROR(SEARCH("Completed Behind Schedule",E126)))</formula>
    </cfRule>
    <cfRule type="containsText" dxfId="694" priority="782" operator="containsText" text="Off Target">
      <formula>NOT(ISERROR(SEARCH("Off Target",E126)))</formula>
    </cfRule>
    <cfRule type="containsText" dxfId="693" priority="783" operator="containsText" text="In Danger of Falling Behind Target">
      <formula>NOT(ISERROR(SEARCH("In Danger of Falling Behind Target",E126)))</formula>
    </cfRule>
    <cfRule type="containsText" dxfId="692" priority="784" operator="containsText" text="On Track to be Achieved">
      <formula>NOT(ISERROR(SEARCH("On Track to be Achieved",E126)))</formula>
    </cfRule>
    <cfRule type="containsText" dxfId="691" priority="785" operator="containsText" text="Fully Achieved">
      <formula>NOT(ISERROR(SEARCH("Fully Achieved",E126)))</formula>
    </cfRule>
    <cfRule type="containsText" dxfId="690" priority="786" operator="containsText" text="Fully Achieved">
      <formula>NOT(ISERROR(SEARCH("Fully Achieved",E126)))</formula>
    </cfRule>
    <cfRule type="containsText" dxfId="689" priority="787" operator="containsText" text="Fully Achieved">
      <formula>NOT(ISERROR(SEARCH("Fully Achieved",E126)))</formula>
    </cfRule>
    <cfRule type="containsText" dxfId="688" priority="788" operator="containsText" text="Deferred">
      <formula>NOT(ISERROR(SEARCH("Deferred",E126)))</formula>
    </cfRule>
    <cfRule type="containsText" dxfId="687" priority="789" operator="containsText" text="Deleted">
      <formula>NOT(ISERROR(SEARCH("Deleted",E126)))</formula>
    </cfRule>
    <cfRule type="containsText" dxfId="686" priority="790" operator="containsText" text="In Danger of Falling Behind Target">
      <formula>NOT(ISERROR(SEARCH("In Danger of Falling Behind Target",E126)))</formula>
    </cfRule>
    <cfRule type="containsText" dxfId="685" priority="791" operator="containsText" text="Not yet due">
      <formula>NOT(ISERROR(SEARCH("Not yet due",E126)))</formula>
    </cfRule>
    <cfRule type="containsText" dxfId="684" priority="792" operator="containsText" text="Update not Provided">
      <formula>NOT(ISERROR(SEARCH("Update not Provided",E126)))</formula>
    </cfRule>
  </conditionalFormatting>
  <conditionalFormatting sqref="E8">
    <cfRule type="containsText" dxfId="683" priority="721" operator="containsText" text="On track to be achieved">
      <formula>NOT(ISERROR(SEARCH("On track to be achieved",E8)))</formula>
    </cfRule>
    <cfRule type="containsText" dxfId="682" priority="722" operator="containsText" text="Deferred">
      <formula>NOT(ISERROR(SEARCH("Deferred",E8)))</formula>
    </cfRule>
    <cfRule type="containsText" dxfId="681" priority="723" operator="containsText" text="Deleted">
      <formula>NOT(ISERROR(SEARCH("Deleted",E8)))</formula>
    </cfRule>
    <cfRule type="containsText" dxfId="680" priority="724" operator="containsText" text="In Danger of Falling Behind Target">
      <formula>NOT(ISERROR(SEARCH("In Danger of Falling Behind Target",E8)))</formula>
    </cfRule>
    <cfRule type="containsText" dxfId="679" priority="725" operator="containsText" text="Not yet due">
      <formula>NOT(ISERROR(SEARCH("Not yet due",E8)))</formula>
    </cfRule>
    <cfRule type="containsText" dxfId="678" priority="726" operator="containsText" text="Update not Provided">
      <formula>NOT(ISERROR(SEARCH("Update not Provided",E8)))</formula>
    </cfRule>
    <cfRule type="containsText" dxfId="677" priority="727" operator="containsText" text="Not yet due">
      <formula>NOT(ISERROR(SEARCH("Not yet due",E8)))</formula>
    </cfRule>
    <cfRule type="containsText" dxfId="676" priority="728" operator="containsText" text="Completed Behind Schedule">
      <formula>NOT(ISERROR(SEARCH("Completed Behind Schedule",E8)))</formula>
    </cfRule>
    <cfRule type="containsText" dxfId="675" priority="729" operator="containsText" text="Off Target">
      <formula>NOT(ISERROR(SEARCH("Off Target",E8)))</formula>
    </cfRule>
    <cfRule type="containsText" dxfId="674" priority="730" operator="containsText" text="On Track to be Achieved">
      <formula>NOT(ISERROR(SEARCH("On Track to be Achieved",E8)))</formula>
    </cfRule>
    <cfRule type="containsText" dxfId="673" priority="731" operator="containsText" text="Fully Achieved">
      <formula>NOT(ISERROR(SEARCH("Fully Achieved",E8)))</formula>
    </cfRule>
    <cfRule type="containsText" dxfId="672" priority="732" operator="containsText" text="Not yet due">
      <formula>NOT(ISERROR(SEARCH("Not yet due",E8)))</formula>
    </cfRule>
    <cfRule type="containsText" dxfId="671" priority="733" operator="containsText" text="Not Yet Due">
      <formula>NOT(ISERROR(SEARCH("Not Yet Due",E8)))</formula>
    </cfRule>
    <cfRule type="containsText" dxfId="670" priority="734" operator="containsText" text="Deferred">
      <formula>NOT(ISERROR(SEARCH("Deferred",E8)))</formula>
    </cfRule>
    <cfRule type="containsText" dxfId="669" priority="735" operator="containsText" text="Deleted">
      <formula>NOT(ISERROR(SEARCH("Deleted",E8)))</formula>
    </cfRule>
    <cfRule type="containsText" dxfId="668" priority="736" operator="containsText" text="In Danger of Falling Behind Target">
      <formula>NOT(ISERROR(SEARCH("In Danger of Falling Behind Target",E8)))</formula>
    </cfRule>
    <cfRule type="containsText" dxfId="667" priority="737" operator="containsText" text="Not yet due">
      <formula>NOT(ISERROR(SEARCH("Not yet due",E8)))</formula>
    </cfRule>
    <cfRule type="containsText" dxfId="666" priority="738" operator="containsText" text="Completed Behind Schedule">
      <formula>NOT(ISERROR(SEARCH("Completed Behind Schedule",E8)))</formula>
    </cfRule>
    <cfRule type="containsText" dxfId="665" priority="739" operator="containsText" text="Off Target">
      <formula>NOT(ISERROR(SEARCH("Off Target",E8)))</formula>
    </cfRule>
    <cfRule type="containsText" dxfId="664" priority="740" operator="containsText" text="In Danger of Falling Behind Target">
      <formula>NOT(ISERROR(SEARCH("In Danger of Falling Behind Target",E8)))</formula>
    </cfRule>
    <cfRule type="containsText" dxfId="663" priority="741" operator="containsText" text="On Track to be Achieved">
      <formula>NOT(ISERROR(SEARCH("On Track to be Achieved",E8)))</formula>
    </cfRule>
    <cfRule type="containsText" dxfId="662" priority="742" operator="containsText" text="Fully Achieved">
      <formula>NOT(ISERROR(SEARCH("Fully Achieved",E8)))</formula>
    </cfRule>
    <cfRule type="containsText" dxfId="661" priority="743" operator="containsText" text="Update not Provided">
      <formula>NOT(ISERROR(SEARCH("Update not Provided",E8)))</formula>
    </cfRule>
    <cfRule type="containsText" dxfId="660" priority="744" operator="containsText" text="Not yet due">
      <formula>NOT(ISERROR(SEARCH("Not yet due",E8)))</formula>
    </cfRule>
    <cfRule type="containsText" dxfId="659" priority="745" operator="containsText" text="Completed Behind Schedule">
      <formula>NOT(ISERROR(SEARCH("Completed Behind Schedule",E8)))</formula>
    </cfRule>
    <cfRule type="containsText" dxfId="658" priority="746" operator="containsText" text="Off Target">
      <formula>NOT(ISERROR(SEARCH("Off Target",E8)))</formula>
    </cfRule>
    <cfRule type="containsText" dxfId="657" priority="747" operator="containsText" text="In Danger of Falling Behind Target">
      <formula>NOT(ISERROR(SEARCH("In Danger of Falling Behind Target",E8)))</formula>
    </cfRule>
    <cfRule type="containsText" dxfId="656" priority="748" operator="containsText" text="On Track to be Achieved">
      <formula>NOT(ISERROR(SEARCH("On Track to be Achieved",E8)))</formula>
    </cfRule>
    <cfRule type="containsText" dxfId="655" priority="749" operator="containsText" text="Fully Achieved">
      <formula>NOT(ISERROR(SEARCH("Fully Achieved",E8)))</formula>
    </cfRule>
    <cfRule type="containsText" dxfId="654" priority="750" operator="containsText" text="Fully Achieved">
      <formula>NOT(ISERROR(SEARCH("Fully Achieved",E8)))</formula>
    </cfRule>
    <cfRule type="containsText" dxfId="653" priority="751" operator="containsText" text="Fully Achieved">
      <formula>NOT(ISERROR(SEARCH("Fully Achieved",E8)))</formula>
    </cfRule>
    <cfRule type="containsText" dxfId="652" priority="752" operator="containsText" text="Deferred">
      <formula>NOT(ISERROR(SEARCH("Deferred",E8)))</formula>
    </cfRule>
    <cfRule type="containsText" dxfId="651" priority="753" operator="containsText" text="Deleted">
      <formula>NOT(ISERROR(SEARCH("Deleted",E8)))</formula>
    </cfRule>
    <cfRule type="containsText" dxfId="650" priority="754" operator="containsText" text="In Danger of Falling Behind Target">
      <formula>NOT(ISERROR(SEARCH("In Danger of Falling Behind Target",E8)))</formula>
    </cfRule>
    <cfRule type="containsText" dxfId="649" priority="755" operator="containsText" text="Not yet due">
      <formula>NOT(ISERROR(SEARCH("Not yet due",E8)))</formula>
    </cfRule>
    <cfRule type="containsText" dxfId="648" priority="756" operator="containsText" text="Update not Provided">
      <formula>NOT(ISERROR(SEARCH("Update not Provided",E8)))</formula>
    </cfRule>
  </conditionalFormatting>
  <conditionalFormatting sqref="G9">
    <cfRule type="containsText" dxfId="647" priority="649" operator="containsText" text="On track to be achieved">
      <formula>NOT(ISERROR(SEARCH("On track to be achieved",G9)))</formula>
    </cfRule>
    <cfRule type="containsText" dxfId="646" priority="650" operator="containsText" text="Deferred">
      <formula>NOT(ISERROR(SEARCH("Deferred",G9)))</formula>
    </cfRule>
    <cfRule type="containsText" dxfId="645" priority="651" operator="containsText" text="Deleted">
      <formula>NOT(ISERROR(SEARCH("Deleted",G9)))</formula>
    </cfRule>
    <cfRule type="containsText" dxfId="644" priority="652" operator="containsText" text="In Danger of Falling Behind Target">
      <formula>NOT(ISERROR(SEARCH("In Danger of Falling Behind Target",G9)))</formula>
    </cfRule>
    <cfRule type="containsText" dxfId="643" priority="653" operator="containsText" text="Not yet due">
      <formula>NOT(ISERROR(SEARCH("Not yet due",G9)))</formula>
    </cfRule>
    <cfRule type="containsText" dxfId="642" priority="654" operator="containsText" text="Update not Provided">
      <formula>NOT(ISERROR(SEARCH("Update not Provided",G9)))</formula>
    </cfRule>
    <cfRule type="containsText" dxfId="641" priority="655" operator="containsText" text="Not yet due">
      <formula>NOT(ISERROR(SEARCH("Not yet due",G9)))</formula>
    </cfRule>
    <cfRule type="containsText" dxfId="640" priority="656" operator="containsText" text="Completed Behind Schedule">
      <formula>NOT(ISERROR(SEARCH("Completed Behind Schedule",G9)))</formula>
    </cfRule>
    <cfRule type="containsText" dxfId="639" priority="657" operator="containsText" text="Off Target">
      <formula>NOT(ISERROR(SEARCH("Off Target",G9)))</formula>
    </cfRule>
    <cfRule type="containsText" dxfId="638" priority="658" operator="containsText" text="On Track to be Achieved">
      <formula>NOT(ISERROR(SEARCH("On Track to be Achieved",G9)))</formula>
    </cfRule>
    <cfRule type="containsText" dxfId="637" priority="659" operator="containsText" text="Fully Achieved">
      <formula>NOT(ISERROR(SEARCH("Fully Achieved",G9)))</formula>
    </cfRule>
    <cfRule type="containsText" dxfId="636" priority="660" operator="containsText" text="Not yet due">
      <formula>NOT(ISERROR(SEARCH("Not yet due",G9)))</formula>
    </cfRule>
    <cfRule type="containsText" dxfId="635" priority="661" operator="containsText" text="Not Yet Due">
      <formula>NOT(ISERROR(SEARCH("Not Yet Due",G9)))</formula>
    </cfRule>
    <cfRule type="containsText" dxfId="634" priority="662" operator="containsText" text="Deferred">
      <formula>NOT(ISERROR(SEARCH("Deferred",G9)))</formula>
    </cfRule>
    <cfRule type="containsText" dxfId="633" priority="663" operator="containsText" text="Deleted">
      <formula>NOT(ISERROR(SEARCH("Deleted",G9)))</formula>
    </cfRule>
    <cfRule type="containsText" dxfId="632" priority="664" operator="containsText" text="In Danger of Falling Behind Target">
      <formula>NOT(ISERROR(SEARCH("In Danger of Falling Behind Target",G9)))</formula>
    </cfRule>
    <cfRule type="containsText" dxfId="631" priority="665" operator="containsText" text="Not yet due">
      <formula>NOT(ISERROR(SEARCH("Not yet due",G9)))</formula>
    </cfRule>
    <cfRule type="containsText" dxfId="630" priority="666" operator="containsText" text="Completed Behind Schedule">
      <formula>NOT(ISERROR(SEARCH("Completed Behind Schedule",G9)))</formula>
    </cfRule>
    <cfRule type="containsText" dxfId="629" priority="667" operator="containsText" text="Off Target">
      <formula>NOT(ISERROR(SEARCH("Off Target",G9)))</formula>
    </cfRule>
    <cfRule type="containsText" dxfId="628" priority="668" operator="containsText" text="In Danger of Falling Behind Target">
      <formula>NOT(ISERROR(SEARCH("In Danger of Falling Behind Target",G9)))</formula>
    </cfRule>
    <cfRule type="containsText" dxfId="627" priority="669" operator="containsText" text="On Track to be Achieved">
      <formula>NOT(ISERROR(SEARCH("On Track to be Achieved",G9)))</formula>
    </cfRule>
    <cfRule type="containsText" dxfId="626" priority="670" operator="containsText" text="Fully Achieved">
      <formula>NOT(ISERROR(SEARCH("Fully Achieved",G9)))</formula>
    </cfRule>
    <cfRule type="containsText" dxfId="625" priority="671" operator="containsText" text="Update not Provided">
      <formula>NOT(ISERROR(SEARCH("Update not Provided",G9)))</formula>
    </cfRule>
    <cfRule type="containsText" dxfId="624" priority="672" operator="containsText" text="Not yet due">
      <formula>NOT(ISERROR(SEARCH("Not yet due",G9)))</formula>
    </cfRule>
    <cfRule type="containsText" dxfId="623" priority="673" operator="containsText" text="Completed Behind Schedule">
      <formula>NOT(ISERROR(SEARCH("Completed Behind Schedule",G9)))</formula>
    </cfRule>
    <cfRule type="containsText" dxfId="622" priority="674" operator="containsText" text="Off Target">
      <formula>NOT(ISERROR(SEARCH("Off Target",G9)))</formula>
    </cfRule>
    <cfRule type="containsText" dxfId="621" priority="675" operator="containsText" text="In Danger of Falling Behind Target">
      <formula>NOT(ISERROR(SEARCH("In Danger of Falling Behind Target",G9)))</formula>
    </cfRule>
    <cfRule type="containsText" dxfId="620" priority="676" operator="containsText" text="On Track to be Achieved">
      <formula>NOT(ISERROR(SEARCH("On Track to be Achieved",G9)))</formula>
    </cfRule>
    <cfRule type="containsText" dxfId="619" priority="677" operator="containsText" text="Fully Achieved">
      <formula>NOT(ISERROR(SEARCH("Fully Achieved",G9)))</formula>
    </cfRule>
    <cfRule type="containsText" dxfId="618" priority="678" operator="containsText" text="Fully Achieved">
      <formula>NOT(ISERROR(SEARCH("Fully Achieved",G9)))</formula>
    </cfRule>
    <cfRule type="containsText" dxfId="617" priority="679" operator="containsText" text="Fully Achieved">
      <formula>NOT(ISERROR(SEARCH("Fully Achieved",G9)))</formula>
    </cfRule>
    <cfRule type="containsText" dxfId="616" priority="680" operator="containsText" text="Deferred">
      <formula>NOT(ISERROR(SEARCH("Deferred",G9)))</formula>
    </cfRule>
    <cfRule type="containsText" dxfId="615" priority="681" operator="containsText" text="Deleted">
      <formula>NOT(ISERROR(SEARCH("Deleted",G9)))</formula>
    </cfRule>
    <cfRule type="containsText" dxfId="614" priority="682" operator="containsText" text="In Danger of Falling Behind Target">
      <formula>NOT(ISERROR(SEARCH("In Danger of Falling Behind Target",G9)))</formula>
    </cfRule>
    <cfRule type="containsText" dxfId="613" priority="683" operator="containsText" text="Not yet due">
      <formula>NOT(ISERROR(SEARCH("Not yet due",G9)))</formula>
    </cfRule>
    <cfRule type="containsText" dxfId="612" priority="684" operator="containsText" text="Update not Provided">
      <formula>NOT(ISERROR(SEARCH("Update not Provided",G9)))</formula>
    </cfRule>
  </conditionalFormatting>
  <conditionalFormatting sqref="G4:G7">
    <cfRule type="containsText" dxfId="611" priority="613" operator="containsText" text="On track to be achieved">
      <formula>NOT(ISERROR(SEARCH("On track to be achieved",G4)))</formula>
    </cfRule>
    <cfRule type="containsText" dxfId="610" priority="614" operator="containsText" text="Deferred">
      <formula>NOT(ISERROR(SEARCH("Deferred",G4)))</formula>
    </cfRule>
    <cfRule type="containsText" dxfId="609" priority="615" operator="containsText" text="Deleted">
      <formula>NOT(ISERROR(SEARCH("Deleted",G4)))</formula>
    </cfRule>
    <cfRule type="containsText" dxfId="608" priority="616" operator="containsText" text="In Danger of Falling Behind Target">
      <formula>NOT(ISERROR(SEARCH("In Danger of Falling Behind Target",G4)))</formula>
    </cfRule>
    <cfRule type="containsText" dxfId="607" priority="617" operator="containsText" text="Not yet due">
      <formula>NOT(ISERROR(SEARCH("Not yet due",G4)))</formula>
    </cfRule>
    <cfRule type="containsText" dxfId="606" priority="618" operator="containsText" text="Update not Provided">
      <formula>NOT(ISERROR(SEARCH("Update not Provided",G4)))</formula>
    </cfRule>
    <cfRule type="containsText" dxfId="605" priority="619" operator="containsText" text="Not yet due">
      <formula>NOT(ISERROR(SEARCH("Not yet due",G4)))</formula>
    </cfRule>
    <cfRule type="containsText" dxfId="604" priority="620" operator="containsText" text="Completed Behind Schedule">
      <formula>NOT(ISERROR(SEARCH("Completed Behind Schedule",G4)))</formula>
    </cfRule>
    <cfRule type="containsText" dxfId="603" priority="621" operator="containsText" text="Off Target">
      <formula>NOT(ISERROR(SEARCH("Off Target",G4)))</formula>
    </cfRule>
    <cfRule type="containsText" dxfId="602" priority="622" operator="containsText" text="On Track to be Achieved">
      <formula>NOT(ISERROR(SEARCH("On Track to be Achieved",G4)))</formula>
    </cfRule>
    <cfRule type="containsText" dxfId="601" priority="623" operator="containsText" text="Fully Achieved">
      <formula>NOT(ISERROR(SEARCH("Fully Achieved",G4)))</formula>
    </cfRule>
    <cfRule type="containsText" dxfId="600" priority="624" operator="containsText" text="Not yet due">
      <formula>NOT(ISERROR(SEARCH("Not yet due",G4)))</formula>
    </cfRule>
    <cfRule type="containsText" dxfId="599" priority="625" operator="containsText" text="Not Yet Due">
      <formula>NOT(ISERROR(SEARCH("Not Yet Due",G4)))</formula>
    </cfRule>
    <cfRule type="containsText" dxfId="598" priority="626" operator="containsText" text="Deferred">
      <formula>NOT(ISERROR(SEARCH("Deferred",G4)))</formula>
    </cfRule>
    <cfRule type="containsText" dxfId="597" priority="627" operator="containsText" text="Deleted">
      <formula>NOT(ISERROR(SEARCH("Deleted",G4)))</formula>
    </cfRule>
    <cfRule type="containsText" dxfId="596" priority="628" operator="containsText" text="In Danger of Falling Behind Target">
      <formula>NOT(ISERROR(SEARCH("In Danger of Falling Behind Target",G4)))</formula>
    </cfRule>
    <cfRule type="containsText" dxfId="595" priority="629" operator="containsText" text="Not yet due">
      <formula>NOT(ISERROR(SEARCH("Not yet due",G4)))</formula>
    </cfRule>
    <cfRule type="containsText" dxfId="594" priority="630" operator="containsText" text="Completed Behind Schedule">
      <formula>NOT(ISERROR(SEARCH("Completed Behind Schedule",G4)))</formula>
    </cfRule>
    <cfRule type="containsText" dxfId="593" priority="631" operator="containsText" text="Off Target">
      <formula>NOT(ISERROR(SEARCH("Off Target",G4)))</formula>
    </cfRule>
    <cfRule type="containsText" dxfId="592" priority="632" operator="containsText" text="In Danger of Falling Behind Target">
      <formula>NOT(ISERROR(SEARCH("In Danger of Falling Behind Target",G4)))</formula>
    </cfRule>
    <cfRule type="containsText" dxfId="591" priority="633" operator="containsText" text="On Track to be Achieved">
      <formula>NOT(ISERROR(SEARCH("On Track to be Achieved",G4)))</formula>
    </cfRule>
    <cfRule type="containsText" dxfId="590" priority="634" operator="containsText" text="Fully Achieved">
      <formula>NOT(ISERROR(SEARCH("Fully Achieved",G4)))</formula>
    </cfRule>
    <cfRule type="containsText" dxfId="589" priority="635" operator="containsText" text="Update not Provided">
      <formula>NOT(ISERROR(SEARCH("Update not Provided",G4)))</formula>
    </cfRule>
    <cfRule type="containsText" dxfId="588" priority="636" operator="containsText" text="Not yet due">
      <formula>NOT(ISERROR(SEARCH("Not yet due",G4)))</formula>
    </cfRule>
    <cfRule type="containsText" dxfId="587" priority="637" operator="containsText" text="Completed Behind Schedule">
      <formula>NOT(ISERROR(SEARCH("Completed Behind Schedule",G4)))</formula>
    </cfRule>
    <cfRule type="containsText" dxfId="586" priority="638" operator="containsText" text="Off Target">
      <formula>NOT(ISERROR(SEARCH("Off Target",G4)))</formula>
    </cfRule>
    <cfRule type="containsText" dxfId="585" priority="639" operator="containsText" text="In Danger of Falling Behind Target">
      <formula>NOT(ISERROR(SEARCH("In Danger of Falling Behind Target",G4)))</formula>
    </cfRule>
    <cfRule type="containsText" dxfId="584" priority="640" operator="containsText" text="On Track to be Achieved">
      <formula>NOT(ISERROR(SEARCH("On Track to be Achieved",G4)))</formula>
    </cfRule>
    <cfRule type="containsText" dxfId="583" priority="641" operator="containsText" text="Fully Achieved">
      <formula>NOT(ISERROR(SEARCH("Fully Achieved",G4)))</formula>
    </cfRule>
    <cfRule type="containsText" dxfId="582" priority="642" operator="containsText" text="Fully Achieved">
      <formula>NOT(ISERROR(SEARCH("Fully Achieved",G4)))</formula>
    </cfRule>
    <cfRule type="containsText" dxfId="581" priority="643" operator="containsText" text="Fully Achieved">
      <formula>NOT(ISERROR(SEARCH("Fully Achieved",G4)))</formula>
    </cfRule>
    <cfRule type="containsText" dxfId="580" priority="644" operator="containsText" text="Deferred">
      <formula>NOT(ISERROR(SEARCH("Deferred",G4)))</formula>
    </cfRule>
    <cfRule type="containsText" dxfId="579" priority="645" operator="containsText" text="Deleted">
      <formula>NOT(ISERROR(SEARCH("Deleted",G4)))</formula>
    </cfRule>
    <cfRule type="containsText" dxfId="578" priority="646" operator="containsText" text="In Danger of Falling Behind Target">
      <formula>NOT(ISERROR(SEARCH("In Danger of Falling Behind Target",G4)))</formula>
    </cfRule>
    <cfRule type="containsText" dxfId="577" priority="647" operator="containsText" text="Not yet due">
      <formula>NOT(ISERROR(SEARCH("Not yet due",G4)))</formula>
    </cfRule>
    <cfRule type="containsText" dxfId="576" priority="648" operator="containsText" text="Update not Provided">
      <formula>NOT(ISERROR(SEARCH("Update not Provided",G4)))</formula>
    </cfRule>
  </conditionalFormatting>
  <conditionalFormatting sqref="G13:G19">
    <cfRule type="containsText" dxfId="575" priority="577" operator="containsText" text="On track to be achieved">
      <formula>NOT(ISERROR(SEARCH("On track to be achieved",G13)))</formula>
    </cfRule>
    <cfRule type="containsText" dxfId="574" priority="578" operator="containsText" text="Deferred">
      <formula>NOT(ISERROR(SEARCH("Deferred",G13)))</formula>
    </cfRule>
    <cfRule type="containsText" dxfId="573" priority="579" operator="containsText" text="Deleted">
      <formula>NOT(ISERROR(SEARCH("Deleted",G13)))</formula>
    </cfRule>
    <cfRule type="containsText" dxfId="572" priority="580" operator="containsText" text="In Danger of Falling Behind Target">
      <formula>NOT(ISERROR(SEARCH("In Danger of Falling Behind Target",G13)))</formula>
    </cfRule>
    <cfRule type="containsText" dxfId="571" priority="581" operator="containsText" text="Not yet due">
      <formula>NOT(ISERROR(SEARCH("Not yet due",G13)))</formula>
    </cfRule>
    <cfRule type="containsText" dxfId="570" priority="582" operator="containsText" text="Update not Provided">
      <formula>NOT(ISERROR(SEARCH("Update not Provided",G13)))</formula>
    </cfRule>
    <cfRule type="containsText" dxfId="569" priority="583" operator="containsText" text="Not yet due">
      <formula>NOT(ISERROR(SEARCH("Not yet due",G13)))</formula>
    </cfRule>
    <cfRule type="containsText" dxfId="568" priority="584" operator="containsText" text="Completed Behind Schedule">
      <formula>NOT(ISERROR(SEARCH("Completed Behind Schedule",G13)))</formula>
    </cfRule>
    <cfRule type="containsText" dxfId="567" priority="585" operator="containsText" text="Off Target">
      <formula>NOT(ISERROR(SEARCH("Off Target",G13)))</formula>
    </cfRule>
    <cfRule type="containsText" dxfId="566" priority="586" operator="containsText" text="On Track to be Achieved">
      <formula>NOT(ISERROR(SEARCH("On Track to be Achieved",G13)))</formula>
    </cfRule>
    <cfRule type="containsText" dxfId="565" priority="587" operator="containsText" text="Fully Achieved">
      <formula>NOT(ISERROR(SEARCH("Fully Achieved",G13)))</formula>
    </cfRule>
    <cfRule type="containsText" dxfId="564" priority="588" operator="containsText" text="Not yet due">
      <formula>NOT(ISERROR(SEARCH("Not yet due",G13)))</formula>
    </cfRule>
    <cfRule type="containsText" dxfId="563" priority="589" operator="containsText" text="Not Yet Due">
      <formula>NOT(ISERROR(SEARCH("Not Yet Due",G13)))</formula>
    </cfRule>
    <cfRule type="containsText" dxfId="562" priority="590" operator="containsText" text="Deferred">
      <formula>NOT(ISERROR(SEARCH("Deferred",G13)))</formula>
    </cfRule>
    <cfRule type="containsText" dxfId="561" priority="591" operator="containsText" text="Deleted">
      <formula>NOT(ISERROR(SEARCH("Deleted",G13)))</formula>
    </cfRule>
    <cfRule type="containsText" dxfId="560" priority="592" operator="containsText" text="In Danger of Falling Behind Target">
      <formula>NOT(ISERROR(SEARCH("In Danger of Falling Behind Target",G13)))</formula>
    </cfRule>
    <cfRule type="containsText" dxfId="559" priority="593" operator="containsText" text="Not yet due">
      <formula>NOT(ISERROR(SEARCH("Not yet due",G13)))</formula>
    </cfRule>
    <cfRule type="containsText" dxfId="558" priority="594" operator="containsText" text="Completed Behind Schedule">
      <formula>NOT(ISERROR(SEARCH("Completed Behind Schedule",G13)))</formula>
    </cfRule>
    <cfRule type="containsText" dxfId="557" priority="595" operator="containsText" text="Off Target">
      <formula>NOT(ISERROR(SEARCH("Off Target",G13)))</formula>
    </cfRule>
    <cfRule type="containsText" dxfId="556" priority="596" operator="containsText" text="In Danger of Falling Behind Target">
      <formula>NOT(ISERROR(SEARCH("In Danger of Falling Behind Target",G13)))</formula>
    </cfRule>
    <cfRule type="containsText" dxfId="555" priority="597" operator="containsText" text="On Track to be Achieved">
      <formula>NOT(ISERROR(SEARCH("On Track to be Achieved",G13)))</formula>
    </cfRule>
    <cfRule type="containsText" dxfId="554" priority="598" operator="containsText" text="Fully Achieved">
      <formula>NOT(ISERROR(SEARCH("Fully Achieved",G13)))</formula>
    </cfRule>
    <cfRule type="containsText" dxfId="553" priority="599" operator="containsText" text="Update not Provided">
      <formula>NOT(ISERROR(SEARCH("Update not Provided",G13)))</formula>
    </cfRule>
    <cfRule type="containsText" dxfId="552" priority="600" operator="containsText" text="Not yet due">
      <formula>NOT(ISERROR(SEARCH("Not yet due",G13)))</formula>
    </cfRule>
    <cfRule type="containsText" dxfId="551" priority="601" operator="containsText" text="Completed Behind Schedule">
      <formula>NOT(ISERROR(SEARCH("Completed Behind Schedule",G13)))</formula>
    </cfRule>
    <cfRule type="containsText" dxfId="550" priority="602" operator="containsText" text="Off Target">
      <formula>NOT(ISERROR(SEARCH("Off Target",G13)))</formula>
    </cfRule>
    <cfRule type="containsText" dxfId="549" priority="603" operator="containsText" text="In Danger of Falling Behind Target">
      <formula>NOT(ISERROR(SEARCH("In Danger of Falling Behind Target",G13)))</formula>
    </cfRule>
    <cfRule type="containsText" dxfId="548" priority="604" operator="containsText" text="On Track to be Achieved">
      <formula>NOT(ISERROR(SEARCH("On Track to be Achieved",G13)))</formula>
    </cfRule>
    <cfRule type="containsText" dxfId="547" priority="605" operator="containsText" text="Fully Achieved">
      <formula>NOT(ISERROR(SEARCH("Fully Achieved",G13)))</formula>
    </cfRule>
    <cfRule type="containsText" dxfId="546" priority="606" operator="containsText" text="Fully Achieved">
      <formula>NOT(ISERROR(SEARCH("Fully Achieved",G13)))</formula>
    </cfRule>
    <cfRule type="containsText" dxfId="545" priority="607" operator="containsText" text="Fully Achieved">
      <formula>NOT(ISERROR(SEARCH("Fully Achieved",G13)))</formula>
    </cfRule>
    <cfRule type="containsText" dxfId="544" priority="608" operator="containsText" text="Deferred">
      <formula>NOT(ISERROR(SEARCH("Deferred",G13)))</formula>
    </cfRule>
    <cfRule type="containsText" dxfId="543" priority="609" operator="containsText" text="Deleted">
      <formula>NOT(ISERROR(SEARCH("Deleted",G13)))</formula>
    </cfRule>
    <cfRule type="containsText" dxfId="542" priority="610" operator="containsText" text="In Danger of Falling Behind Target">
      <formula>NOT(ISERROR(SEARCH("In Danger of Falling Behind Target",G13)))</formula>
    </cfRule>
    <cfRule type="containsText" dxfId="541" priority="611" operator="containsText" text="Not yet due">
      <formula>NOT(ISERROR(SEARCH("Not yet due",G13)))</formula>
    </cfRule>
    <cfRule type="containsText" dxfId="540" priority="612" operator="containsText" text="Update not Provided">
      <formula>NOT(ISERROR(SEARCH("Update not Provided",G13)))</formula>
    </cfRule>
  </conditionalFormatting>
  <conditionalFormatting sqref="G22:G27 G30:G32 G34:G35 G37:G39 G41:G42 G44">
    <cfRule type="containsText" dxfId="539" priority="541" operator="containsText" text="On track to be achieved">
      <formula>NOT(ISERROR(SEARCH("On track to be achieved",G22)))</formula>
    </cfRule>
    <cfRule type="containsText" dxfId="538" priority="542" operator="containsText" text="Deferred">
      <formula>NOT(ISERROR(SEARCH("Deferred",G22)))</formula>
    </cfRule>
    <cfRule type="containsText" dxfId="537" priority="543" operator="containsText" text="Deleted">
      <formula>NOT(ISERROR(SEARCH("Deleted",G22)))</formula>
    </cfRule>
    <cfRule type="containsText" dxfId="536" priority="544" operator="containsText" text="In Danger of Falling Behind Target">
      <formula>NOT(ISERROR(SEARCH("In Danger of Falling Behind Target",G22)))</formula>
    </cfRule>
    <cfRule type="containsText" dxfId="535" priority="545" operator="containsText" text="Not yet due">
      <formula>NOT(ISERROR(SEARCH("Not yet due",G22)))</formula>
    </cfRule>
    <cfRule type="containsText" dxfId="534" priority="546" operator="containsText" text="Update not Provided">
      <formula>NOT(ISERROR(SEARCH("Update not Provided",G22)))</formula>
    </cfRule>
    <cfRule type="containsText" dxfId="533" priority="547" operator="containsText" text="Not yet due">
      <formula>NOT(ISERROR(SEARCH("Not yet due",G22)))</formula>
    </cfRule>
    <cfRule type="containsText" dxfId="532" priority="548" operator="containsText" text="Completed Behind Schedule">
      <formula>NOT(ISERROR(SEARCH("Completed Behind Schedule",G22)))</formula>
    </cfRule>
    <cfRule type="containsText" dxfId="531" priority="549" operator="containsText" text="Off Target">
      <formula>NOT(ISERROR(SEARCH("Off Target",G22)))</formula>
    </cfRule>
    <cfRule type="containsText" dxfId="530" priority="550" operator="containsText" text="On Track to be Achieved">
      <formula>NOT(ISERROR(SEARCH("On Track to be Achieved",G22)))</formula>
    </cfRule>
    <cfRule type="containsText" dxfId="529" priority="551" operator="containsText" text="Fully Achieved">
      <formula>NOT(ISERROR(SEARCH("Fully Achieved",G22)))</formula>
    </cfRule>
    <cfRule type="containsText" dxfId="528" priority="552" operator="containsText" text="Not yet due">
      <formula>NOT(ISERROR(SEARCH("Not yet due",G22)))</formula>
    </cfRule>
    <cfRule type="containsText" dxfId="527" priority="553" operator="containsText" text="Not Yet Due">
      <formula>NOT(ISERROR(SEARCH("Not Yet Due",G22)))</formula>
    </cfRule>
    <cfRule type="containsText" dxfId="526" priority="554" operator="containsText" text="Deferred">
      <formula>NOT(ISERROR(SEARCH("Deferred",G22)))</formula>
    </cfRule>
    <cfRule type="containsText" dxfId="525" priority="555" operator="containsText" text="Deleted">
      <formula>NOT(ISERROR(SEARCH("Deleted",G22)))</formula>
    </cfRule>
    <cfRule type="containsText" dxfId="524" priority="556" operator="containsText" text="In Danger of Falling Behind Target">
      <formula>NOT(ISERROR(SEARCH("In Danger of Falling Behind Target",G22)))</formula>
    </cfRule>
    <cfRule type="containsText" dxfId="523" priority="557" operator="containsText" text="Not yet due">
      <formula>NOT(ISERROR(SEARCH("Not yet due",G22)))</formula>
    </cfRule>
    <cfRule type="containsText" dxfId="522" priority="558" operator="containsText" text="Completed Behind Schedule">
      <formula>NOT(ISERROR(SEARCH("Completed Behind Schedule",G22)))</formula>
    </cfRule>
    <cfRule type="containsText" dxfId="521" priority="559" operator="containsText" text="Off Target">
      <formula>NOT(ISERROR(SEARCH("Off Target",G22)))</formula>
    </cfRule>
    <cfRule type="containsText" dxfId="520" priority="560" operator="containsText" text="In Danger of Falling Behind Target">
      <formula>NOT(ISERROR(SEARCH("In Danger of Falling Behind Target",G22)))</formula>
    </cfRule>
    <cfRule type="containsText" dxfId="519" priority="561" operator="containsText" text="On Track to be Achieved">
      <formula>NOT(ISERROR(SEARCH("On Track to be Achieved",G22)))</formula>
    </cfRule>
    <cfRule type="containsText" dxfId="518" priority="562" operator="containsText" text="Fully Achieved">
      <formula>NOT(ISERROR(SEARCH("Fully Achieved",G22)))</formula>
    </cfRule>
    <cfRule type="containsText" dxfId="517" priority="563" operator="containsText" text="Update not Provided">
      <formula>NOT(ISERROR(SEARCH("Update not Provided",G22)))</formula>
    </cfRule>
    <cfRule type="containsText" dxfId="516" priority="564" operator="containsText" text="Not yet due">
      <formula>NOT(ISERROR(SEARCH("Not yet due",G22)))</formula>
    </cfRule>
    <cfRule type="containsText" dxfId="515" priority="565" operator="containsText" text="Completed Behind Schedule">
      <formula>NOT(ISERROR(SEARCH("Completed Behind Schedule",G22)))</formula>
    </cfRule>
    <cfRule type="containsText" dxfId="514" priority="566" operator="containsText" text="Off Target">
      <formula>NOT(ISERROR(SEARCH("Off Target",G22)))</formula>
    </cfRule>
    <cfRule type="containsText" dxfId="513" priority="567" operator="containsText" text="In Danger of Falling Behind Target">
      <formula>NOT(ISERROR(SEARCH("In Danger of Falling Behind Target",G22)))</formula>
    </cfRule>
    <cfRule type="containsText" dxfId="512" priority="568" operator="containsText" text="On Track to be Achieved">
      <formula>NOT(ISERROR(SEARCH("On Track to be Achieved",G22)))</formula>
    </cfRule>
    <cfRule type="containsText" dxfId="511" priority="569" operator="containsText" text="Fully Achieved">
      <formula>NOT(ISERROR(SEARCH("Fully Achieved",G22)))</formula>
    </cfRule>
    <cfRule type="containsText" dxfId="510" priority="570" operator="containsText" text="Fully Achieved">
      <formula>NOT(ISERROR(SEARCH("Fully Achieved",G22)))</formula>
    </cfRule>
    <cfRule type="containsText" dxfId="509" priority="571" operator="containsText" text="Fully Achieved">
      <formula>NOT(ISERROR(SEARCH("Fully Achieved",G22)))</formula>
    </cfRule>
    <cfRule type="containsText" dxfId="508" priority="572" operator="containsText" text="Deferred">
      <formula>NOT(ISERROR(SEARCH("Deferred",G22)))</formula>
    </cfRule>
    <cfRule type="containsText" dxfId="507" priority="573" operator="containsText" text="Deleted">
      <formula>NOT(ISERROR(SEARCH("Deleted",G22)))</formula>
    </cfRule>
    <cfRule type="containsText" dxfId="506" priority="574" operator="containsText" text="In Danger of Falling Behind Target">
      <formula>NOT(ISERROR(SEARCH("In Danger of Falling Behind Target",G22)))</formula>
    </cfRule>
    <cfRule type="containsText" dxfId="505" priority="575" operator="containsText" text="Not yet due">
      <formula>NOT(ISERROR(SEARCH("Not yet due",G22)))</formula>
    </cfRule>
    <cfRule type="containsText" dxfId="504" priority="576" operator="containsText" text="Update not Provided">
      <formula>NOT(ISERROR(SEARCH("Update not Provided",G22)))</formula>
    </cfRule>
  </conditionalFormatting>
  <conditionalFormatting sqref="G46:G51 G53:G57">
    <cfRule type="containsText" dxfId="503" priority="505" operator="containsText" text="On track to be achieved">
      <formula>NOT(ISERROR(SEARCH("On track to be achieved",G46)))</formula>
    </cfRule>
    <cfRule type="containsText" dxfId="502" priority="506" operator="containsText" text="Deferred">
      <formula>NOT(ISERROR(SEARCH("Deferred",G46)))</formula>
    </cfRule>
    <cfRule type="containsText" dxfId="501" priority="507" operator="containsText" text="Deleted">
      <formula>NOT(ISERROR(SEARCH("Deleted",G46)))</formula>
    </cfRule>
    <cfRule type="containsText" dxfId="500" priority="508" operator="containsText" text="In Danger of Falling Behind Target">
      <formula>NOT(ISERROR(SEARCH("In Danger of Falling Behind Target",G46)))</formula>
    </cfRule>
    <cfRule type="containsText" dxfId="499" priority="509" operator="containsText" text="Not yet due">
      <formula>NOT(ISERROR(SEARCH("Not yet due",G46)))</formula>
    </cfRule>
    <cfRule type="containsText" dxfId="498" priority="510" operator="containsText" text="Update not Provided">
      <formula>NOT(ISERROR(SEARCH("Update not Provided",G46)))</formula>
    </cfRule>
    <cfRule type="containsText" dxfId="497" priority="511" operator="containsText" text="Not yet due">
      <formula>NOT(ISERROR(SEARCH("Not yet due",G46)))</formula>
    </cfRule>
    <cfRule type="containsText" dxfId="496" priority="512" operator="containsText" text="Completed Behind Schedule">
      <formula>NOT(ISERROR(SEARCH("Completed Behind Schedule",G46)))</formula>
    </cfRule>
    <cfRule type="containsText" dxfId="495" priority="513" operator="containsText" text="Off Target">
      <formula>NOT(ISERROR(SEARCH("Off Target",G46)))</formula>
    </cfRule>
    <cfRule type="containsText" dxfId="494" priority="514" operator="containsText" text="On Track to be Achieved">
      <formula>NOT(ISERROR(SEARCH("On Track to be Achieved",G46)))</formula>
    </cfRule>
    <cfRule type="containsText" dxfId="493" priority="515" operator="containsText" text="Fully Achieved">
      <formula>NOT(ISERROR(SEARCH("Fully Achieved",G46)))</formula>
    </cfRule>
    <cfRule type="containsText" dxfId="492" priority="516" operator="containsText" text="Not yet due">
      <formula>NOT(ISERROR(SEARCH("Not yet due",G46)))</formula>
    </cfRule>
    <cfRule type="containsText" dxfId="491" priority="517" operator="containsText" text="Not Yet Due">
      <formula>NOT(ISERROR(SEARCH("Not Yet Due",G46)))</formula>
    </cfRule>
    <cfRule type="containsText" dxfId="490" priority="518" operator="containsText" text="Deferred">
      <formula>NOT(ISERROR(SEARCH("Deferred",G46)))</formula>
    </cfRule>
    <cfRule type="containsText" dxfId="489" priority="519" operator="containsText" text="Deleted">
      <formula>NOT(ISERROR(SEARCH("Deleted",G46)))</formula>
    </cfRule>
    <cfRule type="containsText" dxfId="488" priority="520" operator="containsText" text="In Danger of Falling Behind Target">
      <formula>NOT(ISERROR(SEARCH("In Danger of Falling Behind Target",G46)))</formula>
    </cfRule>
    <cfRule type="containsText" dxfId="487" priority="521" operator="containsText" text="Not yet due">
      <formula>NOT(ISERROR(SEARCH("Not yet due",G46)))</formula>
    </cfRule>
    <cfRule type="containsText" dxfId="486" priority="522" operator="containsText" text="Completed Behind Schedule">
      <formula>NOT(ISERROR(SEARCH("Completed Behind Schedule",G46)))</formula>
    </cfRule>
    <cfRule type="containsText" dxfId="485" priority="523" operator="containsText" text="Off Target">
      <formula>NOT(ISERROR(SEARCH("Off Target",G46)))</formula>
    </cfRule>
    <cfRule type="containsText" dxfId="484" priority="524" operator="containsText" text="In Danger of Falling Behind Target">
      <formula>NOT(ISERROR(SEARCH("In Danger of Falling Behind Target",G46)))</formula>
    </cfRule>
    <cfRule type="containsText" dxfId="483" priority="525" operator="containsText" text="On Track to be Achieved">
      <formula>NOT(ISERROR(SEARCH("On Track to be Achieved",G46)))</formula>
    </cfRule>
    <cfRule type="containsText" dxfId="482" priority="526" operator="containsText" text="Fully Achieved">
      <formula>NOT(ISERROR(SEARCH("Fully Achieved",G46)))</formula>
    </cfRule>
    <cfRule type="containsText" dxfId="481" priority="527" operator="containsText" text="Update not Provided">
      <formula>NOT(ISERROR(SEARCH("Update not Provided",G46)))</formula>
    </cfRule>
    <cfRule type="containsText" dxfId="480" priority="528" operator="containsText" text="Not yet due">
      <formula>NOT(ISERROR(SEARCH("Not yet due",G46)))</formula>
    </cfRule>
    <cfRule type="containsText" dxfId="479" priority="529" operator="containsText" text="Completed Behind Schedule">
      <formula>NOT(ISERROR(SEARCH("Completed Behind Schedule",G46)))</formula>
    </cfRule>
    <cfRule type="containsText" dxfId="478" priority="530" operator="containsText" text="Off Target">
      <formula>NOT(ISERROR(SEARCH("Off Target",G46)))</formula>
    </cfRule>
    <cfRule type="containsText" dxfId="477" priority="531" operator="containsText" text="In Danger of Falling Behind Target">
      <formula>NOT(ISERROR(SEARCH("In Danger of Falling Behind Target",G46)))</formula>
    </cfRule>
    <cfRule type="containsText" dxfId="476" priority="532" operator="containsText" text="On Track to be Achieved">
      <formula>NOT(ISERROR(SEARCH("On Track to be Achieved",G46)))</formula>
    </cfRule>
    <cfRule type="containsText" dxfId="475" priority="533" operator="containsText" text="Fully Achieved">
      <formula>NOT(ISERROR(SEARCH("Fully Achieved",G46)))</formula>
    </cfRule>
    <cfRule type="containsText" dxfId="474" priority="534" operator="containsText" text="Fully Achieved">
      <formula>NOT(ISERROR(SEARCH("Fully Achieved",G46)))</formula>
    </cfRule>
    <cfRule type="containsText" dxfId="473" priority="535" operator="containsText" text="Fully Achieved">
      <formula>NOT(ISERROR(SEARCH("Fully Achieved",G46)))</formula>
    </cfRule>
    <cfRule type="containsText" dxfId="472" priority="536" operator="containsText" text="Deferred">
      <formula>NOT(ISERROR(SEARCH("Deferred",G46)))</formula>
    </cfRule>
    <cfRule type="containsText" dxfId="471" priority="537" operator="containsText" text="Deleted">
      <formula>NOT(ISERROR(SEARCH("Deleted",G46)))</formula>
    </cfRule>
    <cfRule type="containsText" dxfId="470" priority="538" operator="containsText" text="In Danger of Falling Behind Target">
      <formula>NOT(ISERROR(SEARCH("In Danger of Falling Behind Target",G46)))</formula>
    </cfRule>
    <cfRule type="containsText" dxfId="469" priority="539" operator="containsText" text="Not yet due">
      <formula>NOT(ISERROR(SEARCH("Not yet due",G46)))</formula>
    </cfRule>
    <cfRule type="containsText" dxfId="468" priority="540" operator="containsText" text="Update not Provided">
      <formula>NOT(ISERROR(SEARCH("Update not Provided",G46)))</formula>
    </cfRule>
  </conditionalFormatting>
  <conditionalFormatting sqref="G61">
    <cfRule type="containsText" dxfId="467" priority="433" operator="containsText" text="On track to be achieved">
      <formula>NOT(ISERROR(SEARCH("On track to be achieved",G61)))</formula>
    </cfRule>
    <cfRule type="containsText" dxfId="466" priority="434" operator="containsText" text="Deferred">
      <formula>NOT(ISERROR(SEARCH("Deferred",G61)))</formula>
    </cfRule>
    <cfRule type="containsText" dxfId="465" priority="435" operator="containsText" text="Deleted">
      <formula>NOT(ISERROR(SEARCH("Deleted",G61)))</formula>
    </cfRule>
    <cfRule type="containsText" dxfId="464" priority="436" operator="containsText" text="In Danger of Falling Behind Target">
      <formula>NOT(ISERROR(SEARCH("In Danger of Falling Behind Target",G61)))</formula>
    </cfRule>
    <cfRule type="containsText" dxfId="463" priority="437" operator="containsText" text="Not yet due">
      <formula>NOT(ISERROR(SEARCH("Not yet due",G61)))</formula>
    </cfRule>
    <cfRule type="containsText" dxfId="462" priority="438" operator="containsText" text="Update not Provided">
      <formula>NOT(ISERROR(SEARCH("Update not Provided",G61)))</formula>
    </cfRule>
    <cfRule type="containsText" dxfId="461" priority="439" operator="containsText" text="Not yet due">
      <formula>NOT(ISERROR(SEARCH("Not yet due",G61)))</formula>
    </cfRule>
    <cfRule type="containsText" dxfId="460" priority="440" operator="containsText" text="Completed Behind Schedule">
      <formula>NOT(ISERROR(SEARCH("Completed Behind Schedule",G61)))</formula>
    </cfRule>
    <cfRule type="containsText" dxfId="459" priority="441" operator="containsText" text="Off Target">
      <formula>NOT(ISERROR(SEARCH("Off Target",G61)))</formula>
    </cfRule>
    <cfRule type="containsText" dxfId="458" priority="442" operator="containsText" text="On Track to be Achieved">
      <formula>NOT(ISERROR(SEARCH("On Track to be Achieved",G61)))</formula>
    </cfRule>
    <cfRule type="containsText" dxfId="457" priority="443" operator="containsText" text="Fully Achieved">
      <formula>NOT(ISERROR(SEARCH("Fully Achieved",G61)))</formula>
    </cfRule>
    <cfRule type="containsText" dxfId="456" priority="444" operator="containsText" text="Not yet due">
      <formula>NOT(ISERROR(SEARCH("Not yet due",G61)))</formula>
    </cfRule>
    <cfRule type="containsText" dxfId="455" priority="445" operator="containsText" text="Not Yet Due">
      <formula>NOT(ISERROR(SEARCH("Not Yet Due",G61)))</formula>
    </cfRule>
    <cfRule type="containsText" dxfId="454" priority="446" operator="containsText" text="Deferred">
      <formula>NOT(ISERROR(SEARCH("Deferred",G61)))</formula>
    </cfRule>
    <cfRule type="containsText" dxfId="453" priority="447" operator="containsText" text="Deleted">
      <formula>NOT(ISERROR(SEARCH("Deleted",G61)))</formula>
    </cfRule>
    <cfRule type="containsText" dxfId="452" priority="448" operator="containsText" text="In Danger of Falling Behind Target">
      <formula>NOT(ISERROR(SEARCH("In Danger of Falling Behind Target",G61)))</formula>
    </cfRule>
    <cfRule type="containsText" dxfId="451" priority="449" operator="containsText" text="Not yet due">
      <formula>NOT(ISERROR(SEARCH("Not yet due",G61)))</formula>
    </cfRule>
    <cfRule type="containsText" dxfId="450" priority="450" operator="containsText" text="Completed Behind Schedule">
      <formula>NOT(ISERROR(SEARCH("Completed Behind Schedule",G61)))</formula>
    </cfRule>
    <cfRule type="containsText" dxfId="449" priority="451" operator="containsText" text="Off Target">
      <formula>NOT(ISERROR(SEARCH("Off Target",G61)))</formula>
    </cfRule>
    <cfRule type="containsText" dxfId="448" priority="452" operator="containsText" text="In Danger of Falling Behind Target">
      <formula>NOT(ISERROR(SEARCH("In Danger of Falling Behind Target",G61)))</formula>
    </cfRule>
    <cfRule type="containsText" dxfId="447" priority="453" operator="containsText" text="On Track to be Achieved">
      <formula>NOT(ISERROR(SEARCH("On Track to be Achieved",G61)))</formula>
    </cfRule>
    <cfRule type="containsText" dxfId="446" priority="454" operator="containsText" text="Fully Achieved">
      <formula>NOT(ISERROR(SEARCH("Fully Achieved",G61)))</formula>
    </cfRule>
    <cfRule type="containsText" dxfId="445" priority="455" operator="containsText" text="Update not Provided">
      <formula>NOT(ISERROR(SEARCH("Update not Provided",G61)))</formula>
    </cfRule>
    <cfRule type="containsText" dxfId="444" priority="456" operator="containsText" text="Not yet due">
      <formula>NOT(ISERROR(SEARCH("Not yet due",G61)))</formula>
    </cfRule>
    <cfRule type="containsText" dxfId="443" priority="457" operator="containsText" text="Completed Behind Schedule">
      <formula>NOT(ISERROR(SEARCH("Completed Behind Schedule",G61)))</formula>
    </cfRule>
    <cfRule type="containsText" dxfId="442" priority="458" operator="containsText" text="Off Target">
      <formula>NOT(ISERROR(SEARCH("Off Target",G61)))</formula>
    </cfRule>
    <cfRule type="containsText" dxfId="441" priority="459" operator="containsText" text="In Danger of Falling Behind Target">
      <formula>NOT(ISERROR(SEARCH("In Danger of Falling Behind Target",G61)))</formula>
    </cfRule>
    <cfRule type="containsText" dxfId="440" priority="460" operator="containsText" text="On Track to be Achieved">
      <formula>NOT(ISERROR(SEARCH("On Track to be Achieved",G61)))</formula>
    </cfRule>
    <cfRule type="containsText" dxfId="439" priority="461" operator="containsText" text="Fully Achieved">
      <formula>NOT(ISERROR(SEARCH("Fully Achieved",G61)))</formula>
    </cfRule>
    <cfRule type="containsText" dxfId="438" priority="462" operator="containsText" text="Fully Achieved">
      <formula>NOT(ISERROR(SEARCH("Fully Achieved",G61)))</formula>
    </cfRule>
    <cfRule type="containsText" dxfId="437" priority="463" operator="containsText" text="Fully Achieved">
      <formula>NOT(ISERROR(SEARCH("Fully Achieved",G61)))</formula>
    </cfRule>
    <cfRule type="containsText" dxfId="436" priority="464" operator="containsText" text="Deferred">
      <formula>NOT(ISERROR(SEARCH("Deferred",G61)))</formula>
    </cfRule>
    <cfRule type="containsText" dxfId="435" priority="465" operator="containsText" text="Deleted">
      <formula>NOT(ISERROR(SEARCH("Deleted",G61)))</formula>
    </cfRule>
    <cfRule type="containsText" dxfId="434" priority="466" operator="containsText" text="In Danger of Falling Behind Target">
      <formula>NOT(ISERROR(SEARCH("In Danger of Falling Behind Target",G61)))</formula>
    </cfRule>
    <cfRule type="containsText" dxfId="433" priority="467" operator="containsText" text="Not yet due">
      <formula>NOT(ISERROR(SEARCH("Not yet due",G61)))</formula>
    </cfRule>
    <cfRule type="containsText" dxfId="432" priority="468" operator="containsText" text="Update not Provided">
      <formula>NOT(ISERROR(SEARCH("Update not Provided",G61)))</formula>
    </cfRule>
  </conditionalFormatting>
  <conditionalFormatting sqref="G64:G67 G69:G73">
    <cfRule type="containsText" dxfId="431" priority="397" operator="containsText" text="On track to be achieved">
      <formula>NOT(ISERROR(SEARCH("On track to be achieved",G64)))</formula>
    </cfRule>
    <cfRule type="containsText" dxfId="430" priority="398" operator="containsText" text="Deferred">
      <formula>NOT(ISERROR(SEARCH("Deferred",G64)))</formula>
    </cfRule>
    <cfRule type="containsText" dxfId="429" priority="399" operator="containsText" text="Deleted">
      <formula>NOT(ISERROR(SEARCH("Deleted",G64)))</formula>
    </cfRule>
    <cfRule type="containsText" dxfId="428" priority="400" operator="containsText" text="In Danger of Falling Behind Target">
      <formula>NOT(ISERROR(SEARCH("In Danger of Falling Behind Target",G64)))</formula>
    </cfRule>
    <cfRule type="containsText" dxfId="427" priority="401" operator="containsText" text="Not yet due">
      <formula>NOT(ISERROR(SEARCH("Not yet due",G64)))</formula>
    </cfRule>
    <cfRule type="containsText" dxfId="426" priority="402" operator="containsText" text="Update not Provided">
      <formula>NOT(ISERROR(SEARCH("Update not Provided",G64)))</formula>
    </cfRule>
    <cfRule type="containsText" dxfId="425" priority="403" operator="containsText" text="Not yet due">
      <formula>NOT(ISERROR(SEARCH("Not yet due",G64)))</formula>
    </cfRule>
    <cfRule type="containsText" dxfId="424" priority="404" operator="containsText" text="Completed Behind Schedule">
      <formula>NOT(ISERROR(SEARCH("Completed Behind Schedule",G64)))</formula>
    </cfRule>
    <cfRule type="containsText" dxfId="423" priority="405" operator="containsText" text="Off Target">
      <formula>NOT(ISERROR(SEARCH("Off Target",G64)))</formula>
    </cfRule>
    <cfRule type="containsText" dxfId="422" priority="406" operator="containsText" text="On Track to be Achieved">
      <formula>NOT(ISERROR(SEARCH("On Track to be Achieved",G64)))</formula>
    </cfRule>
    <cfRule type="containsText" dxfId="421" priority="407" operator="containsText" text="Fully Achieved">
      <formula>NOT(ISERROR(SEARCH("Fully Achieved",G64)))</formula>
    </cfRule>
    <cfRule type="containsText" dxfId="420" priority="408" operator="containsText" text="Not yet due">
      <formula>NOT(ISERROR(SEARCH("Not yet due",G64)))</formula>
    </cfRule>
    <cfRule type="containsText" dxfId="419" priority="409" operator="containsText" text="Not Yet Due">
      <formula>NOT(ISERROR(SEARCH("Not Yet Due",G64)))</formula>
    </cfRule>
    <cfRule type="containsText" dxfId="418" priority="410" operator="containsText" text="Deferred">
      <formula>NOT(ISERROR(SEARCH("Deferred",G64)))</formula>
    </cfRule>
    <cfRule type="containsText" dxfId="417" priority="411" operator="containsText" text="Deleted">
      <formula>NOT(ISERROR(SEARCH("Deleted",G64)))</formula>
    </cfRule>
    <cfRule type="containsText" dxfId="416" priority="412" operator="containsText" text="In Danger of Falling Behind Target">
      <formula>NOT(ISERROR(SEARCH("In Danger of Falling Behind Target",G64)))</formula>
    </cfRule>
    <cfRule type="containsText" dxfId="415" priority="413" operator="containsText" text="Not yet due">
      <formula>NOT(ISERROR(SEARCH("Not yet due",G64)))</formula>
    </cfRule>
    <cfRule type="containsText" dxfId="414" priority="414" operator="containsText" text="Completed Behind Schedule">
      <formula>NOT(ISERROR(SEARCH("Completed Behind Schedule",G64)))</formula>
    </cfRule>
    <cfRule type="containsText" dxfId="413" priority="415" operator="containsText" text="Off Target">
      <formula>NOT(ISERROR(SEARCH("Off Target",G64)))</formula>
    </cfRule>
    <cfRule type="containsText" dxfId="412" priority="416" operator="containsText" text="In Danger of Falling Behind Target">
      <formula>NOT(ISERROR(SEARCH("In Danger of Falling Behind Target",G64)))</formula>
    </cfRule>
    <cfRule type="containsText" dxfId="411" priority="417" operator="containsText" text="On Track to be Achieved">
      <formula>NOT(ISERROR(SEARCH("On Track to be Achieved",G64)))</formula>
    </cfRule>
    <cfRule type="containsText" dxfId="410" priority="418" operator="containsText" text="Fully Achieved">
      <formula>NOT(ISERROR(SEARCH("Fully Achieved",G64)))</formula>
    </cfRule>
    <cfRule type="containsText" dxfId="409" priority="419" operator="containsText" text="Update not Provided">
      <formula>NOT(ISERROR(SEARCH("Update not Provided",G64)))</formula>
    </cfRule>
    <cfRule type="containsText" dxfId="408" priority="420" operator="containsText" text="Not yet due">
      <formula>NOT(ISERROR(SEARCH("Not yet due",G64)))</formula>
    </cfRule>
    <cfRule type="containsText" dxfId="407" priority="421" operator="containsText" text="Completed Behind Schedule">
      <formula>NOT(ISERROR(SEARCH("Completed Behind Schedule",G64)))</formula>
    </cfRule>
    <cfRule type="containsText" dxfId="406" priority="422" operator="containsText" text="Off Target">
      <formula>NOT(ISERROR(SEARCH("Off Target",G64)))</formula>
    </cfRule>
    <cfRule type="containsText" dxfId="405" priority="423" operator="containsText" text="In Danger of Falling Behind Target">
      <formula>NOT(ISERROR(SEARCH("In Danger of Falling Behind Target",G64)))</formula>
    </cfRule>
    <cfRule type="containsText" dxfId="404" priority="424" operator="containsText" text="On Track to be Achieved">
      <formula>NOT(ISERROR(SEARCH("On Track to be Achieved",G64)))</formula>
    </cfRule>
    <cfRule type="containsText" dxfId="403" priority="425" operator="containsText" text="Fully Achieved">
      <formula>NOT(ISERROR(SEARCH("Fully Achieved",G64)))</formula>
    </cfRule>
    <cfRule type="containsText" dxfId="402" priority="426" operator="containsText" text="Fully Achieved">
      <formula>NOT(ISERROR(SEARCH("Fully Achieved",G64)))</formula>
    </cfRule>
    <cfRule type="containsText" dxfId="401" priority="427" operator="containsText" text="Fully Achieved">
      <formula>NOT(ISERROR(SEARCH("Fully Achieved",G64)))</formula>
    </cfRule>
    <cfRule type="containsText" dxfId="400" priority="428" operator="containsText" text="Deferred">
      <formula>NOT(ISERROR(SEARCH("Deferred",G64)))</formula>
    </cfRule>
    <cfRule type="containsText" dxfId="399" priority="429" operator="containsText" text="Deleted">
      <formula>NOT(ISERROR(SEARCH("Deleted",G64)))</formula>
    </cfRule>
    <cfRule type="containsText" dxfId="398" priority="430" operator="containsText" text="In Danger of Falling Behind Target">
      <formula>NOT(ISERROR(SEARCH("In Danger of Falling Behind Target",G64)))</formula>
    </cfRule>
    <cfRule type="containsText" dxfId="397" priority="431" operator="containsText" text="Not yet due">
      <formula>NOT(ISERROR(SEARCH("Not yet due",G64)))</formula>
    </cfRule>
    <cfRule type="containsText" dxfId="396" priority="432" operator="containsText" text="Update not Provided">
      <formula>NOT(ISERROR(SEARCH("Update not Provided",G64)))</formula>
    </cfRule>
  </conditionalFormatting>
  <conditionalFormatting sqref="G75:G76">
    <cfRule type="containsText" dxfId="395" priority="361" operator="containsText" text="On track to be achieved">
      <formula>NOT(ISERROR(SEARCH("On track to be achieved",G75)))</formula>
    </cfRule>
    <cfRule type="containsText" dxfId="394" priority="362" operator="containsText" text="Deferred">
      <formula>NOT(ISERROR(SEARCH("Deferred",G75)))</formula>
    </cfRule>
    <cfRule type="containsText" dxfId="393" priority="363" operator="containsText" text="Deleted">
      <formula>NOT(ISERROR(SEARCH("Deleted",G75)))</formula>
    </cfRule>
    <cfRule type="containsText" dxfId="392" priority="364" operator="containsText" text="In Danger of Falling Behind Target">
      <formula>NOT(ISERROR(SEARCH("In Danger of Falling Behind Target",G75)))</formula>
    </cfRule>
    <cfRule type="containsText" dxfId="391" priority="365" operator="containsText" text="Not yet due">
      <formula>NOT(ISERROR(SEARCH("Not yet due",G75)))</formula>
    </cfRule>
    <cfRule type="containsText" dxfId="390" priority="366" operator="containsText" text="Update not Provided">
      <formula>NOT(ISERROR(SEARCH("Update not Provided",G75)))</formula>
    </cfRule>
    <cfRule type="containsText" dxfId="389" priority="367" operator="containsText" text="Not yet due">
      <formula>NOT(ISERROR(SEARCH("Not yet due",G75)))</formula>
    </cfRule>
    <cfRule type="containsText" dxfId="388" priority="368" operator="containsText" text="Completed Behind Schedule">
      <formula>NOT(ISERROR(SEARCH("Completed Behind Schedule",G75)))</formula>
    </cfRule>
    <cfRule type="containsText" dxfId="387" priority="369" operator="containsText" text="Off Target">
      <formula>NOT(ISERROR(SEARCH("Off Target",G75)))</formula>
    </cfRule>
    <cfRule type="containsText" dxfId="386" priority="370" operator="containsText" text="On Track to be Achieved">
      <formula>NOT(ISERROR(SEARCH("On Track to be Achieved",G75)))</formula>
    </cfRule>
    <cfRule type="containsText" dxfId="385" priority="371" operator="containsText" text="Fully Achieved">
      <formula>NOT(ISERROR(SEARCH("Fully Achieved",G75)))</formula>
    </cfRule>
    <cfRule type="containsText" dxfId="384" priority="372" operator="containsText" text="Not yet due">
      <formula>NOT(ISERROR(SEARCH("Not yet due",G75)))</formula>
    </cfRule>
    <cfRule type="containsText" dxfId="383" priority="373" operator="containsText" text="Not Yet Due">
      <formula>NOT(ISERROR(SEARCH("Not Yet Due",G75)))</formula>
    </cfRule>
    <cfRule type="containsText" dxfId="382" priority="374" operator="containsText" text="Deferred">
      <formula>NOT(ISERROR(SEARCH("Deferred",G75)))</formula>
    </cfRule>
    <cfRule type="containsText" dxfId="381" priority="375" operator="containsText" text="Deleted">
      <formula>NOT(ISERROR(SEARCH("Deleted",G75)))</formula>
    </cfRule>
    <cfRule type="containsText" dxfId="380" priority="376" operator="containsText" text="In Danger of Falling Behind Target">
      <formula>NOT(ISERROR(SEARCH("In Danger of Falling Behind Target",G75)))</formula>
    </cfRule>
    <cfRule type="containsText" dxfId="379" priority="377" operator="containsText" text="Not yet due">
      <formula>NOT(ISERROR(SEARCH("Not yet due",G75)))</formula>
    </cfRule>
    <cfRule type="containsText" dxfId="378" priority="378" operator="containsText" text="Completed Behind Schedule">
      <formula>NOT(ISERROR(SEARCH("Completed Behind Schedule",G75)))</formula>
    </cfRule>
    <cfRule type="containsText" dxfId="377" priority="379" operator="containsText" text="Off Target">
      <formula>NOT(ISERROR(SEARCH("Off Target",G75)))</formula>
    </cfRule>
    <cfRule type="containsText" dxfId="376" priority="380" operator="containsText" text="In Danger of Falling Behind Target">
      <formula>NOT(ISERROR(SEARCH("In Danger of Falling Behind Target",G75)))</formula>
    </cfRule>
    <cfRule type="containsText" dxfId="375" priority="381" operator="containsText" text="On Track to be Achieved">
      <formula>NOT(ISERROR(SEARCH("On Track to be Achieved",G75)))</formula>
    </cfRule>
    <cfRule type="containsText" dxfId="374" priority="382" operator="containsText" text="Fully Achieved">
      <formula>NOT(ISERROR(SEARCH("Fully Achieved",G75)))</formula>
    </cfRule>
    <cfRule type="containsText" dxfId="373" priority="383" operator="containsText" text="Update not Provided">
      <formula>NOT(ISERROR(SEARCH("Update not Provided",G75)))</formula>
    </cfRule>
    <cfRule type="containsText" dxfId="372" priority="384" operator="containsText" text="Not yet due">
      <formula>NOT(ISERROR(SEARCH("Not yet due",G75)))</formula>
    </cfRule>
    <cfRule type="containsText" dxfId="371" priority="385" operator="containsText" text="Completed Behind Schedule">
      <formula>NOT(ISERROR(SEARCH("Completed Behind Schedule",G75)))</formula>
    </cfRule>
    <cfRule type="containsText" dxfId="370" priority="386" operator="containsText" text="Off Target">
      <formula>NOT(ISERROR(SEARCH("Off Target",G75)))</formula>
    </cfRule>
    <cfRule type="containsText" dxfId="369" priority="387" operator="containsText" text="In Danger of Falling Behind Target">
      <formula>NOT(ISERROR(SEARCH("In Danger of Falling Behind Target",G75)))</formula>
    </cfRule>
    <cfRule type="containsText" dxfId="368" priority="388" operator="containsText" text="On Track to be Achieved">
      <formula>NOT(ISERROR(SEARCH("On Track to be Achieved",G75)))</formula>
    </cfRule>
    <cfRule type="containsText" dxfId="367" priority="389" operator="containsText" text="Fully Achieved">
      <formula>NOT(ISERROR(SEARCH("Fully Achieved",G75)))</formula>
    </cfRule>
    <cfRule type="containsText" dxfId="366" priority="390" operator="containsText" text="Fully Achieved">
      <formula>NOT(ISERROR(SEARCH("Fully Achieved",G75)))</formula>
    </cfRule>
    <cfRule type="containsText" dxfId="365" priority="391" operator="containsText" text="Fully Achieved">
      <formula>NOT(ISERROR(SEARCH("Fully Achieved",G75)))</formula>
    </cfRule>
    <cfRule type="containsText" dxfId="364" priority="392" operator="containsText" text="Deferred">
      <formula>NOT(ISERROR(SEARCH("Deferred",G75)))</formula>
    </cfRule>
    <cfRule type="containsText" dxfId="363" priority="393" operator="containsText" text="Deleted">
      <formula>NOT(ISERROR(SEARCH("Deleted",G75)))</formula>
    </cfRule>
    <cfRule type="containsText" dxfId="362" priority="394" operator="containsText" text="In Danger of Falling Behind Target">
      <formula>NOT(ISERROR(SEARCH("In Danger of Falling Behind Target",G75)))</formula>
    </cfRule>
    <cfRule type="containsText" dxfId="361" priority="395" operator="containsText" text="Not yet due">
      <formula>NOT(ISERROR(SEARCH("Not yet due",G75)))</formula>
    </cfRule>
    <cfRule type="containsText" dxfId="360" priority="396" operator="containsText" text="Update not Provided">
      <formula>NOT(ISERROR(SEARCH("Update not Provided",G75)))</formula>
    </cfRule>
  </conditionalFormatting>
  <conditionalFormatting sqref="G78:G79">
    <cfRule type="containsText" dxfId="359" priority="325" operator="containsText" text="On track to be achieved">
      <formula>NOT(ISERROR(SEARCH("On track to be achieved",G78)))</formula>
    </cfRule>
    <cfRule type="containsText" dxfId="358" priority="326" operator="containsText" text="Deferred">
      <formula>NOT(ISERROR(SEARCH("Deferred",G78)))</formula>
    </cfRule>
    <cfRule type="containsText" dxfId="357" priority="327" operator="containsText" text="Deleted">
      <formula>NOT(ISERROR(SEARCH("Deleted",G78)))</formula>
    </cfRule>
    <cfRule type="containsText" dxfId="356" priority="328" operator="containsText" text="In Danger of Falling Behind Target">
      <formula>NOT(ISERROR(SEARCH("In Danger of Falling Behind Target",G78)))</formula>
    </cfRule>
    <cfRule type="containsText" dxfId="355" priority="329" operator="containsText" text="Not yet due">
      <formula>NOT(ISERROR(SEARCH("Not yet due",G78)))</formula>
    </cfRule>
    <cfRule type="containsText" dxfId="354" priority="330" operator="containsText" text="Update not Provided">
      <formula>NOT(ISERROR(SEARCH("Update not Provided",G78)))</formula>
    </cfRule>
    <cfRule type="containsText" dxfId="353" priority="331" operator="containsText" text="Not yet due">
      <formula>NOT(ISERROR(SEARCH("Not yet due",G78)))</formula>
    </cfRule>
    <cfRule type="containsText" dxfId="352" priority="332" operator="containsText" text="Completed Behind Schedule">
      <formula>NOT(ISERROR(SEARCH("Completed Behind Schedule",G78)))</formula>
    </cfRule>
    <cfRule type="containsText" dxfId="351" priority="333" operator="containsText" text="Off Target">
      <formula>NOT(ISERROR(SEARCH("Off Target",G78)))</formula>
    </cfRule>
    <cfRule type="containsText" dxfId="350" priority="334" operator="containsText" text="On Track to be Achieved">
      <formula>NOT(ISERROR(SEARCH("On Track to be Achieved",G78)))</formula>
    </cfRule>
    <cfRule type="containsText" dxfId="349" priority="335" operator="containsText" text="Fully Achieved">
      <formula>NOT(ISERROR(SEARCH("Fully Achieved",G78)))</formula>
    </cfRule>
    <cfRule type="containsText" dxfId="348" priority="336" operator="containsText" text="Not yet due">
      <formula>NOT(ISERROR(SEARCH("Not yet due",G78)))</formula>
    </cfRule>
    <cfRule type="containsText" dxfId="347" priority="337" operator="containsText" text="Not Yet Due">
      <formula>NOT(ISERROR(SEARCH("Not Yet Due",G78)))</formula>
    </cfRule>
    <cfRule type="containsText" dxfId="346" priority="338" operator="containsText" text="Deferred">
      <formula>NOT(ISERROR(SEARCH("Deferred",G78)))</formula>
    </cfRule>
    <cfRule type="containsText" dxfId="345" priority="339" operator="containsText" text="Deleted">
      <formula>NOT(ISERROR(SEARCH("Deleted",G78)))</formula>
    </cfRule>
    <cfRule type="containsText" dxfId="344" priority="340" operator="containsText" text="In Danger of Falling Behind Target">
      <formula>NOT(ISERROR(SEARCH("In Danger of Falling Behind Target",G78)))</formula>
    </cfRule>
    <cfRule type="containsText" dxfId="343" priority="341" operator="containsText" text="Not yet due">
      <formula>NOT(ISERROR(SEARCH("Not yet due",G78)))</formula>
    </cfRule>
    <cfRule type="containsText" dxfId="342" priority="342" operator="containsText" text="Completed Behind Schedule">
      <formula>NOT(ISERROR(SEARCH("Completed Behind Schedule",G78)))</formula>
    </cfRule>
    <cfRule type="containsText" dxfId="341" priority="343" operator="containsText" text="Off Target">
      <formula>NOT(ISERROR(SEARCH("Off Target",G78)))</formula>
    </cfRule>
    <cfRule type="containsText" dxfId="340" priority="344" operator="containsText" text="In Danger of Falling Behind Target">
      <formula>NOT(ISERROR(SEARCH("In Danger of Falling Behind Target",G78)))</formula>
    </cfRule>
    <cfRule type="containsText" dxfId="339" priority="345" operator="containsText" text="On Track to be Achieved">
      <formula>NOT(ISERROR(SEARCH("On Track to be Achieved",G78)))</formula>
    </cfRule>
    <cfRule type="containsText" dxfId="338" priority="346" operator="containsText" text="Fully Achieved">
      <formula>NOT(ISERROR(SEARCH("Fully Achieved",G78)))</formula>
    </cfRule>
    <cfRule type="containsText" dxfId="337" priority="347" operator="containsText" text="Update not Provided">
      <formula>NOT(ISERROR(SEARCH("Update not Provided",G78)))</formula>
    </cfRule>
    <cfRule type="containsText" dxfId="336" priority="348" operator="containsText" text="Not yet due">
      <formula>NOT(ISERROR(SEARCH("Not yet due",G78)))</formula>
    </cfRule>
    <cfRule type="containsText" dxfId="335" priority="349" operator="containsText" text="Completed Behind Schedule">
      <formula>NOT(ISERROR(SEARCH("Completed Behind Schedule",G78)))</formula>
    </cfRule>
    <cfRule type="containsText" dxfId="334" priority="350" operator="containsText" text="Off Target">
      <formula>NOT(ISERROR(SEARCH("Off Target",G78)))</formula>
    </cfRule>
    <cfRule type="containsText" dxfId="333" priority="351" operator="containsText" text="In Danger of Falling Behind Target">
      <formula>NOT(ISERROR(SEARCH("In Danger of Falling Behind Target",G78)))</formula>
    </cfRule>
    <cfRule type="containsText" dxfId="332" priority="352" operator="containsText" text="On Track to be Achieved">
      <formula>NOT(ISERROR(SEARCH("On Track to be Achieved",G78)))</formula>
    </cfRule>
    <cfRule type="containsText" dxfId="331" priority="353" operator="containsText" text="Fully Achieved">
      <formula>NOT(ISERROR(SEARCH("Fully Achieved",G78)))</formula>
    </cfRule>
    <cfRule type="containsText" dxfId="330" priority="354" operator="containsText" text="Fully Achieved">
      <formula>NOT(ISERROR(SEARCH("Fully Achieved",G78)))</formula>
    </cfRule>
    <cfRule type="containsText" dxfId="329" priority="355" operator="containsText" text="Fully Achieved">
      <formula>NOT(ISERROR(SEARCH("Fully Achieved",G78)))</formula>
    </cfRule>
    <cfRule type="containsText" dxfId="328" priority="356" operator="containsText" text="Deferred">
      <formula>NOT(ISERROR(SEARCH("Deferred",G78)))</formula>
    </cfRule>
    <cfRule type="containsText" dxfId="327" priority="357" operator="containsText" text="Deleted">
      <formula>NOT(ISERROR(SEARCH("Deleted",G78)))</formula>
    </cfRule>
    <cfRule type="containsText" dxfId="326" priority="358" operator="containsText" text="In Danger of Falling Behind Target">
      <formula>NOT(ISERROR(SEARCH("In Danger of Falling Behind Target",G78)))</formula>
    </cfRule>
    <cfRule type="containsText" dxfId="325" priority="359" operator="containsText" text="Not yet due">
      <formula>NOT(ISERROR(SEARCH("Not yet due",G78)))</formula>
    </cfRule>
    <cfRule type="containsText" dxfId="324" priority="360" operator="containsText" text="Update not Provided">
      <formula>NOT(ISERROR(SEARCH("Update not Provided",G78)))</formula>
    </cfRule>
  </conditionalFormatting>
  <conditionalFormatting sqref="G83:G84">
    <cfRule type="containsText" dxfId="323" priority="289" operator="containsText" text="On track to be achieved">
      <formula>NOT(ISERROR(SEARCH("On track to be achieved",G83)))</formula>
    </cfRule>
    <cfRule type="containsText" dxfId="322" priority="290" operator="containsText" text="Deferred">
      <formula>NOT(ISERROR(SEARCH("Deferred",G83)))</formula>
    </cfRule>
    <cfRule type="containsText" dxfId="321" priority="291" operator="containsText" text="Deleted">
      <formula>NOT(ISERROR(SEARCH("Deleted",G83)))</formula>
    </cfRule>
    <cfRule type="containsText" dxfId="320" priority="292" operator="containsText" text="In Danger of Falling Behind Target">
      <formula>NOT(ISERROR(SEARCH("In Danger of Falling Behind Target",G83)))</formula>
    </cfRule>
    <cfRule type="containsText" dxfId="319" priority="293" operator="containsText" text="Not yet due">
      <formula>NOT(ISERROR(SEARCH("Not yet due",G83)))</formula>
    </cfRule>
    <cfRule type="containsText" dxfId="318" priority="294" operator="containsText" text="Update not Provided">
      <formula>NOT(ISERROR(SEARCH("Update not Provided",G83)))</formula>
    </cfRule>
    <cfRule type="containsText" dxfId="317" priority="295" operator="containsText" text="Not yet due">
      <formula>NOT(ISERROR(SEARCH("Not yet due",G83)))</formula>
    </cfRule>
    <cfRule type="containsText" dxfId="316" priority="296" operator="containsText" text="Completed Behind Schedule">
      <formula>NOT(ISERROR(SEARCH("Completed Behind Schedule",G83)))</formula>
    </cfRule>
    <cfRule type="containsText" dxfId="315" priority="297" operator="containsText" text="Off Target">
      <formula>NOT(ISERROR(SEARCH("Off Target",G83)))</formula>
    </cfRule>
    <cfRule type="containsText" dxfId="314" priority="298" operator="containsText" text="On Track to be Achieved">
      <formula>NOT(ISERROR(SEARCH("On Track to be Achieved",G83)))</formula>
    </cfRule>
    <cfRule type="containsText" dxfId="313" priority="299" operator="containsText" text="Fully Achieved">
      <formula>NOT(ISERROR(SEARCH("Fully Achieved",G83)))</formula>
    </cfRule>
    <cfRule type="containsText" dxfId="312" priority="300" operator="containsText" text="Not yet due">
      <formula>NOT(ISERROR(SEARCH("Not yet due",G83)))</formula>
    </cfRule>
    <cfRule type="containsText" dxfId="311" priority="301" operator="containsText" text="Not Yet Due">
      <formula>NOT(ISERROR(SEARCH("Not Yet Due",G83)))</formula>
    </cfRule>
    <cfRule type="containsText" dxfId="310" priority="302" operator="containsText" text="Deferred">
      <formula>NOT(ISERROR(SEARCH("Deferred",G83)))</formula>
    </cfRule>
    <cfRule type="containsText" dxfId="309" priority="303" operator="containsText" text="Deleted">
      <formula>NOT(ISERROR(SEARCH("Deleted",G83)))</formula>
    </cfRule>
    <cfRule type="containsText" dxfId="308" priority="304" operator="containsText" text="In Danger of Falling Behind Target">
      <formula>NOT(ISERROR(SEARCH("In Danger of Falling Behind Target",G83)))</formula>
    </cfRule>
    <cfRule type="containsText" dxfId="307" priority="305" operator="containsText" text="Not yet due">
      <formula>NOT(ISERROR(SEARCH("Not yet due",G83)))</formula>
    </cfRule>
    <cfRule type="containsText" dxfId="306" priority="306" operator="containsText" text="Completed Behind Schedule">
      <formula>NOT(ISERROR(SEARCH("Completed Behind Schedule",G83)))</formula>
    </cfRule>
    <cfRule type="containsText" dxfId="305" priority="307" operator="containsText" text="Off Target">
      <formula>NOT(ISERROR(SEARCH("Off Target",G83)))</formula>
    </cfRule>
    <cfRule type="containsText" dxfId="304" priority="308" operator="containsText" text="In Danger of Falling Behind Target">
      <formula>NOT(ISERROR(SEARCH("In Danger of Falling Behind Target",G83)))</formula>
    </cfRule>
    <cfRule type="containsText" dxfId="303" priority="309" operator="containsText" text="On Track to be Achieved">
      <formula>NOT(ISERROR(SEARCH("On Track to be Achieved",G83)))</formula>
    </cfRule>
    <cfRule type="containsText" dxfId="302" priority="310" operator="containsText" text="Fully Achieved">
      <formula>NOT(ISERROR(SEARCH("Fully Achieved",G83)))</formula>
    </cfRule>
    <cfRule type="containsText" dxfId="301" priority="311" operator="containsText" text="Update not Provided">
      <formula>NOT(ISERROR(SEARCH("Update not Provided",G83)))</formula>
    </cfRule>
    <cfRule type="containsText" dxfId="300" priority="312" operator="containsText" text="Not yet due">
      <formula>NOT(ISERROR(SEARCH("Not yet due",G83)))</formula>
    </cfRule>
    <cfRule type="containsText" dxfId="299" priority="313" operator="containsText" text="Completed Behind Schedule">
      <formula>NOT(ISERROR(SEARCH("Completed Behind Schedule",G83)))</formula>
    </cfRule>
    <cfRule type="containsText" dxfId="298" priority="314" operator="containsText" text="Off Target">
      <formula>NOT(ISERROR(SEARCH("Off Target",G83)))</formula>
    </cfRule>
    <cfRule type="containsText" dxfId="297" priority="315" operator="containsText" text="In Danger of Falling Behind Target">
      <formula>NOT(ISERROR(SEARCH("In Danger of Falling Behind Target",G83)))</formula>
    </cfRule>
    <cfRule type="containsText" dxfId="296" priority="316" operator="containsText" text="On Track to be Achieved">
      <formula>NOT(ISERROR(SEARCH("On Track to be Achieved",G83)))</formula>
    </cfRule>
    <cfRule type="containsText" dxfId="295" priority="317" operator="containsText" text="Fully Achieved">
      <formula>NOT(ISERROR(SEARCH("Fully Achieved",G83)))</formula>
    </cfRule>
    <cfRule type="containsText" dxfId="294" priority="318" operator="containsText" text="Fully Achieved">
      <formula>NOT(ISERROR(SEARCH("Fully Achieved",G83)))</formula>
    </cfRule>
    <cfRule type="containsText" dxfId="293" priority="319" operator="containsText" text="Fully Achieved">
      <formula>NOT(ISERROR(SEARCH("Fully Achieved",G83)))</formula>
    </cfRule>
    <cfRule type="containsText" dxfId="292" priority="320" operator="containsText" text="Deferred">
      <formula>NOT(ISERROR(SEARCH("Deferred",G83)))</formula>
    </cfRule>
    <cfRule type="containsText" dxfId="291" priority="321" operator="containsText" text="Deleted">
      <formula>NOT(ISERROR(SEARCH("Deleted",G83)))</formula>
    </cfRule>
    <cfRule type="containsText" dxfId="290" priority="322" operator="containsText" text="In Danger of Falling Behind Target">
      <formula>NOT(ISERROR(SEARCH("In Danger of Falling Behind Target",G83)))</formula>
    </cfRule>
    <cfRule type="containsText" dxfId="289" priority="323" operator="containsText" text="Not yet due">
      <formula>NOT(ISERROR(SEARCH("Not yet due",G83)))</formula>
    </cfRule>
    <cfRule type="containsText" dxfId="288" priority="324" operator="containsText" text="Update not Provided">
      <formula>NOT(ISERROR(SEARCH("Update not Provided",G83)))</formula>
    </cfRule>
  </conditionalFormatting>
  <conditionalFormatting sqref="G86">
    <cfRule type="containsText" dxfId="287" priority="253" operator="containsText" text="On track to be achieved">
      <formula>NOT(ISERROR(SEARCH("On track to be achieved",G86)))</formula>
    </cfRule>
    <cfRule type="containsText" dxfId="286" priority="254" operator="containsText" text="Deferred">
      <formula>NOT(ISERROR(SEARCH("Deferred",G86)))</formula>
    </cfRule>
    <cfRule type="containsText" dxfId="285" priority="255" operator="containsText" text="Deleted">
      <formula>NOT(ISERROR(SEARCH("Deleted",G86)))</formula>
    </cfRule>
    <cfRule type="containsText" dxfId="284" priority="256" operator="containsText" text="In Danger of Falling Behind Target">
      <formula>NOT(ISERROR(SEARCH("In Danger of Falling Behind Target",G86)))</formula>
    </cfRule>
    <cfRule type="containsText" dxfId="283" priority="257" operator="containsText" text="Not yet due">
      <formula>NOT(ISERROR(SEARCH("Not yet due",G86)))</formula>
    </cfRule>
    <cfRule type="containsText" dxfId="282" priority="258" operator="containsText" text="Update not Provided">
      <formula>NOT(ISERROR(SEARCH("Update not Provided",G86)))</formula>
    </cfRule>
    <cfRule type="containsText" dxfId="281" priority="259" operator="containsText" text="Not yet due">
      <formula>NOT(ISERROR(SEARCH("Not yet due",G86)))</formula>
    </cfRule>
    <cfRule type="containsText" dxfId="280" priority="260" operator="containsText" text="Completed Behind Schedule">
      <formula>NOT(ISERROR(SEARCH("Completed Behind Schedule",G86)))</formula>
    </cfRule>
    <cfRule type="containsText" dxfId="279" priority="261" operator="containsText" text="Off Target">
      <formula>NOT(ISERROR(SEARCH("Off Target",G86)))</formula>
    </cfRule>
    <cfRule type="containsText" dxfId="278" priority="262" operator="containsText" text="On Track to be Achieved">
      <formula>NOT(ISERROR(SEARCH("On Track to be Achieved",G86)))</formula>
    </cfRule>
    <cfRule type="containsText" dxfId="277" priority="263" operator="containsText" text="Fully Achieved">
      <formula>NOT(ISERROR(SEARCH("Fully Achieved",G86)))</formula>
    </cfRule>
    <cfRule type="containsText" dxfId="276" priority="264" operator="containsText" text="Not yet due">
      <formula>NOT(ISERROR(SEARCH("Not yet due",G86)))</formula>
    </cfRule>
    <cfRule type="containsText" dxfId="275" priority="265" operator="containsText" text="Not Yet Due">
      <formula>NOT(ISERROR(SEARCH("Not Yet Due",G86)))</formula>
    </cfRule>
    <cfRule type="containsText" dxfId="274" priority="266" operator="containsText" text="Deferred">
      <formula>NOT(ISERROR(SEARCH("Deferred",G86)))</formula>
    </cfRule>
    <cfRule type="containsText" dxfId="273" priority="267" operator="containsText" text="Deleted">
      <formula>NOT(ISERROR(SEARCH("Deleted",G86)))</formula>
    </cfRule>
    <cfRule type="containsText" dxfId="272" priority="268" operator="containsText" text="In Danger of Falling Behind Target">
      <formula>NOT(ISERROR(SEARCH("In Danger of Falling Behind Target",G86)))</formula>
    </cfRule>
    <cfRule type="containsText" dxfId="271" priority="269" operator="containsText" text="Not yet due">
      <formula>NOT(ISERROR(SEARCH("Not yet due",G86)))</formula>
    </cfRule>
    <cfRule type="containsText" dxfId="270" priority="270" operator="containsText" text="Completed Behind Schedule">
      <formula>NOT(ISERROR(SEARCH("Completed Behind Schedule",G86)))</formula>
    </cfRule>
    <cfRule type="containsText" dxfId="269" priority="271" operator="containsText" text="Off Target">
      <formula>NOT(ISERROR(SEARCH("Off Target",G86)))</formula>
    </cfRule>
    <cfRule type="containsText" dxfId="268" priority="272" operator="containsText" text="In Danger of Falling Behind Target">
      <formula>NOT(ISERROR(SEARCH("In Danger of Falling Behind Target",G86)))</formula>
    </cfRule>
    <cfRule type="containsText" dxfId="267" priority="273" operator="containsText" text="On Track to be Achieved">
      <formula>NOT(ISERROR(SEARCH("On Track to be Achieved",G86)))</formula>
    </cfRule>
    <cfRule type="containsText" dxfId="266" priority="274" operator="containsText" text="Fully Achieved">
      <formula>NOT(ISERROR(SEARCH("Fully Achieved",G86)))</formula>
    </cfRule>
    <cfRule type="containsText" dxfId="265" priority="275" operator="containsText" text="Update not Provided">
      <formula>NOT(ISERROR(SEARCH("Update not Provided",G86)))</formula>
    </cfRule>
    <cfRule type="containsText" dxfId="264" priority="276" operator="containsText" text="Not yet due">
      <formula>NOT(ISERROR(SEARCH("Not yet due",G86)))</formula>
    </cfRule>
    <cfRule type="containsText" dxfId="263" priority="277" operator="containsText" text="Completed Behind Schedule">
      <formula>NOT(ISERROR(SEARCH("Completed Behind Schedule",G86)))</formula>
    </cfRule>
    <cfRule type="containsText" dxfId="262" priority="278" operator="containsText" text="Off Target">
      <formula>NOT(ISERROR(SEARCH("Off Target",G86)))</formula>
    </cfRule>
    <cfRule type="containsText" dxfId="261" priority="279" operator="containsText" text="In Danger of Falling Behind Target">
      <formula>NOT(ISERROR(SEARCH("In Danger of Falling Behind Target",G86)))</formula>
    </cfRule>
    <cfRule type="containsText" dxfId="260" priority="280" operator="containsText" text="On Track to be Achieved">
      <formula>NOT(ISERROR(SEARCH("On Track to be Achieved",G86)))</formula>
    </cfRule>
    <cfRule type="containsText" dxfId="259" priority="281" operator="containsText" text="Fully Achieved">
      <formula>NOT(ISERROR(SEARCH("Fully Achieved",G86)))</formula>
    </cfRule>
    <cfRule type="containsText" dxfId="258" priority="282" operator="containsText" text="Fully Achieved">
      <formula>NOT(ISERROR(SEARCH("Fully Achieved",G86)))</formula>
    </cfRule>
    <cfRule type="containsText" dxfId="257" priority="283" operator="containsText" text="Fully Achieved">
      <formula>NOT(ISERROR(SEARCH("Fully Achieved",G86)))</formula>
    </cfRule>
    <cfRule type="containsText" dxfId="256" priority="284" operator="containsText" text="Deferred">
      <formula>NOT(ISERROR(SEARCH("Deferred",G86)))</formula>
    </cfRule>
    <cfRule type="containsText" dxfId="255" priority="285" operator="containsText" text="Deleted">
      <formula>NOT(ISERROR(SEARCH("Deleted",G86)))</formula>
    </cfRule>
    <cfRule type="containsText" dxfId="254" priority="286" operator="containsText" text="In Danger of Falling Behind Target">
      <formula>NOT(ISERROR(SEARCH("In Danger of Falling Behind Target",G86)))</formula>
    </cfRule>
    <cfRule type="containsText" dxfId="253" priority="287" operator="containsText" text="Not yet due">
      <formula>NOT(ISERROR(SEARCH("Not yet due",G86)))</formula>
    </cfRule>
    <cfRule type="containsText" dxfId="252" priority="288" operator="containsText" text="Update not Provided">
      <formula>NOT(ISERROR(SEARCH("Update not Provided",G86)))</formula>
    </cfRule>
  </conditionalFormatting>
  <conditionalFormatting sqref="G89:G98">
    <cfRule type="containsText" dxfId="251" priority="217" operator="containsText" text="On track to be achieved">
      <formula>NOT(ISERROR(SEARCH("On track to be achieved",G89)))</formula>
    </cfRule>
    <cfRule type="containsText" dxfId="250" priority="218" operator="containsText" text="Deferred">
      <formula>NOT(ISERROR(SEARCH("Deferred",G89)))</formula>
    </cfRule>
    <cfRule type="containsText" dxfId="249" priority="219" operator="containsText" text="Deleted">
      <formula>NOT(ISERROR(SEARCH("Deleted",G89)))</formula>
    </cfRule>
    <cfRule type="containsText" dxfId="248" priority="220" operator="containsText" text="In Danger of Falling Behind Target">
      <formula>NOT(ISERROR(SEARCH("In Danger of Falling Behind Target",G89)))</formula>
    </cfRule>
    <cfRule type="containsText" dxfId="247" priority="221" operator="containsText" text="Not yet due">
      <formula>NOT(ISERROR(SEARCH("Not yet due",G89)))</formula>
    </cfRule>
    <cfRule type="containsText" dxfId="246" priority="222" operator="containsText" text="Update not Provided">
      <formula>NOT(ISERROR(SEARCH("Update not Provided",G89)))</formula>
    </cfRule>
    <cfRule type="containsText" dxfId="245" priority="223" operator="containsText" text="Not yet due">
      <formula>NOT(ISERROR(SEARCH("Not yet due",G89)))</formula>
    </cfRule>
    <cfRule type="containsText" dxfId="244" priority="224" operator="containsText" text="Completed Behind Schedule">
      <formula>NOT(ISERROR(SEARCH("Completed Behind Schedule",G89)))</formula>
    </cfRule>
    <cfRule type="containsText" dxfId="243" priority="225" operator="containsText" text="Off Target">
      <formula>NOT(ISERROR(SEARCH("Off Target",G89)))</formula>
    </cfRule>
    <cfRule type="containsText" dxfId="242" priority="226" operator="containsText" text="On Track to be Achieved">
      <formula>NOT(ISERROR(SEARCH("On Track to be Achieved",G89)))</formula>
    </cfRule>
    <cfRule type="containsText" dxfId="241" priority="227" operator="containsText" text="Fully Achieved">
      <formula>NOT(ISERROR(SEARCH("Fully Achieved",G89)))</formula>
    </cfRule>
    <cfRule type="containsText" dxfId="240" priority="228" operator="containsText" text="Not yet due">
      <formula>NOT(ISERROR(SEARCH("Not yet due",G89)))</formula>
    </cfRule>
    <cfRule type="containsText" dxfId="239" priority="229" operator="containsText" text="Not Yet Due">
      <formula>NOT(ISERROR(SEARCH("Not Yet Due",G89)))</formula>
    </cfRule>
    <cfRule type="containsText" dxfId="238" priority="230" operator="containsText" text="Deferred">
      <formula>NOT(ISERROR(SEARCH("Deferred",G89)))</formula>
    </cfRule>
    <cfRule type="containsText" dxfId="237" priority="231" operator="containsText" text="Deleted">
      <formula>NOT(ISERROR(SEARCH("Deleted",G89)))</formula>
    </cfRule>
    <cfRule type="containsText" dxfId="236" priority="232" operator="containsText" text="In Danger of Falling Behind Target">
      <formula>NOT(ISERROR(SEARCH("In Danger of Falling Behind Target",G89)))</formula>
    </cfRule>
    <cfRule type="containsText" dxfId="235" priority="233" operator="containsText" text="Not yet due">
      <formula>NOT(ISERROR(SEARCH("Not yet due",G89)))</formula>
    </cfRule>
    <cfRule type="containsText" dxfId="234" priority="234" operator="containsText" text="Completed Behind Schedule">
      <formula>NOT(ISERROR(SEARCH("Completed Behind Schedule",G89)))</formula>
    </cfRule>
    <cfRule type="containsText" dxfId="233" priority="235" operator="containsText" text="Off Target">
      <formula>NOT(ISERROR(SEARCH("Off Target",G89)))</formula>
    </cfRule>
    <cfRule type="containsText" dxfId="232" priority="236" operator="containsText" text="In Danger of Falling Behind Target">
      <formula>NOT(ISERROR(SEARCH("In Danger of Falling Behind Target",G89)))</formula>
    </cfRule>
    <cfRule type="containsText" dxfId="231" priority="237" operator="containsText" text="On Track to be Achieved">
      <formula>NOT(ISERROR(SEARCH("On Track to be Achieved",G89)))</formula>
    </cfRule>
    <cfRule type="containsText" dxfId="230" priority="238" operator="containsText" text="Fully Achieved">
      <formula>NOT(ISERROR(SEARCH("Fully Achieved",G89)))</formula>
    </cfRule>
    <cfRule type="containsText" dxfId="229" priority="239" operator="containsText" text="Update not Provided">
      <formula>NOT(ISERROR(SEARCH("Update not Provided",G89)))</formula>
    </cfRule>
    <cfRule type="containsText" dxfId="228" priority="240" operator="containsText" text="Not yet due">
      <formula>NOT(ISERROR(SEARCH("Not yet due",G89)))</formula>
    </cfRule>
    <cfRule type="containsText" dxfId="227" priority="241" operator="containsText" text="Completed Behind Schedule">
      <formula>NOT(ISERROR(SEARCH("Completed Behind Schedule",G89)))</formula>
    </cfRule>
    <cfRule type="containsText" dxfId="226" priority="242" operator="containsText" text="Off Target">
      <formula>NOT(ISERROR(SEARCH("Off Target",G89)))</formula>
    </cfRule>
    <cfRule type="containsText" dxfId="225" priority="243" operator="containsText" text="In Danger of Falling Behind Target">
      <formula>NOT(ISERROR(SEARCH("In Danger of Falling Behind Target",G89)))</formula>
    </cfRule>
    <cfRule type="containsText" dxfId="224" priority="244" operator="containsText" text="On Track to be Achieved">
      <formula>NOT(ISERROR(SEARCH("On Track to be Achieved",G89)))</formula>
    </cfRule>
    <cfRule type="containsText" dxfId="223" priority="245" operator="containsText" text="Fully Achieved">
      <formula>NOT(ISERROR(SEARCH("Fully Achieved",G89)))</formula>
    </cfRule>
    <cfRule type="containsText" dxfId="222" priority="246" operator="containsText" text="Fully Achieved">
      <formula>NOT(ISERROR(SEARCH("Fully Achieved",G89)))</formula>
    </cfRule>
    <cfRule type="containsText" dxfId="221" priority="247" operator="containsText" text="Fully Achieved">
      <formula>NOT(ISERROR(SEARCH("Fully Achieved",G89)))</formula>
    </cfRule>
    <cfRule type="containsText" dxfId="220" priority="248" operator="containsText" text="Deferred">
      <formula>NOT(ISERROR(SEARCH("Deferred",G89)))</formula>
    </cfRule>
    <cfRule type="containsText" dxfId="219" priority="249" operator="containsText" text="Deleted">
      <formula>NOT(ISERROR(SEARCH("Deleted",G89)))</formula>
    </cfRule>
    <cfRule type="containsText" dxfId="218" priority="250" operator="containsText" text="In Danger of Falling Behind Target">
      <formula>NOT(ISERROR(SEARCH("In Danger of Falling Behind Target",G89)))</formula>
    </cfRule>
    <cfRule type="containsText" dxfId="217" priority="251" operator="containsText" text="Not yet due">
      <formula>NOT(ISERROR(SEARCH("Not yet due",G89)))</formula>
    </cfRule>
    <cfRule type="containsText" dxfId="216" priority="252" operator="containsText" text="Update not Provided">
      <formula>NOT(ISERROR(SEARCH("Update not Provided",G89)))</formula>
    </cfRule>
  </conditionalFormatting>
  <conditionalFormatting sqref="G100 G102:G104">
    <cfRule type="containsText" dxfId="215" priority="181" operator="containsText" text="On track to be achieved">
      <formula>NOT(ISERROR(SEARCH("On track to be achieved",G100)))</formula>
    </cfRule>
    <cfRule type="containsText" dxfId="214" priority="182" operator="containsText" text="Deferred">
      <formula>NOT(ISERROR(SEARCH("Deferred",G100)))</formula>
    </cfRule>
    <cfRule type="containsText" dxfId="213" priority="183" operator="containsText" text="Deleted">
      <formula>NOT(ISERROR(SEARCH("Deleted",G100)))</formula>
    </cfRule>
    <cfRule type="containsText" dxfId="212" priority="184" operator="containsText" text="In Danger of Falling Behind Target">
      <formula>NOT(ISERROR(SEARCH("In Danger of Falling Behind Target",G100)))</formula>
    </cfRule>
    <cfRule type="containsText" dxfId="211" priority="185" operator="containsText" text="Not yet due">
      <formula>NOT(ISERROR(SEARCH("Not yet due",G100)))</formula>
    </cfRule>
    <cfRule type="containsText" dxfId="210" priority="186" operator="containsText" text="Update not Provided">
      <formula>NOT(ISERROR(SEARCH("Update not Provided",G100)))</formula>
    </cfRule>
    <cfRule type="containsText" dxfId="209" priority="187" operator="containsText" text="Not yet due">
      <formula>NOT(ISERROR(SEARCH("Not yet due",G100)))</formula>
    </cfRule>
    <cfRule type="containsText" dxfId="208" priority="188" operator="containsText" text="Completed Behind Schedule">
      <formula>NOT(ISERROR(SEARCH("Completed Behind Schedule",G100)))</formula>
    </cfRule>
    <cfRule type="containsText" dxfId="207" priority="189" operator="containsText" text="Off Target">
      <formula>NOT(ISERROR(SEARCH("Off Target",G100)))</formula>
    </cfRule>
    <cfRule type="containsText" dxfId="206" priority="190" operator="containsText" text="On Track to be Achieved">
      <formula>NOT(ISERROR(SEARCH("On Track to be Achieved",G100)))</formula>
    </cfRule>
    <cfRule type="containsText" dxfId="205" priority="191" operator="containsText" text="Fully Achieved">
      <formula>NOT(ISERROR(SEARCH("Fully Achieved",G100)))</formula>
    </cfRule>
    <cfRule type="containsText" dxfId="204" priority="192" operator="containsText" text="Not yet due">
      <formula>NOT(ISERROR(SEARCH("Not yet due",G100)))</formula>
    </cfRule>
    <cfRule type="containsText" dxfId="203" priority="193" operator="containsText" text="Not Yet Due">
      <formula>NOT(ISERROR(SEARCH("Not Yet Due",G100)))</formula>
    </cfRule>
    <cfRule type="containsText" dxfId="202" priority="194" operator="containsText" text="Deferred">
      <formula>NOT(ISERROR(SEARCH("Deferred",G100)))</formula>
    </cfRule>
    <cfRule type="containsText" dxfId="201" priority="195" operator="containsText" text="Deleted">
      <formula>NOT(ISERROR(SEARCH("Deleted",G100)))</formula>
    </cfRule>
    <cfRule type="containsText" dxfId="200" priority="196" operator="containsText" text="In Danger of Falling Behind Target">
      <formula>NOT(ISERROR(SEARCH("In Danger of Falling Behind Target",G100)))</formula>
    </cfRule>
    <cfRule type="containsText" dxfId="199" priority="197" operator="containsText" text="Not yet due">
      <formula>NOT(ISERROR(SEARCH("Not yet due",G100)))</formula>
    </cfRule>
    <cfRule type="containsText" dxfId="198" priority="198" operator="containsText" text="Completed Behind Schedule">
      <formula>NOT(ISERROR(SEARCH("Completed Behind Schedule",G100)))</formula>
    </cfRule>
    <cfRule type="containsText" dxfId="197" priority="199" operator="containsText" text="Off Target">
      <formula>NOT(ISERROR(SEARCH("Off Target",G100)))</formula>
    </cfRule>
    <cfRule type="containsText" dxfId="196" priority="200" operator="containsText" text="In Danger of Falling Behind Target">
      <formula>NOT(ISERROR(SEARCH("In Danger of Falling Behind Target",G100)))</formula>
    </cfRule>
    <cfRule type="containsText" dxfId="195" priority="201" operator="containsText" text="On Track to be Achieved">
      <formula>NOT(ISERROR(SEARCH("On Track to be Achieved",G100)))</formula>
    </cfRule>
    <cfRule type="containsText" dxfId="194" priority="202" operator="containsText" text="Fully Achieved">
      <formula>NOT(ISERROR(SEARCH("Fully Achieved",G100)))</formula>
    </cfRule>
    <cfRule type="containsText" dxfId="193" priority="203" operator="containsText" text="Update not Provided">
      <formula>NOT(ISERROR(SEARCH("Update not Provided",G100)))</formula>
    </cfRule>
    <cfRule type="containsText" dxfId="192" priority="204" operator="containsText" text="Not yet due">
      <formula>NOT(ISERROR(SEARCH("Not yet due",G100)))</formula>
    </cfRule>
    <cfRule type="containsText" dxfId="191" priority="205" operator="containsText" text="Completed Behind Schedule">
      <formula>NOT(ISERROR(SEARCH("Completed Behind Schedule",G100)))</formula>
    </cfRule>
    <cfRule type="containsText" dxfId="190" priority="206" operator="containsText" text="Off Target">
      <formula>NOT(ISERROR(SEARCH("Off Target",G100)))</formula>
    </cfRule>
    <cfRule type="containsText" dxfId="189" priority="207" operator="containsText" text="In Danger of Falling Behind Target">
      <formula>NOT(ISERROR(SEARCH("In Danger of Falling Behind Target",G100)))</formula>
    </cfRule>
    <cfRule type="containsText" dxfId="188" priority="208" operator="containsText" text="On Track to be Achieved">
      <formula>NOT(ISERROR(SEARCH("On Track to be Achieved",G100)))</formula>
    </cfRule>
    <cfRule type="containsText" dxfId="187" priority="209" operator="containsText" text="Fully Achieved">
      <formula>NOT(ISERROR(SEARCH("Fully Achieved",G100)))</formula>
    </cfRule>
    <cfRule type="containsText" dxfId="186" priority="210" operator="containsText" text="Fully Achieved">
      <formula>NOT(ISERROR(SEARCH("Fully Achieved",G100)))</formula>
    </cfRule>
    <cfRule type="containsText" dxfId="185" priority="211" operator="containsText" text="Fully Achieved">
      <formula>NOT(ISERROR(SEARCH("Fully Achieved",G100)))</formula>
    </cfRule>
    <cfRule type="containsText" dxfId="184" priority="212" operator="containsText" text="Deferred">
      <formula>NOT(ISERROR(SEARCH("Deferred",G100)))</formula>
    </cfRule>
    <cfRule type="containsText" dxfId="183" priority="213" operator="containsText" text="Deleted">
      <formula>NOT(ISERROR(SEARCH("Deleted",G100)))</formula>
    </cfRule>
    <cfRule type="containsText" dxfId="182" priority="214" operator="containsText" text="In Danger of Falling Behind Target">
      <formula>NOT(ISERROR(SEARCH("In Danger of Falling Behind Target",G100)))</formula>
    </cfRule>
    <cfRule type="containsText" dxfId="181" priority="215" operator="containsText" text="Not yet due">
      <formula>NOT(ISERROR(SEARCH("Not yet due",G100)))</formula>
    </cfRule>
    <cfRule type="containsText" dxfId="180" priority="216" operator="containsText" text="Update not Provided">
      <formula>NOT(ISERROR(SEARCH("Update not Provided",G100)))</formula>
    </cfRule>
  </conditionalFormatting>
  <conditionalFormatting sqref="G107">
    <cfRule type="containsText" dxfId="179" priority="145" operator="containsText" text="On track to be achieved">
      <formula>NOT(ISERROR(SEARCH("On track to be achieved",G107)))</formula>
    </cfRule>
    <cfRule type="containsText" dxfId="178" priority="146" operator="containsText" text="Deferred">
      <formula>NOT(ISERROR(SEARCH("Deferred",G107)))</formula>
    </cfRule>
    <cfRule type="containsText" dxfId="177" priority="147" operator="containsText" text="Deleted">
      <formula>NOT(ISERROR(SEARCH("Deleted",G107)))</formula>
    </cfRule>
    <cfRule type="containsText" dxfId="176" priority="148" operator="containsText" text="In Danger of Falling Behind Target">
      <formula>NOT(ISERROR(SEARCH("In Danger of Falling Behind Target",G107)))</formula>
    </cfRule>
    <cfRule type="containsText" dxfId="175" priority="149" operator="containsText" text="Not yet due">
      <formula>NOT(ISERROR(SEARCH("Not yet due",G107)))</formula>
    </cfRule>
    <cfRule type="containsText" dxfId="174" priority="150" operator="containsText" text="Update not Provided">
      <formula>NOT(ISERROR(SEARCH("Update not Provided",G107)))</formula>
    </cfRule>
    <cfRule type="containsText" dxfId="173" priority="151" operator="containsText" text="Not yet due">
      <formula>NOT(ISERROR(SEARCH("Not yet due",G107)))</formula>
    </cfRule>
    <cfRule type="containsText" dxfId="172" priority="152" operator="containsText" text="Completed Behind Schedule">
      <formula>NOT(ISERROR(SEARCH("Completed Behind Schedule",G107)))</formula>
    </cfRule>
    <cfRule type="containsText" dxfId="171" priority="153" operator="containsText" text="Off Target">
      <formula>NOT(ISERROR(SEARCH("Off Target",G107)))</formula>
    </cfRule>
    <cfRule type="containsText" dxfId="170" priority="154" operator="containsText" text="On Track to be Achieved">
      <formula>NOT(ISERROR(SEARCH("On Track to be Achieved",G107)))</formula>
    </cfRule>
    <cfRule type="containsText" dxfId="169" priority="155" operator="containsText" text="Fully Achieved">
      <formula>NOT(ISERROR(SEARCH("Fully Achieved",G107)))</formula>
    </cfRule>
    <cfRule type="containsText" dxfId="168" priority="156" operator="containsText" text="Not yet due">
      <formula>NOT(ISERROR(SEARCH("Not yet due",G107)))</formula>
    </cfRule>
    <cfRule type="containsText" dxfId="167" priority="157" operator="containsText" text="Not Yet Due">
      <formula>NOT(ISERROR(SEARCH("Not Yet Due",G107)))</formula>
    </cfRule>
    <cfRule type="containsText" dxfId="166" priority="158" operator="containsText" text="Deferred">
      <formula>NOT(ISERROR(SEARCH("Deferred",G107)))</formula>
    </cfRule>
    <cfRule type="containsText" dxfId="165" priority="159" operator="containsText" text="Deleted">
      <formula>NOT(ISERROR(SEARCH("Deleted",G107)))</formula>
    </cfRule>
    <cfRule type="containsText" dxfId="164" priority="160" operator="containsText" text="In Danger of Falling Behind Target">
      <formula>NOT(ISERROR(SEARCH("In Danger of Falling Behind Target",G107)))</formula>
    </cfRule>
    <cfRule type="containsText" dxfId="163" priority="161" operator="containsText" text="Not yet due">
      <formula>NOT(ISERROR(SEARCH("Not yet due",G107)))</formula>
    </cfRule>
    <cfRule type="containsText" dxfId="162" priority="162" operator="containsText" text="Completed Behind Schedule">
      <formula>NOT(ISERROR(SEARCH("Completed Behind Schedule",G107)))</formula>
    </cfRule>
    <cfRule type="containsText" dxfId="161" priority="163" operator="containsText" text="Off Target">
      <formula>NOT(ISERROR(SEARCH("Off Target",G107)))</formula>
    </cfRule>
    <cfRule type="containsText" dxfId="160" priority="164" operator="containsText" text="In Danger of Falling Behind Target">
      <formula>NOT(ISERROR(SEARCH("In Danger of Falling Behind Target",G107)))</formula>
    </cfRule>
    <cfRule type="containsText" dxfId="159" priority="165" operator="containsText" text="On Track to be Achieved">
      <formula>NOT(ISERROR(SEARCH("On Track to be Achieved",G107)))</formula>
    </cfRule>
    <cfRule type="containsText" dxfId="158" priority="166" operator="containsText" text="Fully Achieved">
      <formula>NOT(ISERROR(SEARCH("Fully Achieved",G107)))</formula>
    </cfRule>
    <cfRule type="containsText" dxfId="157" priority="167" operator="containsText" text="Update not Provided">
      <formula>NOT(ISERROR(SEARCH("Update not Provided",G107)))</formula>
    </cfRule>
    <cfRule type="containsText" dxfId="156" priority="168" operator="containsText" text="Not yet due">
      <formula>NOT(ISERROR(SEARCH("Not yet due",G107)))</formula>
    </cfRule>
    <cfRule type="containsText" dxfId="155" priority="169" operator="containsText" text="Completed Behind Schedule">
      <formula>NOT(ISERROR(SEARCH("Completed Behind Schedule",G107)))</formula>
    </cfRule>
    <cfRule type="containsText" dxfId="154" priority="170" operator="containsText" text="Off Target">
      <formula>NOT(ISERROR(SEARCH("Off Target",G107)))</formula>
    </cfRule>
    <cfRule type="containsText" dxfId="153" priority="171" operator="containsText" text="In Danger of Falling Behind Target">
      <formula>NOT(ISERROR(SEARCH("In Danger of Falling Behind Target",G107)))</formula>
    </cfRule>
    <cfRule type="containsText" dxfId="152" priority="172" operator="containsText" text="On Track to be Achieved">
      <formula>NOT(ISERROR(SEARCH("On Track to be Achieved",G107)))</formula>
    </cfRule>
    <cfRule type="containsText" dxfId="151" priority="173" operator="containsText" text="Fully Achieved">
      <formula>NOT(ISERROR(SEARCH("Fully Achieved",G107)))</formula>
    </cfRule>
    <cfRule type="containsText" dxfId="150" priority="174" operator="containsText" text="Fully Achieved">
      <formula>NOT(ISERROR(SEARCH("Fully Achieved",G107)))</formula>
    </cfRule>
    <cfRule type="containsText" dxfId="149" priority="175" operator="containsText" text="Fully Achieved">
      <formula>NOT(ISERROR(SEARCH("Fully Achieved",G107)))</formula>
    </cfRule>
    <cfRule type="containsText" dxfId="148" priority="176" operator="containsText" text="Deferred">
      <formula>NOT(ISERROR(SEARCH("Deferred",G107)))</formula>
    </cfRule>
    <cfRule type="containsText" dxfId="147" priority="177" operator="containsText" text="Deleted">
      <formula>NOT(ISERROR(SEARCH("Deleted",G107)))</formula>
    </cfRule>
    <cfRule type="containsText" dxfId="146" priority="178" operator="containsText" text="In Danger of Falling Behind Target">
      <formula>NOT(ISERROR(SEARCH("In Danger of Falling Behind Target",G107)))</formula>
    </cfRule>
    <cfRule type="containsText" dxfId="145" priority="179" operator="containsText" text="Not yet due">
      <formula>NOT(ISERROR(SEARCH("Not yet due",G107)))</formula>
    </cfRule>
    <cfRule type="containsText" dxfId="144" priority="180" operator="containsText" text="Update not Provided">
      <formula>NOT(ISERROR(SEARCH("Update not Provided",G107)))</formula>
    </cfRule>
  </conditionalFormatting>
  <conditionalFormatting sqref="G109:G112">
    <cfRule type="containsText" dxfId="143" priority="109" operator="containsText" text="On track to be achieved">
      <formula>NOT(ISERROR(SEARCH("On track to be achieved",G109)))</formula>
    </cfRule>
    <cfRule type="containsText" dxfId="142" priority="110" operator="containsText" text="Deferred">
      <formula>NOT(ISERROR(SEARCH("Deferred",G109)))</formula>
    </cfRule>
    <cfRule type="containsText" dxfId="141" priority="111" operator="containsText" text="Deleted">
      <formula>NOT(ISERROR(SEARCH("Deleted",G109)))</formula>
    </cfRule>
    <cfRule type="containsText" dxfId="140" priority="112" operator="containsText" text="In Danger of Falling Behind Target">
      <formula>NOT(ISERROR(SEARCH("In Danger of Falling Behind Target",G109)))</formula>
    </cfRule>
    <cfRule type="containsText" dxfId="139" priority="113" operator="containsText" text="Not yet due">
      <formula>NOT(ISERROR(SEARCH("Not yet due",G109)))</formula>
    </cfRule>
    <cfRule type="containsText" dxfId="138" priority="114" operator="containsText" text="Update not Provided">
      <formula>NOT(ISERROR(SEARCH("Update not Provided",G109)))</formula>
    </cfRule>
    <cfRule type="containsText" dxfId="137" priority="115" operator="containsText" text="Not yet due">
      <formula>NOT(ISERROR(SEARCH("Not yet due",G109)))</formula>
    </cfRule>
    <cfRule type="containsText" dxfId="136" priority="116" operator="containsText" text="Completed Behind Schedule">
      <formula>NOT(ISERROR(SEARCH("Completed Behind Schedule",G109)))</formula>
    </cfRule>
    <cfRule type="containsText" dxfId="135" priority="117" operator="containsText" text="Off Target">
      <formula>NOT(ISERROR(SEARCH("Off Target",G109)))</formula>
    </cfRule>
    <cfRule type="containsText" dxfId="134" priority="118" operator="containsText" text="On Track to be Achieved">
      <formula>NOT(ISERROR(SEARCH("On Track to be Achieved",G109)))</formula>
    </cfRule>
    <cfRule type="containsText" dxfId="133" priority="119" operator="containsText" text="Fully Achieved">
      <formula>NOT(ISERROR(SEARCH("Fully Achieved",G109)))</formula>
    </cfRule>
    <cfRule type="containsText" dxfId="132" priority="120" operator="containsText" text="Not yet due">
      <formula>NOT(ISERROR(SEARCH("Not yet due",G109)))</formula>
    </cfRule>
    <cfRule type="containsText" dxfId="131" priority="121" operator="containsText" text="Not Yet Due">
      <formula>NOT(ISERROR(SEARCH("Not Yet Due",G109)))</formula>
    </cfRule>
    <cfRule type="containsText" dxfId="130" priority="122" operator="containsText" text="Deferred">
      <formula>NOT(ISERROR(SEARCH("Deferred",G109)))</formula>
    </cfRule>
    <cfRule type="containsText" dxfId="129" priority="123" operator="containsText" text="Deleted">
      <formula>NOT(ISERROR(SEARCH("Deleted",G109)))</formula>
    </cfRule>
    <cfRule type="containsText" dxfId="128" priority="124" operator="containsText" text="In Danger of Falling Behind Target">
      <formula>NOT(ISERROR(SEARCH("In Danger of Falling Behind Target",G109)))</formula>
    </cfRule>
    <cfRule type="containsText" dxfId="127" priority="125" operator="containsText" text="Not yet due">
      <formula>NOT(ISERROR(SEARCH("Not yet due",G109)))</formula>
    </cfRule>
    <cfRule type="containsText" dxfId="126" priority="126" operator="containsText" text="Completed Behind Schedule">
      <formula>NOT(ISERROR(SEARCH("Completed Behind Schedule",G109)))</formula>
    </cfRule>
    <cfRule type="containsText" dxfId="125" priority="127" operator="containsText" text="Off Target">
      <formula>NOT(ISERROR(SEARCH("Off Target",G109)))</formula>
    </cfRule>
    <cfRule type="containsText" dxfId="124" priority="128" operator="containsText" text="In Danger of Falling Behind Target">
      <formula>NOT(ISERROR(SEARCH("In Danger of Falling Behind Target",G109)))</formula>
    </cfRule>
    <cfRule type="containsText" dxfId="123" priority="129" operator="containsText" text="On Track to be Achieved">
      <formula>NOT(ISERROR(SEARCH("On Track to be Achieved",G109)))</formula>
    </cfRule>
    <cfRule type="containsText" dxfId="122" priority="130" operator="containsText" text="Fully Achieved">
      <formula>NOT(ISERROR(SEARCH("Fully Achieved",G109)))</formula>
    </cfRule>
    <cfRule type="containsText" dxfId="121" priority="131" operator="containsText" text="Update not Provided">
      <formula>NOT(ISERROR(SEARCH("Update not Provided",G109)))</formula>
    </cfRule>
    <cfRule type="containsText" dxfId="120" priority="132" operator="containsText" text="Not yet due">
      <formula>NOT(ISERROR(SEARCH("Not yet due",G109)))</formula>
    </cfRule>
    <cfRule type="containsText" dxfId="119" priority="133" operator="containsText" text="Completed Behind Schedule">
      <formula>NOT(ISERROR(SEARCH("Completed Behind Schedule",G109)))</formula>
    </cfRule>
    <cfRule type="containsText" dxfId="118" priority="134" operator="containsText" text="Off Target">
      <formula>NOT(ISERROR(SEARCH("Off Target",G109)))</formula>
    </cfRule>
    <cfRule type="containsText" dxfId="117" priority="135" operator="containsText" text="In Danger of Falling Behind Target">
      <formula>NOT(ISERROR(SEARCH("In Danger of Falling Behind Target",G109)))</formula>
    </cfRule>
    <cfRule type="containsText" dxfId="116" priority="136" operator="containsText" text="On Track to be Achieved">
      <formula>NOT(ISERROR(SEARCH("On Track to be Achieved",G109)))</formula>
    </cfRule>
    <cfRule type="containsText" dxfId="115" priority="137" operator="containsText" text="Fully Achieved">
      <formula>NOT(ISERROR(SEARCH("Fully Achieved",G109)))</formula>
    </cfRule>
    <cfRule type="containsText" dxfId="114" priority="138" operator="containsText" text="Fully Achieved">
      <formula>NOT(ISERROR(SEARCH("Fully Achieved",G109)))</formula>
    </cfRule>
    <cfRule type="containsText" dxfId="113" priority="139" operator="containsText" text="Fully Achieved">
      <formula>NOT(ISERROR(SEARCH("Fully Achieved",G109)))</formula>
    </cfRule>
    <cfRule type="containsText" dxfId="112" priority="140" operator="containsText" text="Deferred">
      <formula>NOT(ISERROR(SEARCH("Deferred",G109)))</formula>
    </cfRule>
    <cfRule type="containsText" dxfId="111" priority="141" operator="containsText" text="Deleted">
      <formula>NOT(ISERROR(SEARCH("Deleted",G109)))</formula>
    </cfRule>
    <cfRule type="containsText" dxfId="110" priority="142" operator="containsText" text="In Danger of Falling Behind Target">
      <formula>NOT(ISERROR(SEARCH("In Danger of Falling Behind Target",G109)))</formula>
    </cfRule>
    <cfRule type="containsText" dxfId="109" priority="143" operator="containsText" text="Not yet due">
      <formula>NOT(ISERROR(SEARCH("Not yet due",G109)))</formula>
    </cfRule>
    <cfRule type="containsText" dxfId="108" priority="144" operator="containsText" text="Update not Provided">
      <formula>NOT(ISERROR(SEARCH("Update not Provided",G109)))</formula>
    </cfRule>
  </conditionalFormatting>
  <conditionalFormatting sqref="G118 G116 G114 G120:G122">
    <cfRule type="containsText" dxfId="107" priority="73" operator="containsText" text="On track to be achieved">
      <formula>NOT(ISERROR(SEARCH("On track to be achieved",G114)))</formula>
    </cfRule>
    <cfRule type="containsText" dxfId="106" priority="74" operator="containsText" text="Deferred">
      <formula>NOT(ISERROR(SEARCH("Deferred",G114)))</formula>
    </cfRule>
    <cfRule type="containsText" dxfId="105" priority="75" operator="containsText" text="Deleted">
      <formula>NOT(ISERROR(SEARCH("Deleted",G114)))</formula>
    </cfRule>
    <cfRule type="containsText" dxfId="104" priority="76" operator="containsText" text="In Danger of Falling Behind Target">
      <formula>NOT(ISERROR(SEARCH("In Danger of Falling Behind Target",G114)))</formula>
    </cfRule>
    <cfRule type="containsText" dxfId="103" priority="77" operator="containsText" text="Not yet due">
      <formula>NOT(ISERROR(SEARCH("Not yet due",G114)))</formula>
    </cfRule>
    <cfRule type="containsText" dxfId="102" priority="78" operator="containsText" text="Update not Provided">
      <formula>NOT(ISERROR(SEARCH("Update not Provided",G114)))</formula>
    </cfRule>
    <cfRule type="containsText" dxfId="101" priority="79" operator="containsText" text="Not yet due">
      <formula>NOT(ISERROR(SEARCH("Not yet due",G114)))</formula>
    </cfRule>
    <cfRule type="containsText" dxfId="100" priority="80" operator="containsText" text="Completed Behind Schedule">
      <formula>NOT(ISERROR(SEARCH("Completed Behind Schedule",G114)))</formula>
    </cfRule>
    <cfRule type="containsText" dxfId="99" priority="81" operator="containsText" text="Off Target">
      <formula>NOT(ISERROR(SEARCH("Off Target",G114)))</formula>
    </cfRule>
    <cfRule type="containsText" dxfId="98" priority="82" operator="containsText" text="On Track to be Achieved">
      <formula>NOT(ISERROR(SEARCH("On Track to be Achieved",G114)))</formula>
    </cfRule>
    <cfRule type="containsText" dxfId="97" priority="83" operator="containsText" text="Fully Achieved">
      <formula>NOT(ISERROR(SEARCH("Fully Achieved",G114)))</formula>
    </cfRule>
    <cfRule type="containsText" dxfId="96" priority="84" operator="containsText" text="Not yet due">
      <formula>NOT(ISERROR(SEARCH("Not yet due",G114)))</formula>
    </cfRule>
    <cfRule type="containsText" dxfId="95" priority="85" operator="containsText" text="Not Yet Due">
      <formula>NOT(ISERROR(SEARCH("Not Yet Due",G114)))</formula>
    </cfRule>
    <cfRule type="containsText" dxfId="94" priority="86" operator="containsText" text="Deferred">
      <formula>NOT(ISERROR(SEARCH("Deferred",G114)))</formula>
    </cfRule>
    <cfRule type="containsText" dxfId="93" priority="87" operator="containsText" text="Deleted">
      <formula>NOT(ISERROR(SEARCH("Deleted",G114)))</formula>
    </cfRule>
    <cfRule type="containsText" dxfId="92" priority="88" operator="containsText" text="In Danger of Falling Behind Target">
      <formula>NOT(ISERROR(SEARCH("In Danger of Falling Behind Target",G114)))</formula>
    </cfRule>
    <cfRule type="containsText" dxfId="91" priority="89" operator="containsText" text="Not yet due">
      <formula>NOT(ISERROR(SEARCH("Not yet due",G114)))</formula>
    </cfRule>
    <cfRule type="containsText" dxfId="90" priority="90" operator="containsText" text="Completed Behind Schedule">
      <formula>NOT(ISERROR(SEARCH("Completed Behind Schedule",G114)))</formula>
    </cfRule>
    <cfRule type="containsText" dxfId="89" priority="91" operator="containsText" text="Off Target">
      <formula>NOT(ISERROR(SEARCH("Off Target",G114)))</formula>
    </cfRule>
    <cfRule type="containsText" dxfId="88" priority="92" operator="containsText" text="In Danger of Falling Behind Target">
      <formula>NOT(ISERROR(SEARCH("In Danger of Falling Behind Target",G114)))</formula>
    </cfRule>
    <cfRule type="containsText" dxfId="87" priority="93" operator="containsText" text="On Track to be Achieved">
      <formula>NOT(ISERROR(SEARCH("On Track to be Achieved",G114)))</formula>
    </cfRule>
    <cfRule type="containsText" dxfId="86" priority="94" operator="containsText" text="Fully Achieved">
      <formula>NOT(ISERROR(SEARCH("Fully Achieved",G114)))</formula>
    </cfRule>
    <cfRule type="containsText" dxfId="85" priority="95" operator="containsText" text="Update not Provided">
      <formula>NOT(ISERROR(SEARCH("Update not Provided",G114)))</formula>
    </cfRule>
    <cfRule type="containsText" dxfId="84" priority="96" operator="containsText" text="Not yet due">
      <formula>NOT(ISERROR(SEARCH("Not yet due",G114)))</formula>
    </cfRule>
    <cfRule type="containsText" dxfId="83" priority="97" operator="containsText" text="Completed Behind Schedule">
      <formula>NOT(ISERROR(SEARCH("Completed Behind Schedule",G114)))</formula>
    </cfRule>
    <cfRule type="containsText" dxfId="82" priority="98" operator="containsText" text="Off Target">
      <formula>NOT(ISERROR(SEARCH("Off Target",G114)))</formula>
    </cfRule>
    <cfRule type="containsText" dxfId="81" priority="99" operator="containsText" text="In Danger of Falling Behind Target">
      <formula>NOT(ISERROR(SEARCH("In Danger of Falling Behind Target",G114)))</formula>
    </cfRule>
    <cfRule type="containsText" dxfId="80" priority="100" operator="containsText" text="On Track to be Achieved">
      <formula>NOT(ISERROR(SEARCH("On Track to be Achieved",G114)))</formula>
    </cfRule>
    <cfRule type="containsText" dxfId="79" priority="101" operator="containsText" text="Fully Achieved">
      <formula>NOT(ISERROR(SEARCH("Fully Achieved",G114)))</formula>
    </cfRule>
    <cfRule type="containsText" dxfId="78" priority="102" operator="containsText" text="Fully Achieved">
      <formula>NOT(ISERROR(SEARCH("Fully Achieved",G114)))</formula>
    </cfRule>
    <cfRule type="containsText" dxfId="77" priority="103" operator="containsText" text="Fully Achieved">
      <formula>NOT(ISERROR(SEARCH("Fully Achieved",G114)))</formula>
    </cfRule>
    <cfRule type="containsText" dxfId="76" priority="104" operator="containsText" text="Deferred">
      <formula>NOT(ISERROR(SEARCH("Deferred",G114)))</formula>
    </cfRule>
    <cfRule type="containsText" dxfId="75" priority="105" operator="containsText" text="Deleted">
      <formula>NOT(ISERROR(SEARCH("Deleted",G114)))</formula>
    </cfRule>
    <cfRule type="containsText" dxfId="74" priority="106" operator="containsText" text="In Danger of Falling Behind Target">
      <formula>NOT(ISERROR(SEARCH("In Danger of Falling Behind Target",G114)))</formula>
    </cfRule>
    <cfRule type="containsText" dxfId="73" priority="107" operator="containsText" text="Not yet due">
      <formula>NOT(ISERROR(SEARCH("Not yet due",G114)))</formula>
    </cfRule>
    <cfRule type="containsText" dxfId="72" priority="108" operator="containsText" text="Update not Provided">
      <formula>NOT(ISERROR(SEARCH("Update not Provided",G114)))</formula>
    </cfRule>
  </conditionalFormatting>
  <conditionalFormatting sqref="G124">
    <cfRule type="containsText" dxfId="71" priority="37" operator="containsText" text="On track to be achieved">
      <formula>NOT(ISERROR(SEARCH("On track to be achieved",G124)))</formula>
    </cfRule>
    <cfRule type="containsText" dxfId="70" priority="38" operator="containsText" text="Deferred">
      <formula>NOT(ISERROR(SEARCH("Deferred",G124)))</formula>
    </cfRule>
    <cfRule type="containsText" dxfId="69" priority="39" operator="containsText" text="Deleted">
      <formula>NOT(ISERROR(SEARCH("Deleted",G124)))</formula>
    </cfRule>
    <cfRule type="containsText" dxfId="68" priority="40" operator="containsText" text="In Danger of Falling Behind Target">
      <formula>NOT(ISERROR(SEARCH("In Danger of Falling Behind Target",G124)))</formula>
    </cfRule>
    <cfRule type="containsText" dxfId="67" priority="41" operator="containsText" text="Not yet due">
      <formula>NOT(ISERROR(SEARCH("Not yet due",G124)))</formula>
    </cfRule>
    <cfRule type="containsText" dxfId="66" priority="42" operator="containsText" text="Update not Provided">
      <formula>NOT(ISERROR(SEARCH("Update not Provided",G124)))</formula>
    </cfRule>
    <cfRule type="containsText" dxfId="65" priority="43" operator="containsText" text="Not yet due">
      <formula>NOT(ISERROR(SEARCH("Not yet due",G124)))</formula>
    </cfRule>
    <cfRule type="containsText" dxfId="64" priority="44" operator="containsText" text="Completed Behind Schedule">
      <formula>NOT(ISERROR(SEARCH("Completed Behind Schedule",G124)))</formula>
    </cfRule>
    <cfRule type="containsText" dxfId="63" priority="45" operator="containsText" text="Off Target">
      <formula>NOT(ISERROR(SEARCH("Off Target",G124)))</formula>
    </cfRule>
    <cfRule type="containsText" dxfId="62" priority="46" operator="containsText" text="On Track to be Achieved">
      <formula>NOT(ISERROR(SEARCH("On Track to be Achieved",G124)))</formula>
    </cfRule>
    <cfRule type="containsText" dxfId="61" priority="47" operator="containsText" text="Fully Achieved">
      <formula>NOT(ISERROR(SEARCH("Fully Achieved",G124)))</formula>
    </cfRule>
    <cfRule type="containsText" dxfId="60" priority="48" operator="containsText" text="Not yet due">
      <formula>NOT(ISERROR(SEARCH("Not yet due",G124)))</formula>
    </cfRule>
    <cfRule type="containsText" dxfId="59" priority="49" operator="containsText" text="Not Yet Due">
      <formula>NOT(ISERROR(SEARCH("Not Yet Due",G124)))</formula>
    </cfRule>
    <cfRule type="containsText" dxfId="58" priority="50" operator="containsText" text="Deferred">
      <formula>NOT(ISERROR(SEARCH("Deferred",G124)))</formula>
    </cfRule>
    <cfRule type="containsText" dxfId="57" priority="51" operator="containsText" text="Deleted">
      <formula>NOT(ISERROR(SEARCH("Deleted",G124)))</formula>
    </cfRule>
    <cfRule type="containsText" dxfId="56" priority="52" operator="containsText" text="In Danger of Falling Behind Target">
      <formula>NOT(ISERROR(SEARCH("In Danger of Falling Behind Target",G124)))</formula>
    </cfRule>
    <cfRule type="containsText" dxfId="55" priority="53" operator="containsText" text="Not yet due">
      <formula>NOT(ISERROR(SEARCH("Not yet due",G124)))</formula>
    </cfRule>
    <cfRule type="containsText" dxfId="54" priority="54" operator="containsText" text="Completed Behind Schedule">
      <formula>NOT(ISERROR(SEARCH("Completed Behind Schedule",G124)))</formula>
    </cfRule>
    <cfRule type="containsText" dxfId="53" priority="55" operator="containsText" text="Off Target">
      <formula>NOT(ISERROR(SEARCH("Off Target",G124)))</formula>
    </cfRule>
    <cfRule type="containsText" dxfId="52" priority="56" operator="containsText" text="In Danger of Falling Behind Target">
      <formula>NOT(ISERROR(SEARCH("In Danger of Falling Behind Target",G124)))</formula>
    </cfRule>
    <cfRule type="containsText" dxfId="51" priority="57" operator="containsText" text="On Track to be Achieved">
      <formula>NOT(ISERROR(SEARCH("On Track to be Achieved",G124)))</formula>
    </cfRule>
    <cfRule type="containsText" dxfId="50" priority="58" operator="containsText" text="Fully Achieved">
      <formula>NOT(ISERROR(SEARCH("Fully Achieved",G124)))</formula>
    </cfRule>
    <cfRule type="containsText" dxfId="49" priority="59" operator="containsText" text="Update not Provided">
      <formula>NOT(ISERROR(SEARCH("Update not Provided",G124)))</formula>
    </cfRule>
    <cfRule type="containsText" dxfId="48" priority="60" operator="containsText" text="Not yet due">
      <formula>NOT(ISERROR(SEARCH("Not yet due",G124)))</formula>
    </cfRule>
    <cfRule type="containsText" dxfId="47" priority="61" operator="containsText" text="Completed Behind Schedule">
      <formula>NOT(ISERROR(SEARCH("Completed Behind Schedule",G124)))</formula>
    </cfRule>
    <cfRule type="containsText" dxfId="46" priority="62" operator="containsText" text="Off Target">
      <formula>NOT(ISERROR(SEARCH("Off Target",G124)))</formula>
    </cfRule>
    <cfRule type="containsText" dxfId="45" priority="63" operator="containsText" text="In Danger of Falling Behind Target">
      <formula>NOT(ISERROR(SEARCH("In Danger of Falling Behind Target",G124)))</formula>
    </cfRule>
    <cfRule type="containsText" dxfId="44" priority="64" operator="containsText" text="On Track to be Achieved">
      <formula>NOT(ISERROR(SEARCH("On Track to be Achieved",G124)))</formula>
    </cfRule>
    <cfRule type="containsText" dxfId="43" priority="65" operator="containsText" text="Fully Achieved">
      <formula>NOT(ISERROR(SEARCH("Fully Achieved",G124)))</formula>
    </cfRule>
    <cfRule type="containsText" dxfId="42" priority="66" operator="containsText" text="Fully Achieved">
      <formula>NOT(ISERROR(SEARCH("Fully Achieved",G124)))</formula>
    </cfRule>
    <cfRule type="containsText" dxfId="41" priority="67" operator="containsText" text="Fully Achieved">
      <formula>NOT(ISERROR(SEARCH("Fully Achieved",G124)))</formula>
    </cfRule>
    <cfRule type="containsText" dxfId="40" priority="68" operator="containsText" text="Deferred">
      <formula>NOT(ISERROR(SEARCH("Deferred",G124)))</formula>
    </cfRule>
    <cfRule type="containsText" dxfId="39" priority="69" operator="containsText" text="Deleted">
      <formula>NOT(ISERROR(SEARCH("Deleted",G124)))</formula>
    </cfRule>
    <cfRule type="containsText" dxfId="38" priority="70" operator="containsText" text="In Danger of Falling Behind Target">
      <formula>NOT(ISERROR(SEARCH("In Danger of Falling Behind Target",G124)))</formula>
    </cfRule>
    <cfRule type="containsText" dxfId="37" priority="71" operator="containsText" text="Not yet due">
      <formula>NOT(ISERROR(SEARCH("Not yet due",G124)))</formula>
    </cfRule>
    <cfRule type="containsText" dxfId="36" priority="72" operator="containsText" text="Update not Provided">
      <formula>NOT(ISERROR(SEARCH("Update not Provided",G124)))</formula>
    </cfRule>
  </conditionalFormatting>
  <conditionalFormatting sqref="G126:G127">
    <cfRule type="containsText" dxfId="35" priority="1" operator="containsText" text="On track to be achieved">
      <formula>NOT(ISERROR(SEARCH("On track to be achieved",G126)))</formula>
    </cfRule>
    <cfRule type="containsText" dxfId="34" priority="2" operator="containsText" text="Deferred">
      <formula>NOT(ISERROR(SEARCH("Deferred",G126)))</formula>
    </cfRule>
    <cfRule type="containsText" dxfId="33" priority="3" operator="containsText" text="Deleted">
      <formula>NOT(ISERROR(SEARCH("Deleted",G126)))</formula>
    </cfRule>
    <cfRule type="containsText" dxfId="32" priority="4" operator="containsText" text="In Danger of Falling Behind Target">
      <formula>NOT(ISERROR(SEARCH("In Danger of Falling Behind Target",G126)))</formula>
    </cfRule>
    <cfRule type="containsText" dxfId="31" priority="5" operator="containsText" text="Not yet due">
      <formula>NOT(ISERROR(SEARCH("Not yet due",G126)))</formula>
    </cfRule>
    <cfRule type="containsText" dxfId="30" priority="6" operator="containsText" text="Update not Provided">
      <formula>NOT(ISERROR(SEARCH("Update not Provided",G126)))</formula>
    </cfRule>
    <cfRule type="containsText" dxfId="29" priority="7" operator="containsText" text="Not yet due">
      <formula>NOT(ISERROR(SEARCH("Not yet due",G126)))</formula>
    </cfRule>
    <cfRule type="containsText" dxfId="28" priority="8" operator="containsText" text="Completed Behind Schedule">
      <formula>NOT(ISERROR(SEARCH("Completed Behind Schedule",G126)))</formula>
    </cfRule>
    <cfRule type="containsText" dxfId="27" priority="9" operator="containsText" text="Off Target">
      <formula>NOT(ISERROR(SEARCH("Off Target",G126)))</formula>
    </cfRule>
    <cfRule type="containsText" dxfId="26" priority="10" operator="containsText" text="On Track to be Achieved">
      <formula>NOT(ISERROR(SEARCH("On Track to be Achieved",G126)))</formula>
    </cfRule>
    <cfRule type="containsText" dxfId="25" priority="11" operator="containsText" text="Fully Achieved">
      <formula>NOT(ISERROR(SEARCH("Fully Achieved",G126)))</formula>
    </cfRule>
    <cfRule type="containsText" dxfId="24" priority="12" operator="containsText" text="Not yet due">
      <formula>NOT(ISERROR(SEARCH("Not yet due",G126)))</formula>
    </cfRule>
    <cfRule type="containsText" dxfId="23" priority="13" operator="containsText" text="Not Yet Due">
      <formula>NOT(ISERROR(SEARCH("Not Yet Due",G126)))</formula>
    </cfRule>
    <cfRule type="containsText" dxfId="22" priority="14" operator="containsText" text="Deferred">
      <formula>NOT(ISERROR(SEARCH("Deferred",G126)))</formula>
    </cfRule>
    <cfRule type="containsText" dxfId="21" priority="15" operator="containsText" text="Deleted">
      <formula>NOT(ISERROR(SEARCH("Deleted",G126)))</formula>
    </cfRule>
    <cfRule type="containsText" dxfId="20" priority="16" operator="containsText" text="In Danger of Falling Behind Target">
      <formula>NOT(ISERROR(SEARCH("In Danger of Falling Behind Target",G126)))</formula>
    </cfRule>
    <cfRule type="containsText" dxfId="19" priority="17" operator="containsText" text="Not yet due">
      <formula>NOT(ISERROR(SEARCH("Not yet due",G126)))</formula>
    </cfRule>
    <cfRule type="containsText" dxfId="18" priority="18" operator="containsText" text="Completed Behind Schedule">
      <formula>NOT(ISERROR(SEARCH("Completed Behind Schedule",G126)))</formula>
    </cfRule>
    <cfRule type="containsText" dxfId="17" priority="19" operator="containsText" text="Off Target">
      <formula>NOT(ISERROR(SEARCH("Off Target",G126)))</formula>
    </cfRule>
    <cfRule type="containsText" dxfId="16" priority="20" operator="containsText" text="In Danger of Falling Behind Target">
      <formula>NOT(ISERROR(SEARCH("In Danger of Falling Behind Target",G126)))</formula>
    </cfRule>
    <cfRule type="containsText" dxfId="15" priority="21" operator="containsText" text="On Track to be Achieved">
      <formula>NOT(ISERROR(SEARCH("On Track to be Achieved",G126)))</formula>
    </cfRule>
    <cfRule type="containsText" dxfId="14" priority="22" operator="containsText" text="Fully Achieved">
      <formula>NOT(ISERROR(SEARCH("Fully Achieved",G126)))</formula>
    </cfRule>
    <cfRule type="containsText" dxfId="13" priority="23" operator="containsText" text="Update not Provided">
      <formula>NOT(ISERROR(SEARCH("Update not Provided",G126)))</formula>
    </cfRule>
    <cfRule type="containsText" dxfId="12" priority="24" operator="containsText" text="Not yet due">
      <formula>NOT(ISERROR(SEARCH("Not yet due",G126)))</formula>
    </cfRule>
    <cfRule type="containsText" dxfId="11" priority="25" operator="containsText" text="Completed Behind Schedule">
      <formula>NOT(ISERROR(SEARCH("Completed Behind Schedule",G126)))</formula>
    </cfRule>
    <cfRule type="containsText" dxfId="10" priority="26" operator="containsText" text="Off Target">
      <formula>NOT(ISERROR(SEARCH("Off Target",G126)))</formula>
    </cfRule>
    <cfRule type="containsText" dxfId="9" priority="27" operator="containsText" text="In Danger of Falling Behind Target">
      <formula>NOT(ISERROR(SEARCH("In Danger of Falling Behind Target",G126)))</formula>
    </cfRule>
    <cfRule type="containsText" dxfId="8" priority="28" operator="containsText" text="On Track to be Achieved">
      <formula>NOT(ISERROR(SEARCH("On Track to be Achieved",G126)))</formula>
    </cfRule>
    <cfRule type="containsText" dxfId="7" priority="29" operator="containsText" text="Fully Achieved">
      <formula>NOT(ISERROR(SEARCH("Fully Achieved",G126)))</formula>
    </cfRule>
    <cfRule type="containsText" dxfId="6" priority="30" operator="containsText" text="Fully Achieved">
      <formula>NOT(ISERROR(SEARCH("Fully Achieved",G126)))</formula>
    </cfRule>
    <cfRule type="containsText" dxfId="5" priority="31" operator="containsText" text="Fully Achieved">
      <formula>NOT(ISERROR(SEARCH("Fully Achieved",G126)))</formula>
    </cfRule>
    <cfRule type="containsText" dxfId="4" priority="32" operator="containsText" text="Deferred">
      <formula>NOT(ISERROR(SEARCH("Deferred",G126)))</formula>
    </cfRule>
    <cfRule type="containsText" dxfId="3" priority="33" operator="containsText" text="Deleted">
      <formula>NOT(ISERROR(SEARCH("Deleted",G126)))</formula>
    </cfRule>
    <cfRule type="containsText" dxfId="2" priority="34" operator="containsText" text="In Danger of Falling Behind Target">
      <formula>NOT(ISERROR(SEARCH("In Danger of Falling Behind Target",G126)))</formula>
    </cfRule>
    <cfRule type="containsText" dxfId="1" priority="35" operator="containsText" text="Not yet due">
      <formula>NOT(ISERROR(SEARCH("Not yet due",G126)))</formula>
    </cfRule>
    <cfRule type="containsText" dxfId="0" priority="36" operator="containsText" text="Update not Provided">
      <formula>NOT(ISERROR(SEARCH("Update not Provided",G126)))</formula>
    </cfRule>
  </conditionalFormatting>
  <dataValidations count="2">
    <dataValidation type="list" allowBlank="1" showInputMessage="1" showErrorMessage="1" promptTitle="Is target on track?" prompt="Please choose an option from the drop down list that best describes the current situation for this target." sqref="V85">
      <formula1>$A$117:$A$122</formula1>
    </dataValidation>
    <dataValidation type="list" allowBlank="1" showInputMessage="1" showErrorMessage="1" promptTitle="Is target on track?" prompt="Please choose an option from the drop down list that best describes the current situation for this target." sqref="R85 M85">
      <formula1>$A$128:$A$133</formula1>
    </dataValidation>
  </dataValidations>
  <hyperlinks>
    <hyperlink ref="A1" location="INDEX!A1" display="Back to index"/>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863D"/>
  </sheetPr>
  <dimension ref="B1:AF89"/>
  <sheetViews>
    <sheetView topLeftCell="Q1" zoomScale="70" zoomScaleNormal="70" workbookViewId="0">
      <pane ySplit="1" topLeftCell="A2" activePane="bottomLeft" state="frozen"/>
      <selection pane="bottomLeft" activeCell="Q6" sqref="Q6:Q7"/>
    </sheetView>
  </sheetViews>
  <sheetFormatPr defaultColWidth="9.140625" defaultRowHeight="14.25" x14ac:dyDescent="0.25"/>
  <cols>
    <col min="1" max="1" width="2.140625" style="58" customWidth="1"/>
    <col min="2" max="2" width="38.85546875" style="58" customWidth="1"/>
    <col min="3" max="3" width="13.7109375" style="79" customWidth="1"/>
    <col min="4" max="4" width="13.85546875" style="79" customWidth="1"/>
    <col min="5" max="5" width="16.28515625" style="79" customWidth="1"/>
    <col min="6" max="6" width="14.140625" style="79" customWidth="1"/>
    <col min="7" max="7" width="17.140625" style="79" customWidth="1"/>
    <col min="8" max="8" width="4.7109375" style="79" customWidth="1"/>
    <col min="9" max="9" width="40.140625" style="79" customWidth="1"/>
    <col min="10" max="14" width="17.140625" style="79" customWidth="1"/>
    <col min="15" max="15" width="4.7109375" style="79" customWidth="1"/>
    <col min="16" max="16" width="40.140625" style="79" customWidth="1"/>
    <col min="17" max="20" width="17.140625" style="79" customWidth="1"/>
    <col min="21" max="21" width="17.140625" style="87" customWidth="1"/>
    <col min="22" max="22" width="4.7109375" style="79" customWidth="1"/>
    <col min="23" max="23" width="55.28515625" style="79" customWidth="1"/>
    <col min="24" max="24" width="14.5703125" style="79" customWidth="1"/>
    <col min="25" max="27" width="17.140625" style="79" customWidth="1"/>
    <col min="28" max="28" width="17.140625" style="234" customWidth="1"/>
    <col min="29" max="32" width="9.140625" style="58" customWidth="1"/>
    <col min="33" max="16384" width="9.140625" style="58"/>
  </cols>
  <sheetData>
    <row r="1" spans="2:32" s="56" customFormat="1" ht="20.25" x14ac:dyDescent="0.25">
      <c r="B1" s="64"/>
      <c r="C1" s="254" t="s">
        <v>13</v>
      </c>
      <c r="D1" s="55"/>
      <c r="E1" s="55"/>
      <c r="F1" s="55"/>
      <c r="G1" s="55"/>
      <c r="H1" s="255"/>
      <c r="I1" s="254" t="s">
        <v>14</v>
      </c>
      <c r="J1" s="256"/>
      <c r="K1" s="94"/>
      <c r="L1" s="94"/>
      <c r="M1" s="94"/>
      <c r="N1" s="94"/>
      <c r="O1" s="255"/>
      <c r="P1" s="94" t="s">
        <v>15</v>
      </c>
      <c r="Q1" s="94"/>
      <c r="R1" s="94"/>
      <c r="S1" s="94"/>
      <c r="T1" s="94"/>
      <c r="U1" s="82"/>
      <c r="V1" s="255"/>
      <c r="W1" s="94" t="s">
        <v>16</v>
      </c>
      <c r="X1" s="94"/>
      <c r="Y1" s="94"/>
      <c r="Z1" s="94"/>
      <c r="AA1" s="94"/>
      <c r="AB1" s="228"/>
    </row>
    <row r="2" spans="2:32" ht="15.75" x14ac:dyDescent="0.25">
      <c r="B2" s="65"/>
      <c r="C2" s="57"/>
      <c r="D2" s="57"/>
      <c r="E2" s="57"/>
      <c r="F2" s="57"/>
      <c r="G2" s="57"/>
      <c r="I2" s="95"/>
      <c r="J2" s="95"/>
      <c r="K2" s="95"/>
      <c r="L2" s="95"/>
      <c r="M2" s="95"/>
      <c r="N2" s="95"/>
      <c r="P2" s="95"/>
      <c r="Q2" s="95"/>
      <c r="R2" s="95"/>
      <c r="S2" s="95"/>
      <c r="T2" s="95"/>
      <c r="U2" s="83"/>
      <c r="W2" s="95"/>
      <c r="X2" s="95"/>
      <c r="Y2" s="95"/>
      <c r="Z2" s="95"/>
      <c r="AA2" s="95"/>
      <c r="AB2" s="229"/>
    </row>
    <row r="3" spans="2:32" ht="15.75" x14ac:dyDescent="0.25">
      <c r="B3" s="67" t="s">
        <v>17</v>
      </c>
      <c r="C3" s="175"/>
      <c r="D3" s="175"/>
      <c r="E3" s="175"/>
      <c r="F3" s="175"/>
      <c r="G3" s="176"/>
      <c r="I3" s="303" t="s">
        <v>17</v>
      </c>
      <c r="J3" s="175"/>
      <c r="K3" s="175"/>
      <c r="L3" s="175"/>
      <c r="M3" s="175"/>
      <c r="N3" s="176"/>
      <c r="P3" s="303" t="s">
        <v>17</v>
      </c>
      <c r="Q3" s="77"/>
      <c r="R3" s="77"/>
      <c r="S3" s="77"/>
      <c r="T3" s="77"/>
      <c r="U3" s="84"/>
      <c r="W3" s="303" t="s">
        <v>17</v>
      </c>
      <c r="X3" s="77"/>
      <c r="Y3" s="77"/>
      <c r="Z3" s="77"/>
      <c r="AA3" s="77"/>
      <c r="AB3" s="230"/>
    </row>
    <row r="4" spans="2:32" s="79" customFormat="1" ht="39" customHeight="1" x14ac:dyDescent="0.25">
      <c r="B4" s="78" t="s">
        <v>23</v>
      </c>
      <c r="C4" s="78" t="s">
        <v>24</v>
      </c>
      <c r="D4" s="78" t="s">
        <v>18</v>
      </c>
      <c r="E4" s="78" t="s">
        <v>48</v>
      </c>
      <c r="F4" s="78" t="s">
        <v>29</v>
      </c>
      <c r="G4" s="78" t="s">
        <v>49</v>
      </c>
      <c r="I4" s="78" t="s">
        <v>23</v>
      </c>
      <c r="J4" s="78" t="s">
        <v>24</v>
      </c>
      <c r="K4" s="78" t="s">
        <v>18</v>
      </c>
      <c r="L4" s="78" t="s">
        <v>48</v>
      </c>
      <c r="M4" s="78" t="s">
        <v>29</v>
      </c>
      <c r="N4" s="78" t="s">
        <v>49</v>
      </c>
      <c r="P4" s="78" t="s">
        <v>23</v>
      </c>
      <c r="Q4" s="78" t="s">
        <v>24</v>
      </c>
      <c r="R4" s="78" t="s">
        <v>18</v>
      </c>
      <c r="S4" s="78" t="s">
        <v>48</v>
      </c>
      <c r="T4" s="78" t="s">
        <v>29</v>
      </c>
      <c r="U4" s="85" t="s">
        <v>49</v>
      </c>
      <c r="W4" s="78" t="s">
        <v>23</v>
      </c>
      <c r="X4" s="78" t="s">
        <v>24</v>
      </c>
      <c r="Y4" s="78" t="s">
        <v>18</v>
      </c>
      <c r="Z4" s="78" t="s">
        <v>48</v>
      </c>
      <c r="AA4" s="78" t="s">
        <v>29</v>
      </c>
      <c r="AB4" s="231" t="s">
        <v>49</v>
      </c>
    </row>
    <row r="5" spans="2:32" s="61" customFormat="1" ht="5.25" customHeight="1" x14ac:dyDescent="0.25">
      <c r="B5" s="167"/>
      <c r="C5" s="177"/>
      <c r="D5" s="177"/>
      <c r="E5" s="177"/>
      <c r="F5" s="177"/>
      <c r="G5" s="177"/>
      <c r="H5" s="1"/>
      <c r="I5" s="177"/>
      <c r="J5" s="177"/>
      <c r="K5" s="177"/>
      <c r="L5" s="177"/>
      <c r="M5" s="177"/>
      <c r="N5" s="177"/>
      <c r="O5" s="1"/>
      <c r="P5" s="177"/>
      <c r="Q5" s="177"/>
      <c r="R5" s="177"/>
      <c r="S5" s="177"/>
      <c r="T5" s="177"/>
      <c r="U5" s="178"/>
      <c r="V5" s="1"/>
      <c r="W5" s="177"/>
      <c r="X5" s="177"/>
      <c r="Y5" s="177"/>
      <c r="Z5" s="177"/>
      <c r="AA5" s="177"/>
      <c r="AB5" s="232"/>
    </row>
    <row r="6" spans="2:32" ht="30.75" customHeight="1" x14ac:dyDescent="0.25">
      <c r="B6" s="247" t="s">
        <v>45</v>
      </c>
      <c r="C6" s="257">
        <f>COUNTIF('1. ALL DATA'!$H$5:$H$128,"Fully Achieved")</f>
        <v>17</v>
      </c>
      <c r="D6" s="258">
        <f>C6/C20</f>
        <v>0.13934426229508196</v>
      </c>
      <c r="E6" s="464">
        <f>D6+D7</f>
        <v>0.61475409836065564</v>
      </c>
      <c r="F6" s="258">
        <f>C6/C21</f>
        <v>0.21794871794871795</v>
      </c>
      <c r="G6" s="467">
        <f>F6+F7</f>
        <v>0.96153846153846156</v>
      </c>
      <c r="I6" s="291" t="s">
        <v>45</v>
      </c>
      <c r="J6" s="257">
        <f>COUNTIF('1. ALL DATA'!$M$5:$M$128,"Fully Achieved")</f>
        <v>43</v>
      </c>
      <c r="K6" s="258">
        <f>J6/J20</f>
        <v>0.35245901639344263</v>
      </c>
      <c r="L6" s="464">
        <f>K6+K7</f>
        <v>0.84426229508196715</v>
      </c>
      <c r="M6" s="258">
        <f>J6/J21</f>
        <v>0.40186915887850466</v>
      </c>
      <c r="N6" s="467">
        <f>M6+M7</f>
        <v>0.96261682242990654</v>
      </c>
      <c r="P6" s="296" t="s">
        <v>45</v>
      </c>
      <c r="Q6" s="257">
        <f>COUNTIF('1. ALL DATA'!R5:R128,"Fully Achieved")</f>
        <v>64</v>
      </c>
      <c r="R6" s="258">
        <f>Q6/Q20</f>
        <v>0.52459016393442626</v>
      </c>
      <c r="S6" s="464">
        <f>R6+R7</f>
        <v>0.88524590163934436</v>
      </c>
      <c r="T6" s="258">
        <f>Q6/Q21</f>
        <v>0.5663716814159292</v>
      </c>
      <c r="U6" s="467">
        <f>T6+T7</f>
        <v>0.95575221238938046</v>
      </c>
      <c r="W6" s="296" t="s">
        <v>40</v>
      </c>
      <c r="X6" s="259">
        <f>COUNTIF('1. ALL DATA'!V5:V128,"Fully Achieved")</f>
        <v>113</v>
      </c>
      <c r="Y6" s="258">
        <f>X6/$X$20</f>
        <v>0.92622950819672134</v>
      </c>
      <c r="Z6" s="464">
        <f>Y6+Y7</f>
        <v>0.94262295081967218</v>
      </c>
      <c r="AA6" s="258">
        <f>X6/$X$21</f>
        <v>0.93388429752066116</v>
      </c>
      <c r="AB6" s="467">
        <f>AA6+AA7</f>
        <v>0.95041322314049581</v>
      </c>
    </row>
    <row r="7" spans="2:32" ht="30.75" customHeight="1" x14ac:dyDescent="0.25">
      <c r="B7" s="247" t="s">
        <v>41</v>
      </c>
      <c r="C7" s="257">
        <f>COUNTIF('1. ALL DATA'!H5:H128,"On Track to be Achieved")</f>
        <v>58</v>
      </c>
      <c r="D7" s="258">
        <f>C7/C20</f>
        <v>0.47540983606557374</v>
      </c>
      <c r="E7" s="464"/>
      <c r="F7" s="258">
        <f>C7/C21</f>
        <v>0.74358974358974361</v>
      </c>
      <c r="G7" s="467"/>
      <c r="I7" s="291" t="s">
        <v>41</v>
      </c>
      <c r="J7" s="257">
        <f>COUNTIF('1. ALL DATA'!M5:M128,"On Track to be Achieved")</f>
        <v>60</v>
      </c>
      <c r="K7" s="258">
        <f>J7/J20</f>
        <v>0.49180327868852458</v>
      </c>
      <c r="L7" s="464"/>
      <c r="M7" s="258">
        <f>J7/J21</f>
        <v>0.56074766355140182</v>
      </c>
      <c r="N7" s="467"/>
      <c r="P7" s="296" t="s">
        <v>41</v>
      </c>
      <c r="Q7" s="257">
        <f>COUNTIF('1. ALL DATA'!R5:R128,"On Track to be Achieved")</f>
        <v>44</v>
      </c>
      <c r="R7" s="258">
        <f>Q7/Q20</f>
        <v>0.36065573770491804</v>
      </c>
      <c r="S7" s="464"/>
      <c r="T7" s="258">
        <f>Q7/Q21</f>
        <v>0.38938053097345132</v>
      </c>
      <c r="U7" s="467"/>
      <c r="W7" s="296" t="s">
        <v>79</v>
      </c>
      <c r="X7" s="259">
        <f>COUNTIF('1. ALL DATA'!V5:V128,"Numerical Outturn Within 5% Tolerance")</f>
        <v>2</v>
      </c>
      <c r="Y7" s="258">
        <f>X7/$X$20</f>
        <v>1.6393442622950821E-2</v>
      </c>
      <c r="Z7" s="464"/>
      <c r="AA7" s="258">
        <f>X7/$X$21</f>
        <v>1.6528925619834711E-2</v>
      </c>
      <c r="AB7" s="467"/>
    </row>
    <row r="8" spans="2:32" s="59" customFormat="1" ht="6" customHeight="1" x14ac:dyDescent="0.25">
      <c r="B8" s="51"/>
      <c r="C8" s="260"/>
      <c r="D8" s="192"/>
      <c r="E8" s="192"/>
      <c r="F8" s="192"/>
      <c r="G8" s="52"/>
      <c r="H8" s="261"/>
      <c r="I8" s="292"/>
      <c r="J8" s="260"/>
      <c r="K8" s="192"/>
      <c r="L8" s="192"/>
      <c r="M8" s="192"/>
      <c r="N8" s="52"/>
      <c r="O8" s="261"/>
      <c r="P8" s="297"/>
      <c r="Q8" s="260"/>
      <c r="R8" s="192"/>
      <c r="S8" s="192"/>
      <c r="T8" s="192"/>
      <c r="U8" s="52"/>
      <c r="V8" s="261"/>
      <c r="W8" s="304"/>
      <c r="X8" s="54"/>
      <c r="Y8" s="192"/>
      <c r="Z8" s="192"/>
      <c r="AA8" s="192"/>
      <c r="AB8" s="52"/>
      <c r="AD8" s="61"/>
      <c r="AE8" s="61"/>
      <c r="AF8" s="61"/>
    </row>
    <row r="9" spans="2:32" ht="18.75" customHeight="1" x14ac:dyDescent="0.25">
      <c r="B9" s="462" t="s">
        <v>26</v>
      </c>
      <c r="C9" s="463">
        <f>COUNTIF('1. ALL DATA'!H5:H128,"in danger of falling behind target")</f>
        <v>0</v>
      </c>
      <c r="D9" s="464">
        <f>C9/C20</f>
        <v>0</v>
      </c>
      <c r="E9" s="464">
        <f>D9</f>
        <v>0</v>
      </c>
      <c r="F9" s="464">
        <f>C9/C21</f>
        <v>0</v>
      </c>
      <c r="G9" s="465">
        <f>F9</f>
        <v>0</v>
      </c>
      <c r="I9" s="462" t="s">
        <v>26</v>
      </c>
      <c r="J9" s="463">
        <f>COUNTIF('1. ALL DATA'!M5:M128,"in danger of falling behind target")</f>
        <v>0</v>
      </c>
      <c r="K9" s="464">
        <f>J9/J20</f>
        <v>0</v>
      </c>
      <c r="L9" s="464">
        <f>K9</f>
        <v>0</v>
      </c>
      <c r="M9" s="464">
        <f>J9/J21</f>
        <v>0</v>
      </c>
      <c r="N9" s="465">
        <f>M9</f>
        <v>0</v>
      </c>
      <c r="P9" s="462" t="s">
        <v>26</v>
      </c>
      <c r="Q9" s="463">
        <f>COUNTIF('1. ALL DATA'!R5:R128,"in danger of falling behind target")</f>
        <v>1</v>
      </c>
      <c r="R9" s="464">
        <f>Q9/Q20</f>
        <v>8.1967213114754103E-3</v>
      </c>
      <c r="S9" s="464">
        <f>R9</f>
        <v>8.1967213114754103E-3</v>
      </c>
      <c r="T9" s="464">
        <f>Q9/Q21</f>
        <v>8.8495575221238937E-3</v>
      </c>
      <c r="U9" s="465">
        <f>T9</f>
        <v>8.8495575221238937E-3</v>
      </c>
      <c r="W9" s="298" t="s">
        <v>80</v>
      </c>
      <c r="X9" s="259">
        <f>COUNTIF('1. ALL DATA'!V5:V128,"Numerical Outturn Within 10% Tolerance")</f>
        <v>1</v>
      </c>
      <c r="Y9" s="258">
        <f>X9/$X$20</f>
        <v>8.1967213114754103E-3</v>
      </c>
      <c r="Z9" s="468">
        <f>SUM(Y9:Y11)</f>
        <v>1.6393442622950821E-2</v>
      </c>
      <c r="AA9" s="263">
        <f>X9/$X$21</f>
        <v>8.2644628099173556E-3</v>
      </c>
      <c r="AB9" s="465">
        <f>SUM(AA9:AA11)</f>
        <v>1.6528925619834711E-2</v>
      </c>
      <c r="AD9" s="239"/>
    </row>
    <row r="10" spans="2:32" ht="19.5" customHeight="1" x14ac:dyDescent="0.25">
      <c r="B10" s="462"/>
      <c r="C10" s="463"/>
      <c r="D10" s="464"/>
      <c r="E10" s="464"/>
      <c r="F10" s="464"/>
      <c r="G10" s="465"/>
      <c r="I10" s="462"/>
      <c r="J10" s="463"/>
      <c r="K10" s="464"/>
      <c r="L10" s="464"/>
      <c r="M10" s="464"/>
      <c r="N10" s="465"/>
      <c r="P10" s="462"/>
      <c r="Q10" s="463"/>
      <c r="R10" s="464"/>
      <c r="S10" s="464"/>
      <c r="T10" s="464"/>
      <c r="U10" s="465"/>
      <c r="W10" s="298" t="s">
        <v>81</v>
      </c>
      <c r="X10" s="259">
        <f>COUNTIF('1. ALL DATA'!V5:V128,"Target Partially Met")</f>
        <v>1</v>
      </c>
      <c r="Y10" s="258">
        <f>X10/$X$20</f>
        <v>8.1967213114754103E-3</v>
      </c>
      <c r="Z10" s="469"/>
      <c r="AA10" s="263">
        <f>X10/$X$21</f>
        <v>8.2644628099173556E-3</v>
      </c>
      <c r="AB10" s="465"/>
      <c r="AD10" s="239"/>
    </row>
    <row r="11" spans="2:32" ht="19.5" customHeight="1" x14ac:dyDescent="0.25">
      <c r="B11" s="462"/>
      <c r="C11" s="463"/>
      <c r="D11" s="464"/>
      <c r="E11" s="464"/>
      <c r="F11" s="464"/>
      <c r="G11" s="465"/>
      <c r="I11" s="462"/>
      <c r="J11" s="463"/>
      <c r="K11" s="464"/>
      <c r="L11" s="464"/>
      <c r="M11" s="464"/>
      <c r="N11" s="465"/>
      <c r="P11" s="462"/>
      <c r="Q11" s="463"/>
      <c r="R11" s="464"/>
      <c r="S11" s="464"/>
      <c r="T11" s="464"/>
      <c r="U11" s="465"/>
      <c r="W11" s="298" t="s">
        <v>83</v>
      </c>
      <c r="X11" s="259">
        <f>COUNTIF('1. ALL DATA'!V5:V128,"Completion Date Within Reasonable Tolerance")</f>
        <v>0</v>
      </c>
      <c r="Y11" s="258">
        <f>X11/$X$20</f>
        <v>0</v>
      </c>
      <c r="Z11" s="470"/>
      <c r="AA11" s="263">
        <f>X11/$X$21</f>
        <v>0</v>
      </c>
      <c r="AB11" s="465"/>
      <c r="AD11" s="239"/>
    </row>
    <row r="12" spans="2:32" s="61" customFormat="1" ht="6" customHeight="1" x14ac:dyDescent="0.25">
      <c r="B12" s="167"/>
      <c r="C12" s="177"/>
      <c r="D12" s="251"/>
      <c r="E12" s="251"/>
      <c r="F12" s="251"/>
      <c r="G12" s="169"/>
      <c r="H12" s="1"/>
      <c r="I12" s="294"/>
      <c r="J12" s="177"/>
      <c r="K12" s="251"/>
      <c r="L12" s="251"/>
      <c r="M12" s="251"/>
      <c r="N12" s="169"/>
      <c r="O12" s="1"/>
      <c r="P12" s="299"/>
      <c r="Q12" s="177"/>
      <c r="R12" s="251"/>
      <c r="S12" s="251"/>
      <c r="T12" s="251"/>
      <c r="U12" s="169"/>
      <c r="V12" s="1"/>
      <c r="W12" s="304"/>
      <c r="X12" s="177"/>
      <c r="Y12" s="251"/>
      <c r="Z12" s="251"/>
      <c r="AA12" s="251"/>
      <c r="AB12" s="169"/>
      <c r="AD12" s="171"/>
    </row>
    <row r="13" spans="2:32" ht="29.25" customHeight="1" x14ac:dyDescent="0.25">
      <c r="B13" s="335" t="s">
        <v>42</v>
      </c>
      <c r="C13" s="257">
        <f>COUNTIF('1. ALL DATA'!H5:H128,"completed behind schedule")</f>
        <v>0</v>
      </c>
      <c r="D13" s="258">
        <f>C13/C20</f>
        <v>0</v>
      </c>
      <c r="E13" s="464">
        <f>D13+D14</f>
        <v>2.4590163934426229E-2</v>
      </c>
      <c r="F13" s="258">
        <f>C13/C21</f>
        <v>0</v>
      </c>
      <c r="G13" s="466">
        <f>F13+F14</f>
        <v>3.8461538461538464E-2</v>
      </c>
      <c r="I13" s="336" t="s">
        <v>42</v>
      </c>
      <c r="J13" s="257">
        <f>COUNTIF('1. ALL DATA'!M5:M128,"completed behind schedule")</f>
        <v>1</v>
      </c>
      <c r="K13" s="258">
        <f>J13/J20</f>
        <v>8.1967213114754103E-3</v>
      </c>
      <c r="L13" s="464">
        <f>K13+K14</f>
        <v>3.2786885245901641E-2</v>
      </c>
      <c r="M13" s="258">
        <f>J13/J21</f>
        <v>9.3457943925233638E-3</v>
      </c>
      <c r="N13" s="466">
        <f>M13+M14</f>
        <v>3.7383177570093455E-2</v>
      </c>
      <c r="P13" s="337" t="s">
        <v>42</v>
      </c>
      <c r="Q13" s="257">
        <f>COUNTIF('1. ALL DATA'!R5:R128,"completed behind schedule")</f>
        <v>2</v>
      </c>
      <c r="R13" s="258">
        <f>Q13/Q20</f>
        <v>1.6393442622950821E-2</v>
      </c>
      <c r="S13" s="464">
        <f>R13+R14</f>
        <v>3.2786885245901641E-2</v>
      </c>
      <c r="T13" s="258">
        <f>Q13/Q21</f>
        <v>1.7699115044247787E-2</v>
      </c>
      <c r="U13" s="466">
        <f>T13+T14</f>
        <v>3.5398230088495575E-2</v>
      </c>
      <c r="W13" s="337" t="s">
        <v>82</v>
      </c>
      <c r="X13" s="264">
        <f>COUNTIF('1. ALL DATA'!V5:V128,"Completed Significantly After Target Deadline")</f>
        <v>2</v>
      </c>
      <c r="Y13" s="258">
        <f>X13/$X$20</f>
        <v>1.6393442622950821E-2</v>
      </c>
      <c r="Z13" s="464">
        <f>Y13+Y14</f>
        <v>3.2786885245901641E-2</v>
      </c>
      <c r="AA13" s="258">
        <f>X13/$X$21</f>
        <v>1.6528925619834711E-2</v>
      </c>
      <c r="AB13" s="466">
        <f>AA13+AA14</f>
        <v>3.3057851239669422E-2</v>
      </c>
    </row>
    <row r="14" spans="2:32" ht="29.25" customHeight="1" x14ac:dyDescent="0.25">
      <c r="B14" s="335" t="s">
        <v>27</v>
      </c>
      <c r="C14" s="257">
        <f>COUNTIF('1. ALL DATA'!H5:H128,"off target")</f>
        <v>3</v>
      </c>
      <c r="D14" s="258">
        <f>C14/C20</f>
        <v>2.4590163934426229E-2</v>
      </c>
      <c r="E14" s="464"/>
      <c r="F14" s="258">
        <f>C14/C21</f>
        <v>3.8461538461538464E-2</v>
      </c>
      <c r="G14" s="466"/>
      <c r="I14" s="336" t="s">
        <v>27</v>
      </c>
      <c r="J14" s="257">
        <f>COUNTIF('1. ALL DATA'!M5:M128,"off target")</f>
        <v>3</v>
      </c>
      <c r="K14" s="258">
        <f>J14/J20</f>
        <v>2.4590163934426229E-2</v>
      </c>
      <c r="L14" s="464"/>
      <c r="M14" s="258">
        <f>J14/J21</f>
        <v>2.8037383177570093E-2</v>
      </c>
      <c r="N14" s="466"/>
      <c r="P14" s="337" t="s">
        <v>27</v>
      </c>
      <c r="Q14" s="257">
        <f>COUNTIF('1. ALL DATA'!R5:R128,"off target")</f>
        <v>2</v>
      </c>
      <c r="R14" s="258">
        <f>Q14/Q20</f>
        <v>1.6393442622950821E-2</v>
      </c>
      <c r="S14" s="464"/>
      <c r="T14" s="258">
        <f>Q14/Q21</f>
        <v>1.7699115044247787E-2</v>
      </c>
      <c r="U14" s="466"/>
      <c r="W14" s="337" t="s">
        <v>27</v>
      </c>
      <c r="X14" s="264">
        <f>COUNTIF('1. ALL DATA'!V5:V128,"off target")</f>
        <v>2</v>
      </c>
      <c r="Y14" s="258">
        <f>X14/$X$20</f>
        <v>1.6393442622950821E-2</v>
      </c>
      <c r="Z14" s="464"/>
      <c r="AA14" s="258">
        <f>X14/$X$21</f>
        <v>1.6528925619834711E-2</v>
      </c>
      <c r="AB14" s="466"/>
    </row>
    <row r="15" spans="2:32" s="61" customFormat="1" ht="7.5" customHeight="1" x14ac:dyDescent="0.25">
      <c r="B15" s="167"/>
      <c r="C15" s="265"/>
      <c r="D15" s="251"/>
      <c r="E15" s="251"/>
      <c r="F15" s="251"/>
      <c r="G15" s="172"/>
      <c r="H15" s="1"/>
      <c r="I15" s="294"/>
      <c r="J15" s="265"/>
      <c r="K15" s="251"/>
      <c r="L15" s="251"/>
      <c r="M15" s="251"/>
      <c r="N15" s="172"/>
      <c r="O15" s="1"/>
      <c r="P15" s="177"/>
      <c r="Q15" s="265"/>
      <c r="R15" s="251"/>
      <c r="S15" s="251"/>
      <c r="T15" s="251"/>
      <c r="U15" s="172"/>
      <c r="V15" s="1"/>
      <c r="W15" s="266"/>
      <c r="X15" s="266"/>
      <c r="Y15" s="267"/>
      <c r="Z15" s="267"/>
      <c r="AA15" s="268"/>
      <c r="AB15" s="233"/>
    </row>
    <row r="16" spans="2:32" ht="20.25" customHeight="1" x14ac:dyDescent="0.25">
      <c r="B16" s="46" t="s">
        <v>1</v>
      </c>
      <c r="C16" s="269">
        <f>COUNTIF('1. ALL DATA'!H5:H128,"not yet due")</f>
        <v>44</v>
      </c>
      <c r="D16" s="252">
        <f>C16/C20</f>
        <v>0.36065573770491804</v>
      </c>
      <c r="E16" s="252">
        <f>D16</f>
        <v>0.36065573770491804</v>
      </c>
      <c r="F16" s="49"/>
      <c r="G16" s="45"/>
      <c r="I16" s="284" t="s">
        <v>1</v>
      </c>
      <c r="J16" s="269">
        <f>COUNTIF('1. ALL DATA'!M5:M128,"not yet due")</f>
        <v>14</v>
      </c>
      <c r="K16" s="252">
        <f>J16/J20</f>
        <v>0.11475409836065574</v>
      </c>
      <c r="L16" s="252">
        <f>K16</f>
        <v>0.11475409836065574</v>
      </c>
      <c r="M16" s="49"/>
      <c r="N16" s="45"/>
      <c r="P16" s="284" t="s">
        <v>1</v>
      </c>
      <c r="Q16" s="269">
        <f>COUNTIF('1. ALL DATA'!R5:R128,"not yet due")</f>
        <v>7</v>
      </c>
      <c r="R16" s="252">
        <f>Q16/Q20</f>
        <v>5.737704918032787E-2</v>
      </c>
      <c r="S16" s="252">
        <f>R16</f>
        <v>5.737704918032787E-2</v>
      </c>
      <c r="T16" s="49"/>
      <c r="U16" s="91"/>
      <c r="W16" s="288" t="s">
        <v>1</v>
      </c>
      <c r="X16" s="264">
        <f>COUNTIF('1. ALL DATA'!V5:V128,"not yet due")</f>
        <v>0</v>
      </c>
      <c r="Y16" s="252">
        <f>X16/$X$20</f>
        <v>0</v>
      </c>
      <c r="Z16" s="252">
        <f>Y16</f>
        <v>0</v>
      </c>
      <c r="AA16" s="282"/>
      <c r="AB16" s="283"/>
    </row>
    <row r="17" spans="2:30" ht="20.25" customHeight="1" x14ac:dyDescent="0.25">
      <c r="B17" s="46" t="s">
        <v>46</v>
      </c>
      <c r="C17" s="269">
        <f>COUNTIF('1. ALL DATA'!H5:H128,"update not provided")</f>
        <v>0</v>
      </c>
      <c r="D17" s="252">
        <f>C17/C20</f>
        <v>0</v>
      </c>
      <c r="E17" s="252">
        <f>D17</f>
        <v>0</v>
      </c>
      <c r="F17" s="49"/>
      <c r="G17" s="96"/>
      <c r="I17" s="284" t="s">
        <v>46</v>
      </c>
      <c r="J17" s="269">
        <f>COUNTIF('1. ALL DATA'!M5:M128,"update not provided")</f>
        <v>0</v>
      </c>
      <c r="K17" s="252">
        <f>J17/J20</f>
        <v>0</v>
      </c>
      <c r="L17" s="252">
        <f>K17</f>
        <v>0</v>
      </c>
      <c r="M17" s="49"/>
      <c r="N17" s="96"/>
      <c r="P17" s="284" t="s">
        <v>46</v>
      </c>
      <c r="Q17" s="269">
        <f>COUNTIF('1. ALL DATA'!R5:R128,"update not provided")</f>
        <v>1</v>
      </c>
      <c r="R17" s="252">
        <f>Q17/Q20</f>
        <v>8.1967213114754103E-3</v>
      </c>
      <c r="S17" s="252">
        <f>R17</f>
        <v>8.1967213114754103E-3</v>
      </c>
      <c r="T17" s="49"/>
      <c r="U17" s="92"/>
      <c r="W17" s="289" t="s">
        <v>46</v>
      </c>
      <c r="X17" s="264">
        <f>COUNTIF('1. ALL DATA'!V5:V128,"update not provided")</f>
        <v>0</v>
      </c>
      <c r="Y17" s="252">
        <f>X17/$X$20</f>
        <v>0</v>
      </c>
      <c r="Z17" s="252">
        <f>Y17</f>
        <v>0</v>
      </c>
      <c r="AA17" s="282"/>
    </row>
    <row r="18" spans="2:30" ht="15.75" customHeight="1" x14ac:dyDescent="0.25">
      <c r="B18" s="47" t="s">
        <v>22</v>
      </c>
      <c r="C18" s="269">
        <f>COUNTIF('1. ALL DATA'!H5:H128,"deferred")</f>
        <v>0</v>
      </c>
      <c r="D18" s="253">
        <f>C18/C20</f>
        <v>0</v>
      </c>
      <c r="E18" s="253">
        <f>D18</f>
        <v>0</v>
      </c>
      <c r="F18" s="44"/>
      <c r="G18" s="45"/>
      <c r="I18" s="285" t="s">
        <v>22</v>
      </c>
      <c r="J18" s="269">
        <f>COUNTIF('1. ALL DATA'!M5:M128,"deferred")</f>
        <v>1</v>
      </c>
      <c r="K18" s="253">
        <f>J18/J20</f>
        <v>8.1967213114754103E-3</v>
      </c>
      <c r="L18" s="253">
        <f>K18</f>
        <v>8.1967213114754103E-3</v>
      </c>
      <c r="M18" s="44"/>
      <c r="N18" s="45"/>
      <c r="P18" s="285" t="s">
        <v>22</v>
      </c>
      <c r="Q18" s="269">
        <f>COUNTIF('1. ALL DATA'!R5:R128,"deferred")</f>
        <v>1</v>
      </c>
      <c r="R18" s="253">
        <f>Q18/Q20</f>
        <v>8.1967213114754103E-3</v>
      </c>
      <c r="S18" s="253">
        <f>R18</f>
        <v>8.1967213114754103E-3</v>
      </c>
      <c r="T18" s="44"/>
      <c r="U18" s="91"/>
      <c r="W18" s="285" t="s">
        <v>22</v>
      </c>
      <c r="X18" s="264">
        <f>COUNTIF('1. ALL DATA'!V5:V128,"deferred")</f>
        <v>1</v>
      </c>
      <c r="Y18" s="253">
        <f>X18/$X$20</f>
        <v>8.1967213114754103E-3</v>
      </c>
      <c r="Z18" s="253">
        <f>Y18</f>
        <v>8.1967213114754103E-3</v>
      </c>
      <c r="AA18" s="282"/>
      <c r="AB18" s="235"/>
      <c r="AD18" s="239"/>
    </row>
    <row r="19" spans="2:30" ht="15.75" customHeight="1" x14ac:dyDescent="0.25">
      <c r="B19" s="47" t="s">
        <v>28</v>
      </c>
      <c r="C19" s="269">
        <f>COUNTIF('1. ALL DATA'!H5:H128,"deleted")</f>
        <v>0</v>
      </c>
      <c r="D19" s="270">
        <f>C19/C20</f>
        <v>0</v>
      </c>
      <c r="E19" s="253">
        <f>D19</f>
        <v>0</v>
      </c>
      <c r="F19" s="44"/>
      <c r="G19" s="236" t="s">
        <v>62</v>
      </c>
      <c r="I19" s="285" t="s">
        <v>28</v>
      </c>
      <c r="J19" s="269">
        <f>COUNTIF('1. ALL DATA'!M5:M128,"deleted")</f>
        <v>0</v>
      </c>
      <c r="K19" s="253">
        <f>J19/J20</f>
        <v>0</v>
      </c>
      <c r="L19" s="253">
        <f>K19</f>
        <v>0</v>
      </c>
      <c r="M19" s="44"/>
      <c r="N19" s="236" t="s">
        <v>62</v>
      </c>
      <c r="P19" s="285" t="s">
        <v>28</v>
      </c>
      <c r="Q19" s="269">
        <f>COUNTIF('1. ALL DATA'!R5:R128,"deleted")</f>
        <v>0</v>
      </c>
      <c r="R19" s="253">
        <f>Q19/Q20</f>
        <v>0</v>
      </c>
      <c r="S19" s="253">
        <f>R19</f>
        <v>0</v>
      </c>
      <c r="T19" s="44"/>
      <c r="U19" s="236" t="s">
        <v>62</v>
      </c>
      <c r="W19" s="285" t="s">
        <v>28</v>
      </c>
      <c r="X19" s="264">
        <f>COUNTIF('1. ALL DATA'!V5:V128,"deleted")</f>
        <v>0</v>
      </c>
      <c r="Y19" s="253">
        <f>X19/$X$20</f>
        <v>0</v>
      </c>
      <c r="Z19" s="253">
        <f>Y19</f>
        <v>0</v>
      </c>
      <c r="AA19" s="282"/>
      <c r="AB19" s="236" t="s">
        <v>62</v>
      </c>
    </row>
    <row r="20" spans="2:30" ht="15.75" customHeight="1" x14ac:dyDescent="0.25">
      <c r="B20" s="48" t="s">
        <v>30</v>
      </c>
      <c r="C20" s="271">
        <f>SUM(C6:C19)</f>
        <v>122</v>
      </c>
      <c r="D20" s="44"/>
      <c r="E20" s="44"/>
      <c r="F20" s="45"/>
      <c r="G20" s="45"/>
      <c r="I20" s="286" t="s">
        <v>30</v>
      </c>
      <c r="J20" s="271">
        <f>SUM(J6:J19)</f>
        <v>122</v>
      </c>
      <c r="K20" s="44"/>
      <c r="L20" s="44"/>
      <c r="M20" s="45"/>
      <c r="N20" s="45"/>
      <c r="P20" s="286" t="s">
        <v>30</v>
      </c>
      <c r="Q20" s="271">
        <f>SUM(Q6:Q19)</f>
        <v>122</v>
      </c>
      <c r="R20" s="44"/>
      <c r="S20" s="44"/>
      <c r="T20" s="45"/>
      <c r="U20" s="91"/>
      <c r="W20" s="286" t="s">
        <v>30</v>
      </c>
      <c r="X20" s="272">
        <f>SUM(X6:X19)</f>
        <v>122</v>
      </c>
      <c r="Y20" s="44"/>
      <c r="Z20" s="44"/>
      <c r="AA20" s="282"/>
      <c r="AB20" s="235"/>
    </row>
    <row r="21" spans="2:30" ht="15.75" customHeight="1" x14ac:dyDescent="0.25">
      <c r="B21" s="48" t="s">
        <v>31</v>
      </c>
      <c r="C21" s="271">
        <f>C20-C19-C18-C17-C16</f>
        <v>78</v>
      </c>
      <c r="D21" s="45"/>
      <c r="E21" s="45"/>
      <c r="F21" s="45"/>
      <c r="G21" s="45"/>
      <c r="I21" s="286" t="s">
        <v>31</v>
      </c>
      <c r="J21" s="271">
        <f>J20-J19-J18-J17-J16</f>
        <v>107</v>
      </c>
      <c r="K21" s="45"/>
      <c r="L21" s="45"/>
      <c r="M21" s="45"/>
      <c r="N21" s="45"/>
      <c r="P21" s="286" t="s">
        <v>31</v>
      </c>
      <c r="Q21" s="271">
        <f>Q20-Q19-Q18-Q17-Q16</f>
        <v>113</v>
      </c>
      <c r="R21" s="45"/>
      <c r="S21" s="45"/>
      <c r="T21" s="45"/>
      <c r="U21" s="91"/>
      <c r="W21" s="286" t="s">
        <v>31</v>
      </c>
      <c r="X21" s="272">
        <f>X20-X19-X18-X17-X16</f>
        <v>121</v>
      </c>
      <c r="Y21" s="45"/>
      <c r="Z21" s="45"/>
      <c r="AA21" s="282"/>
      <c r="AB21" s="235"/>
      <c r="AD21" s="239"/>
    </row>
    <row r="22" spans="2:30" ht="15.75" customHeight="1" x14ac:dyDescent="0.25">
      <c r="W22" s="287"/>
      <c r="AA22" s="282"/>
      <c r="AD22" s="239"/>
    </row>
    <row r="23" spans="2:30" ht="15.75" customHeight="1" x14ac:dyDescent="0.25">
      <c r="AA23" s="282"/>
    </row>
    <row r="24" spans="2:30" ht="15" customHeight="1" x14ac:dyDescent="0.25">
      <c r="AA24" s="282"/>
    </row>
    <row r="25" spans="2:30" ht="19.5" customHeight="1" x14ac:dyDescent="0.25">
      <c r="B25" s="180" t="s">
        <v>211</v>
      </c>
      <c r="C25" s="181"/>
      <c r="D25" s="181"/>
      <c r="E25" s="181"/>
      <c r="F25" s="175"/>
      <c r="G25" s="182"/>
      <c r="I25" s="295" t="s">
        <v>211</v>
      </c>
      <c r="J25" s="302"/>
      <c r="K25" s="302"/>
      <c r="L25" s="302"/>
      <c r="M25" s="175"/>
      <c r="N25" s="176"/>
      <c r="P25" s="300" t="s">
        <v>211</v>
      </c>
      <c r="Q25" s="301"/>
      <c r="R25" s="301"/>
      <c r="S25" s="301"/>
      <c r="T25" s="77"/>
      <c r="U25" s="84"/>
      <c r="W25" s="300" t="s">
        <v>211</v>
      </c>
      <c r="X25" s="77"/>
      <c r="Y25" s="77"/>
      <c r="Z25" s="77"/>
      <c r="AA25" s="77"/>
      <c r="AB25" s="230"/>
    </row>
    <row r="26" spans="2:30" ht="42" customHeight="1" x14ac:dyDescent="0.25">
      <c r="B26" s="68" t="s">
        <v>23</v>
      </c>
      <c r="C26" s="78" t="s">
        <v>24</v>
      </c>
      <c r="D26" s="78" t="s">
        <v>18</v>
      </c>
      <c r="E26" s="78" t="s">
        <v>48</v>
      </c>
      <c r="F26" s="78" t="s">
        <v>29</v>
      </c>
      <c r="G26" s="78" t="s">
        <v>49</v>
      </c>
      <c r="I26" s="78" t="s">
        <v>23</v>
      </c>
      <c r="J26" s="78" t="s">
        <v>24</v>
      </c>
      <c r="K26" s="78" t="s">
        <v>18</v>
      </c>
      <c r="L26" s="78" t="s">
        <v>48</v>
      </c>
      <c r="M26" s="78" t="s">
        <v>29</v>
      </c>
      <c r="N26" s="78" t="s">
        <v>49</v>
      </c>
      <c r="P26" s="78" t="s">
        <v>23</v>
      </c>
      <c r="Q26" s="78" t="s">
        <v>24</v>
      </c>
      <c r="R26" s="78" t="s">
        <v>18</v>
      </c>
      <c r="S26" s="78" t="s">
        <v>48</v>
      </c>
      <c r="T26" s="78" t="s">
        <v>29</v>
      </c>
      <c r="U26" s="85" t="s">
        <v>49</v>
      </c>
      <c r="W26" s="78" t="s">
        <v>23</v>
      </c>
      <c r="X26" s="78" t="s">
        <v>24</v>
      </c>
      <c r="Y26" s="78" t="s">
        <v>18</v>
      </c>
      <c r="Z26" s="78" t="s">
        <v>48</v>
      </c>
      <c r="AA26" s="78" t="s">
        <v>29</v>
      </c>
      <c r="AB26" s="231" t="s">
        <v>49</v>
      </c>
    </row>
    <row r="27" spans="2:30" s="61" customFormat="1" ht="6" customHeight="1" x14ac:dyDescent="0.25">
      <c r="B27" s="167"/>
      <c r="C27" s="177"/>
      <c r="D27" s="177"/>
      <c r="E27" s="177"/>
      <c r="F27" s="177"/>
      <c r="G27" s="177"/>
      <c r="H27" s="1"/>
      <c r="I27" s="177"/>
      <c r="J27" s="177"/>
      <c r="K27" s="177"/>
      <c r="L27" s="177"/>
      <c r="M27" s="177"/>
      <c r="N27" s="177"/>
      <c r="O27" s="1"/>
      <c r="P27" s="177"/>
      <c r="Q27" s="177"/>
      <c r="R27" s="177"/>
      <c r="S27" s="177"/>
      <c r="T27" s="177"/>
      <c r="U27" s="178"/>
      <c r="V27" s="1"/>
      <c r="W27" s="177"/>
      <c r="X27" s="177"/>
      <c r="Y27" s="262"/>
      <c r="Z27" s="177"/>
      <c r="AA27" s="177"/>
      <c r="AB27" s="232"/>
    </row>
    <row r="28" spans="2:30" ht="21.75" customHeight="1" x14ac:dyDescent="0.25">
      <c r="B28" s="247" t="s">
        <v>45</v>
      </c>
      <c r="C28" s="257">
        <f>COUNTIFS('1. ALL DATA'!$X$5:$X$128,"Value For Money Council Services",'1. ALL DATA'!$H$5:$H$128,"Fully Achieved")</f>
        <v>7</v>
      </c>
      <c r="D28" s="258">
        <f>C28/C42</f>
        <v>0.1206896551724138</v>
      </c>
      <c r="E28" s="464">
        <f>D28+D29</f>
        <v>0.63793103448275867</v>
      </c>
      <c r="F28" s="258">
        <f>C28/C43</f>
        <v>0.17948717948717949</v>
      </c>
      <c r="G28" s="467">
        <f>F28+F29</f>
        <v>0.94871794871794879</v>
      </c>
      <c r="I28" s="291" t="s">
        <v>45</v>
      </c>
      <c r="J28" s="257">
        <f>COUNTIFS('1. ALL DATA'!$X$5:$X$128,"Value For Money Council Services",'1. ALL DATA'!$M$5:$M$128,"Fully Achieved")</f>
        <v>19</v>
      </c>
      <c r="K28" s="258">
        <f>J28/J42</f>
        <v>0.32758620689655171</v>
      </c>
      <c r="L28" s="464">
        <f>K28+K29</f>
        <v>0.81034482758620685</v>
      </c>
      <c r="M28" s="258">
        <f>J28/J43</f>
        <v>0.38</v>
      </c>
      <c r="N28" s="467">
        <f>M28+M29</f>
        <v>0.94000000000000006</v>
      </c>
      <c r="P28" s="296" t="s">
        <v>45</v>
      </c>
      <c r="Q28" s="257">
        <f>COUNTIFS('1. ALL DATA'!$X$5:$X$128,"Value For Money Council Services",'1. ALL DATA'!$R$5:$R$128,"Fully Achieved")</f>
        <v>26</v>
      </c>
      <c r="R28" s="258">
        <f>Q28/Q42</f>
        <v>0.44827586206896552</v>
      </c>
      <c r="S28" s="464">
        <f>R28+R29</f>
        <v>0.84482758620689657</v>
      </c>
      <c r="T28" s="258">
        <f>Q28/Q43</f>
        <v>0.5</v>
      </c>
      <c r="U28" s="467">
        <f>T28+T29</f>
        <v>0.94230769230769229</v>
      </c>
      <c r="W28" s="296" t="s">
        <v>40</v>
      </c>
      <c r="X28" s="259">
        <f>COUNTIFS('1. ALL DATA'!$X$5:$X$128,"Value For Money Council Services",'1. ALL DATA'!$V$5:$V$128,"Fully Achieved")</f>
        <v>53</v>
      </c>
      <c r="Y28" s="342">
        <f>X28/$X$42</f>
        <v>0.91379310344827591</v>
      </c>
      <c r="Z28" s="464">
        <f>Y28+Y29</f>
        <v>0.93103448275862077</v>
      </c>
      <c r="AA28" s="258">
        <f>X28/$X$43</f>
        <v>0.91379310344827591</v>
      </c>
      <c r="AB28" s="467">
        <f>AA28+AA29</f>
        <v>0.93103448275862077</v>
      </c>
    </row>
    <row r="29" spans="2:30" ht="18.75" customHeight="1" x14ac:dyDescent="0.25">
      <c r="B29" s="247" t="s">
        <v>41</v>
      </c>
      <c r="C29" s="257">
        <f>COUNTIFS('1. ALL DATA'!$X$5:$X$128,"Value For Money Council Services",'1. ALL DATA'!$H$5:$H$128,"On track to be achieved")</f>
        <v>30</v>
      </c>
      <c r="D29" s="258">
        <f>C29/C42</f>
        <v>0.51724137931034486</v>
      </c>
      <c r="E29" s="464"/>
      <c r="F29" s="258">
        <f>C29/C43</f>
        <v>0.76923076923076927</v>
      </c>
      <c r="G29" s="467"/>
      <c r="I29" s="291" t="s">
        <v>41</v>
      </c>
      <c r="J29" s="257">
        <f>COUNTIFS('1. ALL DATA'!$X$5:$X$128,"Value For Money Council Services",'1. ALL DATA'!$M$5:$M$128,"On track to be achieved")</f>
        <v>28</v>
      </c>
      <c r="K29" s="258">
        <f>J29/J42</f>
        <v>0.48275862068965519</v>
      </c>
      <c r="L29" s="464"/>
      <c r="M29" s="258">
        <f>J29/J43</f>
        <v>0.56000000000000005</v>
      </c>
      <c r="N29" s="467"/>
      <c r="P29" s="296" t="s">
        <v>41</v>
      </c>
      <c r="Q29" s="257">
        <f>COUNTIFS('1. ALL DATA'!$X$5:$X$128,"Value For Money Council Services",'1. ALL DATA'!$R$5:$R$128,"On track to be achieved")</f>
        <v>23</v>
      </c>
      <c r="R29" s="258">
        <f>Q29/Q42</f>
        <v>0.39655172413793105</v>
      </c>
      <c r="S29" s="464"/>
      <c r="T29" s="258">
        <f>Q29/Q43</f>
        <v>0.44230769230769229</v>
      </c>
      <c r="U29" s="467"/>
      <c r="W29" s="296" t="s">
        <v>79</v>
      </c>
      <c r="X29" s="264">
        <f>COUNTIFS('1. ALL DATA'!$X$5:$X$128,"Value For Money Council Services",'1. ALL DATA'!$V$5:$V$128,"Numerical Outturn Within 5% Tolerance")</f>
        <v>1</v>
      </c>
      <c r="Y29" s="342">
        <f>X29/$X$42</f>
        <v>1.7241379310344827E-2</v>
      </c>
      <c r="Z29" s="464"/>
      <c r="AA29" s="258">
        <f>X29/$X$43</f>
        <v>1.7241379310344827E-2</v>
      </c>
      <c r="AB29" s="467"/>
    </row>
    <row r="30" spans="2:30" s="61" customFormat="1" ht="6" customHeight="1" x14ac:dyDescent="0.25">
      <c r="B30" s="51"/>
      <c r="C30" s="265"/>
      <c r="D30" s="251"/>
      <c r="E30" s="251"/>
      <c r="F30" s="251"/>
      <c r="G30" s="52"/>
      <c r="H30" s="1"/>
      <c r="I30" s="292"/>
      <c r="J30" s="265"/>
      <c r="K30" s="251"/>
      <c r="L30" s="251"/>
      <c r="M30" s="251"/>
      <c r="N30" s="52"/>
      <c r="O30" s="1"/>
      <c r="P30" s="297"/>
      <c r="Q30" s="265"/>
      <c r="R30" s="251"/>
      <c r="S30" s="251"/>
      <c r="T30" s="251"/>
      <c r="U30" s="52"/>
      <c r="V30" s="1"/>
      <c r="W30" s="304"/>
      <c r="X30" s="177"/>
      <c r="Y30" s="54"/>
      <c r="Z30" s="251"/>
      <c r="AA30" s="251"/>
      <c r="AB30" s="52"/>
    </row>
    <row r="31" spans="2:30" ht="21" customHeight="1" x14ac:dyDescent="0.25">
      <c r="B31" s="462" t="s">
        <v>26</v>
      </c>
      <c r="C31" s="463">
        <f>COUNTIFS('1. ALL DATA'!$X$5:$X$128,"Value For Money Council Services",'1. ALL DATA'!$H$5:$H$128,"In danger of falling behind target")</f>
        <v>0</v>
      </c>
      <c r="D31" s="464">
        <f>C31/C42</f>
        <v>0</v>
      </c>
      <c r="E31" s="464">
        <f>D31</f>
        <v>0</v>
      </c>
      <c r="F31" s="464">
        <f>C31/C43</f>
        <v>0</v>
      </c>
      <c r="G31" s="465">
        <f>F31</f>
        <v>0</v>
      </c>
      <c r="I31" s="462" t="s">
        <v>26</v>
      </c>
      <c r="J31" s="463">
        <f>COUNTIFS('1. ALL DATA'!$X$5:$X$128,"Value For Money Council Services",'1. ALL DATA'!$M$5:$M$128,"In danger of falling behind target")</f>
        <v>0</v>
      </c>
      <c r="K31" s="464">
        <f>J31/J42</f>
        <v>0</v>
      </c>
      <c r="L31" s="464">
        <f>K31</f>
        <v>0</v>
      </c>
      <c r="M31" s="464">
        <f>J31/J43</f>
        <v>0</v>
      </c>
      <c r="N31" s="465">
        <f>M31</f>
        <v>0</v>
      </c>
      <c r="P31" s="462" t="s">
        <v>26</v>
      </c>
      <c r="Q31" s="463">
        <f>COUNTIFS('1. ALL DATA'!$X$5:$X$128,"Value For Money Council Services",'1. ALL DATA'!$R$5:$R$128,"In danger of falling behind target")</f>
        <v>0</v>
      </c>
      <c r="R31" s="464">
        <f>Q31/Q42</f>
        <v>0</v>
      </c>
      <c r="S31" s="464">
        <f>R31</f>
        <v>0</v>
      </c>
      <c r="T31" s="464">
        <f>Q31/Q43</f>
        <v>0</v>
      </c>
      <c r="U31" s="465">
        <f>T31</f>
        <v>0</v>
      </c>
      <c r="W31" s="298" t="s">
        <v>80</v>
      </c>
      <c r="X31" s="264">
        <f>COUNTIFS('1. ALL DATA'!$X$5:$X$128,"Value For Money Council Services",'1. ALL DATA'!$V$5:$V$128,"Numerical Outturn within 10% Tolerance")</f>
        <v>0</v>
      </c>
      <c r="Y31" s="342">
        <f>X31/$X$42</f>
        <v>0</v>
      </c>
      <c r="Z31" s="464">
        <f>SUM(Y31:Y33)</f>
        <v>1.7241379310344827E-2</v>
      </c>
      <c r="AA31" s="263">
        <f>X31/$X$43</f>
        <v>0</v>
      </c>
      <c r="AB31" s="465">
        <f>SUM(AA31:AA33)</f>
        <v>1.7241379310344827E-2</v>
      </c>
    </row>
    <row r="32" spans="2:30" ht="20.25" customHeight="1" x14ac:dyDescent="0.25">
      <c r="B32" s="462"/>
      <c r="C32" s="463"/>
      <c r="D32" s="464"/>
      <c r="E32" s="464"/>
      <c r="F32" s="464"/>
      <c r="G32" s="465"/>
      <c r="I32" s="462"/>
      <c r="J32" s="463"/>
      <c r="K32" s="464"/>
      <c r="L32" s="464"/>
      <c r="M32" s="464"/>
      <c r="N32" s="465"/>
      <c r="P32" s="462"/>
      <c r="Q32" s="463"/>
      <c r="R32" s="464"/>
      <c r="S32" s="464"/>
      <c r="T32" s="464"/>
      <c r="U32" s="465"/>
      <c r="W32" s="298" t="s">
        <v>81</v>
      </c>
      <c r="X32" s="264">
        <f>COUNTIFS('1. ALL DATA'!$X$5:$X$128,"Value For Money Council Services",'1. ALL DATA'!$V$5:$V$128,"Target Partially Met")</f>
        <v>1</v>
      </c>
      <c r="Y32" s="342">
        <f>X32/$X$42</f>
        <v>1.7241379310344827E-2</v>
      </c>
      <c r="Z32" s="464"/>
      <c r="AA32" s="263">
        <f>X32/$X$43</f>
        <v>1.7241379310344827E-2</v>
      </c>
      <c r="AB32" s="465"/>
    </row>
    <row r="33" spans="2:28" ht="18.75" customHeight="1" x14ac:dyDescent="0.25">
      <c r="B33" s="462"/>
      <c r="C33" s="463"/>
      <c r="D33" s="464"/>
      <c r="E33" s="464"/>
      <c r="F33" s="464"/>
      <c r="G33" s="465"/>
      <c r="I33" s="462"/>
      <c r="J33" s="463"/>
      <c r="K33" s="464"/>
      <c r="L33" s="464"/>
      <c r="M33" s="464"/>
      <c r="N33" s="465"/>
      <c r="P33" s="462"/>
      <c r="Q33" s="463"/>
      <c r="R33" s="464"/>
      <c r="S33" s="464"/>
      <c r="T33" s="464"/>
      <c r="U33" s="465"/>
      <c r="W33" s="298" t="s">
        <v>83</v>
      </c>
      <c r="X33" s="264">
        <f>COUNTIFS('1. ALL DATA'!$X$5:$X$128,"Value For Money Council Services",'1. ALL DATA'!$V$5:$V$128,"Completion Date Within Reasonable Tolerance")</f>
        <v>0</v>
      </c>
      <c r="Y33" s="342">
        <f>X33/$X$42</f>
        <v>0</v>
      </c>
      <c r="Z33" s="464"/>
      <c r="AA33" s="263">
        <f>X33/$X$43</f>
        <v>0</v>
      </c>
      <c r="AB33" s="465"/>
    </row>
    <row r="34" spans="2:28" s="61" customFormat="1" ht="6" customHeight="1" x14ac:dyDescent="0.25">
      <c r="B34" s="167"/>
      <c r="C34" s="177"/>
      <c r="D34" s="251"/>
      <c r="E34" s="251"/>
      <c r="F34" s="251"/>
      <c r="G34" s="169"/>
      <c r="H34" s="1"/>
      <c r="I34" s="294"/>
      <c r="J34" s="177"/>
      <c r="K34" s="251"/>
      <c r="L34" s="251"/>
      <c r="M34" s="251"/>
      <c r="N34" s="169"/>
      <c r="O34" s="1"/>
      <c r="P34" s="299"/>
      <c r="Q34" s="177"/>
      <c r="R34" s="251"/>
      <c r="S34" s="251"/>
      <c r="T34" s="251"/>
      <c r="U34" s="169"/>
      <c r="V34" s="1"/>
      <c r="W34" s="304"/>
      <c r="X34" s="177"/>
      <c r="Y34" s="192"/>
      <c r="Z34" s="251"/>
      <c r="AA34" s="251"/>
      <c r="AB34" s="169"/>
    </row>
    <row r="35" spans="2:28" ht="20.25" customHeight="1" x14ac:dyDescent="0.25">
      <c r="B35" s="335" t="s">
        <v>42</v>
      </c>
      <c r="C35" s="257">
        <f>COUNTIFS('1. ALL DATA'!$X$5:$X$128,"Value For Money Council Services",'1. ALL DATA'!$H$5:$H$128,"Completed behind schedule")</f>
        <v>0</v>
      </c>
      <c r="D35" s="258">
        <f>C35/C42</f>
        <v>0</v>
      </c>
      <c r="E35" s="464">
        <f>D35+D36</f>
        <v>3.4482758620689655E-2</v>
      </c>
      <c r="F35" s="258">
        <f>C35/C43</f>
        <v>0</v>
      </c>
      <c r="G35" s="466">
        <f>F35+F36</f>
        <v>5.128205128205128E-2</v>
      </c>
      <c r="I35" s="336" t="s">
        <v>42</v>
      </c>
      <c r="J35" s="257">
        <f>COUNTIFS('1. ALL DATA'!$X$5:$X$128,"Value For Money Council Services",'1. ALL DATA'!$M$5:$M$128,"Completed behind schedule")</f>
        <v>1</v>
      </c>
      <c r="K35" s="258">
        <f>J35/J42</f>
        <v>1.7241379310344827E-2</v>
      </c>
      <c r="L35" s="464">
        <f>K35+K36</f>
        <v>5.1724137931034482E-2</v>
      </c>
      <c r="M35" s="258">
        <f>J35/J43</f>
        <v>0.02</v>
      </c>
      <c r="N35" s="466">
        <f>M35+M36</f>
        <v>0.06</v>
      </c>
      <c r="P35" s="337" t="s">
        <v>42</v>
      </c>
      <c r="Q35" s="257">
        <f>COUNTIFS('1. ALL DATA'!$X$5:$X$128,"Value For Money Council Services",'1. ALL DATA'!$R$5:$R$128,"Completed behind schedule")</f>
        <v>2</v>
      </c>
      <c r="R35" s="258">
        <f>Q35/Q42</f>
        <v>3.4482758620689655E-2</v>
      </c>
      <c r="S35" s="464">
        <f>R35+R36</f>
        <v>5.1724137931034482E-2</v>
      </c>
      <c r="T35" s="258">
        <f>Q35/Q43</f>
        <v>3.8461538461538464E-2</v>
      </c>
      <c r="U35" s="466">
        <f>T35+T36</f>
        <v>5.7692307692307696E-2</v>
      </c>
      <c r="W35" s="337" t="s">
        <v>82</v>
      </c>
      <c r="X35" s="264">
        <f>COUNTIFS('1. ALL DATA'!$X$5:$X$128,"Value For Money Council Services",'1. ALL DATA'!$V$5:$V$128,"Completed Significantly After Target Deadline")</f>
        <v>2</v>
      </c>
      <c r="Y35" s="258">
        <f>X35/$X$42</f>
        <v>3.4482758620689655E-2</v>
      </c>
      <c r="Z35" s="464">
        <f>Y35+Y36</f>
        <v>5.1724137931034482E-2</v>
      </c>
      <c r="AA35" s="258">
        <f>X35/X43</f>
        <v>3.4482758620689655E-2</v>
      </c>
      <c r="AB35" s="466">
        <f>AA35+AA36</f>
        <v>5.1724137931034482E-2</v>
      </c>
    </row>
    <row r="36" spans="2:28" ht="20.25" customHeight="1" x14ac:dyDescent="0.25">
      <c r="B36" s="335" t="s">
        <v>27</v>
      </c>
      <c r="C36" s="257">
        <f>COUNTIFS('1. ALL DATA'!$X$5:$X$128,"Value For Money Council Services",'1. ALL DATA'!$H$5:$H$128,"Off target")</f>
        <v>2</v>
      </c>
      <c r="D36" s="258">
        <f>C36/C42</f>
        <v>3.4482758620689655E-2</v>
      </c>
      <c r="E36" s="464"/>
      <c r="F36" s="258">
        <f>C36/C43</f>
        <v>5.128205128205128E-2</v>
      </c>
      <c r="G36" s="466"/>
      <c r="I36" s="336" t="s">
        <v>27</v>
      </c>
      <c r="J36" s="257">
        <f>COUNTIFS('1. ALL DATA'!$X$5:$X$128,"Value For Money Council Services",'1. ALL DATA'!$M$5:$M$128,"Off target")</f>
        <v>2</v>
      </c>
      <c r="K36" s="258">
        <f>J36/J42</f>
        <v>3.4482758620689655E-2</v>
      </c>
      <c r="L36" s="464"/>
      <c r="M36" s="258">
        <f>J36/J43</f>
        <v>0.04</v>
      </c>
      <c r="N36" s="466"/>
      <c r="P36" s="337" t="s">
        <v>27</v>
      </c>
      <c r="Q36" s="257">
        <f>COUNTIFS('1. ALL DATA'!$X$5:$X$128,"Value For Money Council Services",'1. ALL DATA'!$R$5:$R$128,"Off target")</f>
        <v>1</v>
      </c>
      <c r="R36" s="258">
        <f>Q36/Q42</f>
        <v>1.7241379310344827E-2</v>
      </c>
      <c r="S36" s="464"/>
      <c r="T36" s="258">
        <f>Q36/Q43</f>
        <v>1.9230769230769232E-2</v>
      </c>
      <c r="U36" s="466"/>
      <c r="W36" s="337" t="s">
        <v>27</v>
      </c>
      <c r="X36" s="264">
        <f>COUNTIFS('1. ALL DATA'!$X$5:$X$128,"Value For Money Council Services",'1. ALL DATA'!$V$5:$V$128,"Off Target")</f>
        <v>1</v>
      </c>
      <c r="Y36" s="258">
        <f>X36/$X$42</f>
        <v>1.7241379310344827E-2</v>
      </c>
      <c r="Z36" s="464"/>
      <c r="AA36" s="258">
        <f>X36/X43</f>
        <v>1.7241379310344827E-2</v>
      </c>
      <c r="AB36" s="466"/>
    </row>
    <row r="37" spans="2:28" s="61" customFormat="1" ht="6.75" customHeight="1" x14ac:dyDescent="0.25">
      <c r="B37" s="167"/>
      <c r="C37" s="265"/>
      <c r="D37" s="251"/>
      <c r="E37" s="251"/>
      <c r="F37" s="251"/>
      <c r="G37" s="172"/>
      <c r="H37" s="1"/>
      <c r="I37" s="294"/>
      <c r="J37" s="265"/>
      <c r="K37" s="251"/>
      <c r="L37" s="251"/>
      <c r="M37" s="251"/>
      <c r="N37" s="172"/>
      <c r="O37" s="1"/>
      <c r="P37" s="177"/>
      <c r="Q37" s="265"/>
      <c r="R37" s="251"/>
      <c r="S37" s="251"/>
      <c r="T37" s="251"/>
      <c r="U37" s="172"/>
      <c r="V37" s="1"/>
      <c r="W37" s="266"/>
      <c r="X37" s="266"/>
      <c r="Y37" s="267"/>
      <c r="Z37" s="267"/>
      <c r="AA37" s="268"/>
      <c r="AB37" s="233"/>
    </row>
    <row r="38" spans="2:28" ht="15" customHeight="1" x14ac:dyDescent="0.25">
      <c r="B38" s="46" t="s">
        <v>1</v>
      </c>
      <c r="C38" s="269">
        <f>COUNTIFS('1. ALL DATA'!$X$5:$X$128,"Value For Money Council Services",'1. ALL DATA'!$H$5:$H$128,"Not yet due")</f>
        <v>19</v>
      </c>
      <c r="D38" s="252">
        <f>C38/C42</f>
        <v>0.32758620689655171</v>
      </c>
      <c r="E38" s="252">
        <f>D38</f>
        <v>0.32758620689655171</v>
      </c>
      <c r="F38" s="49"/>
      <c r="G38" s="45"/>
      <c r="I38" s="284" t="s">
        <v>1</v>
      </c>
      <c r="J38" s="269">
        <f>COUNTIFS('1. ALL DATA'!$X$5:$X$128,"Value For Money Council Services",'1. ALL DATA'!$M$5:$M$128,"Not yet due")</f>
        <v>8</v>
      </c>
      <c r="K38" s="252">
        <f>J38/J42</f>
        <v>0.13793103448275862</v>
      </c>
      <c r="L38" s="252">
        <f>K38</f>
        <v>0.13793103448275862</v>
      </c>
      <c r="M38" s="49"/>
      <c r="N38" s="45"/>
      <c r="P38" s="284" t="s">
        <v>1</v>
      </c>
      <c r="Q38" s="269">
        <f>COUNTIFS('1. ALL DATA'!$X$5:$X$128,"Value For Money Council Services",'1. ALL DATA'!$R$5:$R$128,"Not yet due")</f>
        <v>5</v>
      </c>
      <c r="R38" s="252">
        <f>Q38/Q42</f>
        <v>8.6206896551724144E-2</v>
      </c>
      <c r="S38" s="252">
        <f>R38</f>
        <v>8.6206896551724144E-2</v>
      </c>
      <c r="T38" s="49"/>
      <c r="U38" s="91"/>
      <c r="W38" s="288" t="s">
        <v>1</v>
      </c>
      <c r="X38" s="264">
        <f>COUNTIFS('1. ALL DATA'!$X$5:$X$128,"Value For Money Council Services",'1. ALL DATA'!$V$5:$V$128,"not yet due")</f>
        <v>0</v>
      </c>
      <c r="Y38" s="252">
        <f>X38/$X$42</f>
        <v>0</v>
      </c>
      <c r="Z38" s="252">
        <f>Y38</f>
        <v>0</v>
      </c>
      <c r="AA38" s="49"/>
      <c r="AB38" s="235"/>
    </row>
    <row r="39" spans="2:28" ht="15" customHeight="1" x14ac:dyDescent="0.25">
      <c r="B39" s="46" t="s">
        <v>46</v>
      </c>
      <c r="C39" s="269">
        <f>COUNTIFS('1. ALL DATA'!$X$5:$X$128,"Value For Money Council Services",'1. ALL DATA'!$H$5:$H$128,"Update not provided")</f>
        <v>0</v>
      </c>
      <c r="D39" s="252">
        <f>C39/C42</f>
        <v>0</v>
      </c>
      <c r="E39" s="252">
        <f>D39</f>
        <v>0</v>
      </c>
      <c r="F39" s="49"/>
      <c r="G39" s="96"/>
      <c r="I39" s="284" t="s">
        <v>46</v>
      </c>
      <c r="J39" s="269">
        <f>COUNTIFS('1. ALL DATA'!$X$5:$X$128,"Value For Money Council Services",'1. ALL DATA'!$M$5:$M$128,"Update not provided")</f>
        <v>0</v>
      </c>
      <c r="K39" s="252">
        <f>J39/J42</f>
        <v>0</v>
      </c>
      <c r="L39" s="252">
        <f>K39</f>
        <v>0</v>
      </c>
      <c r="M39" s="49"/>
      <c r="N39" s="96"/>
      <c r="P39" s="284" t="s">
        <v>46</v>
      </c>
      <c r="Q39" s="269">
        <f>COUNTIFS('1. ALL DATA'!$X$5:$X$128,"Value For Money Council Services",'1. ALL DATA'!$R$5:$R$128,"Update not provided")</f>
        <v>1</v>
      </c>
      <c r="R39" s="252">
        <f>Q39/Q42</f>
        <v>1.7241379310344827E-2</v>
      </c>
      <c r="S39" s="252">
        <f>R39</f>
        <v>1.7241379310344827E-2</v>
      </c>
      <c r="T39" s="49"/>
      <c r="U39" s="92"/>
      <c r="W39" s="289" t="s">
        <v>46</v>
      </c>
      <c r="X39" s="264">
        <f>COUNTIFS('1. ALL DATA'!$X$5:$X$128,"Value For Money Council Services",'1. ALL DATA'!$V$5:$V$128,"update not provided")</f>
        <v>0</v>
      </c>
      <c r="Y39" s="252">
        <f>X39/$X$42</f>
        <v>0</v>
      </c>
      <c r="Z39" s="252">
        <f>Y39</f>
        <v>0</v>
      </c>
      <c r="AA39" s="49"/>
    </row>
    <row r="40" spans="2:28" ht="15.75" customHeight="1" x14ac:dyDescent="0.25">
      <c r="B40" s="47" t="s">
        <v>22</v>
      </c>
      <c r="C40" s="269">
        <f>COUNTIFS('1. ALL DATA'!$X$5:$X$128,"Value For Money Council Services",'1. ALL DATA'!$H$5:$H$128,"Deferred")</f>
        <v>0</v>
      </c>
      <c r="D40" s="253">
        <f>C40/C42</f>
        <v>0</v>
      </c>
      <c r="E40" s="253">
        <f>D40</f>
        <v>0</v>
      </c>
      <c r="F40" s="44"/>
      <c r="G40" s="45"/>
      <c r="I40" s="285" t="s">
        <v>22</v>
      </c>
      <c r="J40" s="269">
        <f>COUNTIFS('1. ALL DATA'!$X$5:$X$128,"Value For Money Council Services",'1. ALL DATA'!$M$5:$M$128,"Deferred")</f>
        <v>0</v>
      </c>
      <c r="K40" s="253">
        <f>J40/J42</f>
        <v>0</v>
      </c>
      <c r="L40" s="253">
        <f>K40</f>
        <v>0</v>
      </c>
      <c r="M40" s="44"/>
      <c r="N40" s="45"/>
      <c r="P40" s="285" t="s">
        <v>22</v>
      </c>
      <c r="Q40" s="269">
        <f>COUNTIFS('1. ALL DATA'!$X$5:$X$128,"Value For Money Council Services",'1. ALL DATA'!$R$5:$R$128,"Deferred")</f>
        <v>0</v>
      </c>
      <c r="R40" s="253">
        <f>Q40/Q42</f>
        <v>0</v>
      </c>
      <c r="S40" s="253">
        <f>R40</f>
        <v>0</v>
      </c>
      <c r="T40" s="44"/>
      <c r="U40" s="91"/>
      <c r="W40" s="285" t="s">
        <v>22</v>
      </c>
      <c r="X40" s="264">
        <f>COUNTIFS('1. ALL DATA'!$X$5:$X$128,"Value For Money Council Services",'1. ALL DATA'!$V$5:$V$128,"Deferred")</f>
        <v>0</v>
      </c>
      <c r="Y40" s="253">
        <f>X40/$X$42</f>
        <v>0</v>
      </c>
      <c r="Z40" s="253">
        <f>Y40</f>
        <v>0</v>
      </c>
      <c r="AA40" s="44"/>
      <c r="AB40" s="235"/>
    </row>
    <row r="41" spans="2:28" ht="15.75" customHeight="1" x14ac:dyDescent="0.25">
      <c r="B41" s="47" t="s">
        <v>28</v>
      </c>
      <c r="C41" s="269">
        <f>COUNTIFS('1. ALL DATA'!$X$5:$X$128,"Value For Money Council Services",'1. ALL DATA'!$H$5:$H$128,"Deleted")</f>
        <v>0</v>
      </c>
      <c r="D41" s="253">
        <f>C41/C42</f>
        <v>0</v>
      </c>
      <c r="E41" s="253">
        <f>D41</f>
        <v>0</v>
      </c>
      <c r="F41" s="44"/>
      <c r="G41" s="236" t="s">
        <v>62</v>
      </c>
      <c r="I41" s="285" t="s">
        <v>28</v>
      </c>
      <c r="J41" s="269">
        <f>COUNTIFS('1. ALL DATA'!$X$5:$X$128,"Value For Money Council Services",'1. ALL DATA'!$M$5:$M$128,"Deleted")</f>
        <v>0</v>
      </c>
      <c r="K41" s="253">
        <f>J41/J42</f>
        <v>0</v>
      </c>
      <c r="L41" s="253">
        <f>K41</f>
        <v>0</v>
      </c>
      <c r="M41" s="44"/>
      <c r="N41" s="236" t="s">
        <v>62</v>
      </c>
      <c r="P41" s="285" t="s">
        <v>28</v>
      </c>
      <c r="Q41" s="269">
        <f>COUNTIFS('1. ALL DATA'!$X$5:$X$128,"Value For Money Council Services",'1. ALL DATA'!$R$5:$R$128,"Deleted")</f>
        <v>0</v>
      </c>
      <c r="R41" s="253">
        <f>Q41/Q42</f>
        <v>0</v>
      </c>
      <c r="S41" s="253">
        <f>R41</f>
        <v>0</v>
      </c>
      <c r="T41" s="44"/>
      <c r="U41" s="236" t="s">
        <v>62</v>
      </c>
      <c r="W41" s="285" t="s">
        <v>28</v>
      </c>
      <c r="X41" s="264">
        <f>COUNTIFS('1. ALL DATA'!$X$5:$X$128,"Value For Money Council Services",'1. ALL DATA'!$V$5:$V$128,"Deleted")</f>
        <v>0</v>
      </c>
      <c r="Y41" s="253">
        <f>X41/$X$42</f>
        <v>0</v>
      </c>
      <c r="Z41" s="253">
        <f>Y41</f>
        <v>0</v>
      </c>
      <c r="AA41" s="44"/>
      <c r="AB41" s="236" t="s">
        <v>62</v>
      </c>
    </row>
    <row r="42" spans="2:28" ht="15.75" customHeight="1" x14ac:dyDescent="0.25">
      <c r="B42" s="48" t="s">
        <v>30</v>
      </c>
      <c r="C42" s="271">
        <f>SUM(C28:C41)</f>
        <v>58</v>
      </c>
      <c r="D42" s="44"/>
      <c r="E42" s="44"/>
      <c r="F42" s="45"/>
      <c r="G42" s="45"/>
      <c r="I42" s="286" t="s">
        <v>30</v>
      </c>
      <c r="J42" s="271">
        <f>SUM(J28:J41)</f>
        <v>58</v>
      </c>
      <c r="K42" s="44"/>
      <c r="L42" s="44"/>
      <c r="M42" s="45"/>
      <c r="N42" s="45"/>
      <c r="P42" s="286" t="s">
        <v>30</v>
      </c>
      <c r="Q42" s="271">
        <f>SUM(Q28:Q41)</f>
        <v>58</v>
      </c>
      <c r="R42" s="44"/>
      <c r="S42" s="44"/>
      <c r="T42" s="45"/>
      <c r="U42" s="91"/>
      <c r="W42" s="286" t="s">
        <v>30</v>
      </c>
      <c r="X42" s="272">
        <f>SUM(X28:X41)</f>
        <v>58</v>
      </c>
      <c r="Y42" s="44"/>
      <c r="Z42" s="44"/>
      <c r="AA42" s="45"/>
      <c r="AB42" s="235"/>
    </row>
    <row r="43" spans="2:28" ht="15.75" customHeight="1" x14ac:dyDescent="0.25">
      <c r="B43" s="48" t="s">
        <v>31</v>
      </c>
      <c r="C43" s="271">
        <f>C42-C41-C40-C39-C38</f>
        <v>39</v>
      </c>
      <c r="D43" s="45"/>
      <c r="E43" s="45"/>
      <c r="F43" s="45"/>
      <c r="G43" s="45"/>
      <c r="I43" s="286" t="s">
        <v>31</v>
      </c>
      <c r="J43" s="271">
        <f>J42-J41-J40-J39-J38</f>
        <v>50</v>
      </c>
      <c r="K43" s="45"/>
      <c r="L43" s="45"/>
      <c r="M43" s="45"/>
      <c r="N43" s="45"/>
      <c r="P43" s="286" t="s">
        <v>31</v>
      </c>
      <c r="Q43" s="271">
        <f>Q42-Q41-Q40-Q39-Q38</f>
        <v>52</v>
      </c>
      <c r="R43" s="45"/>
      <c r="S43" s="45"/>
      <c r="T43" s="45"/>
      <c r="U43" s="91"/>
      <c r="W43" s="286" t="s">
        <v>31</v>
      </c>
      <c r="X43" s="272">
        <f>X42-X41-X40-X39-X38</f>
        <v>58</v>
      </c>
      <c r="Y43" s="45"/>
      <c r="Z43" s="45"/>
      <c r="AA43" s="45"/>
      <c r="AB43" s="235"/>
    </row>
    <row r="44" spans="2:28" ht="15.75" customHeight="1" x14ac:dyDescent="0.25">
      <c r="P44" s="287"/>
      <c r="W44" s="290"/>
      <c r="X44" s="1"/>
      <c r="Y44" s="1"/>
      <c r="Z44" s="1"/>
      <c r="AA44" s="45"/>
      <c r="AB44" s="235"/>
    </row>
    <row r="45" spans="2:28" ht="15.75" customHeight="1" x14ac:dyDescent="0.25"/>
    <row r="46" spans="2:28" s="61" customFormat="1" ht="15.75" customHeight="1" x14ac:dyDescent="0.25">
      <c r="B46" s="63"/>
      <c r="C46" s="1"/>
      <c r="D46" s="1"/>
      <c r="E46" s="1"/>
      <c r="F46" s="45"/>
      <c r="G46" s="1"/>
      <c r="H46" s="1"/>
      <c r="I46" s="274"/>
      <c r="J46" s="1"/>
      <c r="K46" s="1"/>
      <c r="L46" s="1"/>
      <c r="M46" s="45"/>
      <c r="N46" s="1"/>
      <c r="O46" s="1"/>
      <c r="P46" s="274"/>
      <c r="Q46" s="1"/>
      <c r="R46" s="1"/>
      <c r="S46" s="1"/>
      <c r="T46" s="45"/>
      <c r="U46" s="88"/>
      <c r="V46" s="1"/>
      <c r="W46" s="1"/>
      <c r="X46" s="1"/>
      <c r="Y46" s="1"/>
      <c r="Z46" s="1"/>
      <c r="AA46" s="1"/>
      <c r="AB46" s="235"/>
    </row>
    <row r="47" spans="2:28" ht="15.75" customHeight="1" x14ac:dyDescent="0.25">
      <c r="B47" s="138" t="s">
        <v>212</v>
      </c>
      <c r="C47" s="80"/>
      <c r="D47" s="80"/>
      <c r="E47" s="80"/>
      <c r="F47" s="77"/>
      <c r="G47" s="80"/>
      <c r="I47" s="295" t="s">
        <v>212</v>
      </c>
      <c r="J47" s="181"/>
      <c r="K47" s="181"/>
      <c r="L47" s="181"/>
      <c r="M47" s="175"/>
      <c r="N47" s="182"/>
      <c r="P47" s="300" t="s">
        <v>212</v>
      </c>
      <c r="Q47" s="80"/>
      <c r="R47" s="80"/>
      <c r="S47" s="80"/>
      <c r="T47" s="77"/>
      <c r="U47" s="93"/>
      <c r="W47" s="300" t="s">
        <v>212</v>
      </c>
      <c r="X47" s="77"/>
      <c r="Y47" s="77"/>
      <c r="Z47" s="77"/>
      <c r="AA47" s="77"/>
      <c r="AB47" s="230"/>
    </row>
    <row r="48" spans="2:28" ht="36" customHeight="1" x14ac:dyDescent="0.25">
      <c r="B48" s="68" t="s">
        <v>23</v>
      </c>
      <c r="C48" s="78" t="s">
        <v>24</v>
      </c>
      <c r="D48" s="78" t="s">
        <v>18</v>
      </c>
      <c r="E48" s="78" t="s">
        <v>48</v>
      </c>
      <c r="F48" s="78" t="s">
        <v>29</v>
      </c>
      <c r="G48" s="78" t="s">
        <v>49</v>
      </c>
      <c r="I48" s="78" t="s">
        <v>23</v>
      </c>
      <c r="J48" s="78" t="s">
        <v>24</v>
      </c>
      <c r="K48" s="78" t="s">
        <v>18</v>
      </c>
      <c r="L48" s="78" t="s">
        <v>48</v>
      </c>
      <c r="M48" s="78" t="s">
        <v>29</v>
      </c>
      <c r="N48" s="78" t="s">
        <v>49</v>
      </c>
      <c r="P48" s="78" t="s">
        <v>23</v>
      </c>
      <c r="Q48" s="78" t="s">
        <v>24</v>
      </c>
      <c r="R48" s="78" t="s">
        <v>18</v>
      </c>
      <c r="S48" s="78" t="s">
        <v>48</v>
      </c>
      <c r="T48" s="78" t="s">
        <v>29</v>
      </c>
      <c r="U48" s="85" t="s">
        <v>49</v>
      </c>
      <c r="W48" s="78" t="s">
        <v>23</v>
      </c>
      <c r="X48" s="78" t="s">
        <v>24</v>
      </c>
      <c r="Y48" s="78" t="s">
        <v>18</v>
      </c>
      <c r="Z48" s="78" t="s">
        <v>48</v>
      </c>
      <c r="AA48" s="78" t="s">
        <v>29</v>
      </c>
      <c r="AB48" s="231" t="s">
        <v>49</v>
      </c>
    </row>
    <row r="49" spans="2:32" s="59" customFormat="1" ht="7.5" customHeight="1" x14ac:dyDescent="0.25">
      <c r="B49" s="51"/>
      <c r="C49" s="54"/>
      <c r="D49" s="54"/>
      <c r="E49" s="54"/>
      <c r="F49" s="54"/>
      <c r="G49" s="54"/>
      <c r="H49" s="261"/>
      <c r="I49" s="54"/>
      <c r="J49" s="54"/>
      <c r="K49" s="54"/>
      <c r="L49" s="54"/>
      <c r="M49" s="54"/>
      <c r="N49" s="54"/>
      <c r="O49" s="261"/>
      <c r="P49" s="54"/>
      <c r="Q49" s="54"/>
      <c r="R49" s="54"/>
      <c r="S49" s="54"/>
      <c r="T49" s="54"/>
      <c r="U49" s="86"/>
      <c r="V49" s="261"/>
      <c r="W49" s="54"/>
      <c r="X49" s="54"/>
      <c r="Y49" s="54"/>
      <c r="Z49" s="54"/>
      <c r="AA49" s="54"/>
      <c r="AB49" s="237"/>
      <c r="AD49" s="61"/>
      <c r="AE49" s="61"/>
      <c r="AF49" s="61"/>
    </row>
    <row r="50" spans="2:32" ht="18.75" customHeight="1" x14ac:dyDescent="0.25">
      <c r="B50" s="247" t="s">
        <v>45</v>
      </c>
      <c r="C50" s="257">
        <f>COUNTIFS('1. ALL DATA'!$X$5:$X$128,"PROMOTING LOCAL ECONOMIC GROWTH",'1. ALL DATA'!$H$5:$H$128,"Fully Achieved")</f>
        <v>0</v>
      </c>
      <c r="D50" s="258">
        <f>C50/C64</f>
        <v>0</v>
      </c>
      <c r="E50" s="464">
        <f>D50+D51</f>
        <v>0.7857142857142857</v>
      </c>
      <c r="F50" s="258">
        <f>C50/C65</f>
        <v>0</v>
      </c>
      <c r="G50" s="467">
        <f>F50+F51</f>
        <v>0.91666666666666663</v>
      </c>
      <c r="I50" s="291" t="s">
        <v>45</v>
      </c>
      <c r="J50" s="257">
        <f>COUNTIFS('1. ALL DATA'!$X$5:$X$128,"PROMOTING LOCAL ECONOMIC GROWTH",'1. ALL DATA'!$M$5:$M$128,"Fully Achieved")</f>
        <v>3</v>
      </c>
      <c r="K50" s="258">
        <f>J50/J64</f>
        <v>0.21428571428571427</v>
      </c>
      <c r="L50" s="464">
        <f>K50+K51</f>
        <v>0.7857142857142857</v>
      </c>
      <c r="M50" s="258">
        <f>J50/J65</f>
        <v>0.25</v>
      </c>
      <c r="N50" s="467">
        <f>M50+M51</f>
        <v>0.91666666666666663</v>
      </c>
      <c r="P50" s="296" t="s">
        <v>45</v>
      </c>
      <c r="Q50" s="257">
        <f>COUNTIFS('1. ALL DATA'!$X$5:$X$128,"PROMOTING LOCAL ECONOMIC GROWTH",'1. ALL DATA'!$R$5:$R$128,"Fully Achieved")</f>
        <v>4</v>
      </c>
      <c r="R50" s="258">
        <f>Q50/Q64</f>
        <v>0.2857142857142857</v>
      </c>
      <c r="S50" s="464">
        <f>R50+R51</f>
        <v>0.7857142857142857</v>
      </c>
      <c r="T50" s="258">
        <f>Q50/Q65</f>
        <v>0.33333333333333331</v>
      </c>
      <c r="U50" s="467">
        <f>T50+T51</f>
        <v>0.91666666666666674</v>
      </c>
      <c r="W50" s="291" t="s">
        <v>40</v>
      </c>
      <c r="X50" s="259">
        <f>COUNTIFS('1. ALL DATA'!$X$5:$X$128,"PROMOTING LOCAL ECONOMIC GROWTH",'1. ALL DATA'!$V$5:$V$128,"Fully Achieved")</f>
        <v>12</v>
      </c>
      <c r="Y50" s="258">
        <f>X50/$X$64</f>
        <v>0.8571428571428571</v>
      </c>
      <c r="Z50" s="464">
        <f>Y50+Y51</f>
        <v>0.8571428571428571</v>
      </c>
      <c r="AA50" s="258">
        <f>X50/$X$65</f>
        <v>0.92307692307692313</v>
      </c>
      <c r="AB50" s="467">
        <f>AA50+AA51</f>
        <v>0.92307692307692313</v>
      </c>
    </row>
    <row r="51" spans="2:32" ht="18.75" customHeight="1" x14ac:dyDescent="0.25">
      <c r="B51" s="247" t="s">
        <v>41</v>
      </c>
      <c r="C51" s="257">
        <f>COUNTIFS('1. ALL DATA'!$X$5:$X$128,"PROMOTING LOCAL ECONOMIC GROWTH",'1. ALL DATA'!$H$5:$H$128,"On track to be achieved")</f>
        <v>11</v>
      </c>
      <c r="D51" s="258">
        <f>C51/C64</f>
        <v>0.7857142857142857</v>
      </c>
      <c r="E51" s="464"/>
      <c r="F51" s="258">
        <f>C51/C65</f>
        <v>0.91666666666666663</v>
      </c>
      <c r="G51" s="467"/>
      <c r="I51" s="291" t="s">
        <v>41</v>
      </c>
      <c r="J51" s="257">
        <f>COUNTIFS('1. ALL DATA'!$X$5:$X$128,"PROMOTING LOCAL ECONOMIC GROWTH",'1. ALL DATA'!$M$5:$M$128,"On track to be achieved")</f>
        <v>8</v>
      </c>
      <c r="K51" s="258">
        <f>J51/J64</f>
        <v>0.5714285714285714</v>
      </c>
      <c r="L51" s="464"/>
      <c r="M51" s="258">
        <f>J51/J65</f>
        <v>0.66666666666666663</v>
      </c>
      <c r="N51" s="467"/>
      <c r="P51" s="296" t="s">
        <v>41</v>
      </c>
      <c r="Q51" s="257">
        <f>COUNTIFS('1. ALL DATA'!$X$5:$X$128,"PROMOTING LOCAL ECONOMIC GROWTH",'1. ALL DATA'!$R$5:$R$128,"On track to be achieved")</f>
        <v>7</v>
      </c>
      <c r="R51" s="258">
        <f>Q51/Q64</f>
        <v>0.5</v>
      </c>
      <c r="S51" s="464"/>
      <c r="T51" s="258">
        <f>Q51/Q65</f>
        <v>0.58333333333333337</v>
      </c>
      <c r="U51" s="467"/>
      <c r="W51" s="291" t="s">
        <v>79</v>
      </c>
      <c r="X51" s="259">
        <f>COUNTIFS('1. ALL DATA'!$X$5:$X$128,"PROMOTING LOCAL ECONOMIC GROWTH",'1. ALL DATA'!$V$5:$V$128,"Numerical Outturn Within 5% Tolerance")</f>
        <v>0</v>
      </c>
      <c r="Y51" s="258">
        <f>X51/$X$64</f>
        <v>0</v>
      </c>
      <c r="Z51" s="464"/>
      <c r="AA51" s="258">
        <f>X51/$X$65</f>
        <v>0</v>
      </c>
      <c r="AB51" s="467"/>
    </row>
    <row r="52" spans="2:32" s="59" customFormat="1" ht="6.75" customHeight="1" x14ac:dyDescent="0.25">
      <c r="B52" s="51"/>
      <c r="C52" s="260"/>
      <c r="D52" s="192"/>
      <c r="E52" s="192"/>
      <c r="F52" s="192"/>
      <c r="G52" s="52"/>
      <c r="H52" s="261"/>
      <c r="I52" s="292"/>
      <c r="J52" s="260"/>
      <c r="K52" s="192"/>
      <c r="L52" s="192"/>
      <c r="M52" s="192"/>
      <c r="N52" s="52"/>
      <c r="O52" s="261"/>
      <c r="P52" s="297"/>
      <c r="Q52" s="260"/>
      <c r="R52" s="192"/>
      <c r="S52" s="192"/>
      <c r="T52" s="192"/>
      <c r="U52" s="52"/>
      <c r="V52" s="261"/>
      <c r="W52" s="304"/>
      <c r="X52" s="54"/>
      <c r="Y52" s="192"/>
      <c r="Z52" s="192"/>
      <c r="AA52" s="192"/>
      <c r="AB52" s="52"/>
      <c r="AD52" s="61"/>
      <c r="AE52" s="61"/>
      <c r="AF52" s="61"/>
    </row>
    <row r="53" spans="2:32" ht="19.5" customHeight="1" x14ac:dyDescent="0.25">
      <c r="B53" s="462" t="s">
        <v>26</v>
      </c>
      <c r="C53" s="463">
        <f>COUNTIFS('1. ALL DATA'!$X$5:$X$128,"PROMOTING LOCAL ECONOMIC GROWTH",'1. ALL DATA'!$H$5:$H$128,"In danger of falling behind target")</f>
        <v>0</v>
      </c>
      <c r="D53" s="464">
        <f>C53/C64</f>
        <v>0</v>
      </c>
      <c r="E53" s="464">
        <f>D53</f>
        <v>0</v>
      </c>
      <c r="F53" s="464">
        <f>C53/C65</f>
        <v>0</v>
      </c>
      <c r="G53" s="465">
        <f>F53</f>
        <v>0</v>
      </c>
      <c r="I53" s="462" t="s">
        <v>26</v>
      </c>
      <c r="J53" s="463">
        <f>COUNTIFS('1. ALL DATA'!$X$5:$X$128,"PROMOTING LOCAL ECONOMIC GROWTH",'1. ALL DATA'!$M$5:$M$128,"In danger of falling behind target")</f>
        <v>0</v>
      </c>
      <c r="K53" s="464">
        <f>J53/J64</f>
        <v>0</v>
      </c>
      <c r="L53" s="464">
        <f>K53</f>
        <v>0</v>
      </c>
      <c r="M53" s="464">
        <f>J53/J65</f>
        <v>0</v>
      </c>
      <c r="N53" s="465">
        <f>M53</f>
        <v>0</v>
      </c>
      <c r="P53" s="462" t="s">
        <v>26</v>
      </c>
      <c r="Q53" s="463">
        <f>COUNTIFS('1. ALL DATA'!$X$5:$X$128,"PROMOTING LOCAL ECONOMIC GROWTH",'1. ALL DATA'!$R$5:$R$128,"In danger of falling behind target")</f>
        <v>0</v>
      </c>
      <c r="R53" s="464">
        <f>Q53/Q64</f>
        <v>0</v>
      </c>
      <c r="S53" s="464">
        <f>R53</f>
        <v>0</v>
      </c>
      <c r="T53" s="464">
        <f>Q53/Q65</f>
        <v>0</v>
      </c>
      <c r="U53" s="465">
        <f>T53</f>
        <v>0</v>
      </c>
      <c r="W53" s="293" t="s">
        <v>80</v>
      </c>
      <c r="X53" s="259">
        <f>COUNTIFS('1. ALL DATA'!$X$5:$X$128,"PROMOTING LOCAL ECONOMIC GROWTH",'1. ALL DATA'!$V$5:$V$128,"Numerical Outturn Within 10% Tolerance")</f>
        <v>0</v>
      </c>
      <c r="Y53" s="258">
        <f>X53/$X$64</f>
        <v>0</v>
      </c>
      <c r="Z53" s="468">
        <f>SUM(Y53:Y55)</f>
        <v>0</v>
      </c>
      <c r="AA53" s="263">
        <f>X53/$X$65</f>
        <v>0</v>
      </c>
      <c r="AB53" s="465">
        <f>SUM(AA53:AA55)</f>
        <v>0</v>
      </c>
    </row>
    <row r="54" spans="2:32" ht="19.5" customHeight="1" x14ac:dyDescent="0.25">
      <c r="B54" s="462"/>
      <c r="C54" s="463"/>
      <c r="D54" s="464"/>
      <c r="E54" s="464"/>
      <c r="F54" s="464"/>
      <c r="G54" s="465"/>
      <c r="I54" s="462"/>
      <c r="J54" s="463"/>
      <c r="K54" s="464"/>
      <c r="L54" s="464"/>
      <c r="M54" s="464"/>
      <c r="N54" s="465"/>
      <c r="P54" s="462"/>
      <c r="Q54" s="463"/>
      <c r="R54" s="464"/>
      <c r="S54" s="464"/>
      <c r="T54" s="464"/>
      <c r="U54" s="465"/>
      <c r="W54" s="293" t="s">
        <v>81</v>
      </c>
      <c r="X54" s="259">
        <f>COUNTIFS('1. ALL DATA'!$X$5:$X$128,"PROMOTING LOCAL ECONOMIC GROWTH",'1. ALL DATA'!$V$5:$V$128,"Target Partially Met")</f>
        <v>0</v>
      </c>
      <c r="Y54" s="258">
        <f>X54/$X$64</f>
        <v>0</v>
      </c>
      <c r="Z54" s="469"/>
      <c r="AA54" s="263">
        <f>X54/$X$65</f>
        <v>0</v>
      </c>
      <c r="AB54" s="465"/>
    </row>
    <row r="55" spans="2:32" ht="19.5" customHeight="1" x14ac:dyDescent="0.25">
      <c r="B55" s="462"/>
      <c r="C55" s="463"/>
      <c r="D55" s="464"/>
      <c r="E55" s="464"/>
      <c r="F55" s="464"/>
      <c r="G55" s="465"/>
      <c r="I55" s="462"/>
      <c r="J55" s="463"/>
      <c r="K55" s="464"/>
      <c r="L55" s="464"/>
      <c r="M55" s="464"/>
      <c r="N55" s="465"/>
      <c r="P55" s="462"/>
      <c r="Q55" s="463"/>
      <c r="R55" s="464"/>
      <c r="S55" s="464"/>
      <c r="T55" s="464"/>
      <c r="U55" s="465"/>
      <c r="W55" s="293" t="s">
        <v>83</v>
      </c>
      <c r="X55" s="259">
        <f>COUNTIFS('1. ALL DATA'!$X$5:$X$128,"PROMOTING LOCAL ECONOMIC GROWTH",'1. ALL DATA'!$V$5:$V$128,"Completion Date Within Reasonable Tolerance")</f>
        <v>0</v>
      </c>
      <c r="Y55" s="258">
        <f>X55/$X$64</f>
        <v>0</v>
      </c>
      <c r="Z55" s="470"/>
      <c r="AA55" s="263">
        <f>X55/$X$65</f>
        <v>0</v>
      </c>
      <c r="AB55" s="465"/>
    </row>
    <row r="56" spans="2:32" s="59" customFormat="1" ht="6" customHeight="1" x14ac:dyDescent="0.25">
      <c r="B56" s="167"/>
      <c r="C56" s="54"/>
      <c r="D56" s="192"/>
      <c r="E56" s="192"/>
      <c r="F56" s="192"/>
      <c r="G56" s="169"/>
      <c r="H56" s="261"/>
      <c r="I56" s="294"/>
      <c r="J56" s="54"/>
      <c r="K56" s="192"/>
      <c r="L56" s="192"/>
      <c r="M56" s="192"/>
      <c r="N56" s="169"/>
      <c r="O56" s="261"/>
      <c r="P56" s="299"/>
      <c r="Q56" s="54"/>
      <c r="R56" s="192"/>
      <c r="S56" s="192"/>
      <c r="T56" s="192"/>
      <c r="U56" s="169"/>
      <c r="V56" s="261"/>
      <c r="W56" s="304"/>
      <c r="X56" s="54"/>
      <c r="Y56" s="192"/>
      <c r="Z56" s="192"/>
      <c r="AA56" s="192"/>
      <c r="AB56" s="169"/>
      <c r="AD56" s="61"/>
      <c r="AE56" s="61"/>
      <c r="AF56" s="61"/>
    </row>
    <row r="57" spans="2:32" ht="22.5" customHeight="1" x14ac:dyDescent="0.25">
      <c r="B57" s="335" t="s">
        <v>42</v>
      </c>
      <c r="C57" s="257">
        <f>COUNTIFS('1. ALL DATA'!$X$5:$X$128,"PROMOTING LOCAL ECONOMIC GROWTH",'1. ALL DATA'!$H$5:$H$128,"Completed behind schedule")</f>
        <v>0</v>
      </c>
      <c r="D57" s="258">
        <f>C57/C64</f>
        <v>0</v>
      </c>
      <c r="E57" s="464">
        <f>D57+D58</f>
        <v>7.1428571428571425E-2</v>
      </c>
      <c r="F57" s="258">
        <f>C57/C65</f>
        <v>0</v>
      </c>
      <c r="G57" s="466">
        <f>F57+F58</f>
        <v>8.3333333333333329E-2</v>
      </c>
      <c r="I57" s="336" t="s">
        <v>42</v>
      </c>
      <c r="J57" s="257">
        <f>COUNTIFS('1. ALL DATA'!$X$5:$X$128,"PROMOTING LOCAL ECONOMIC GROWTH",'1. ALL DATA'!$M$5:$M$128,"Completed behind schedule")</f>
        <v>0</v>
      </c>
      <c r="K57" s="258">
        <f>J57/J64</f>
        <v>0</v>
      </c>
      <c r="L57" s="464">
        <f>K57+K58</f>
        <v>7.1428571428571425E-2</v>
      </c>
      <c r="M57" s="258">
        <f>J57/J65</f>
        <v>0</v>
      </c>
      <c r="N57" s="466">
        <f>M57+M58</f>
        <v>8.3333333333333329E-2</v>
      </c>
      <c r="P57" s="337" t="s">
        <v>42</v>
      </c>
      <c r="Q57" s="257">
        <f>COUNTIFS('1. ALL DATA'!$X$5:$X$128,"PROMOTING LOCAL ECONOMIC GROWTH",'1. ALL DATA'!$R$5:$R$128,"Completed behind schedule")</f>
        <v>0</v>
      </c>
      <c r="R57" s="258">
        <f>Q57/Q64</f>
        <v>0</v>
      </c>
      <c r="S57" s="464">
        <f>R57+R58</f>
        <v>7.1428571428571425E-2</v>
      </c>
      <c r="T57" s="258">
        <f>Q57/Q65</f>
        <v>0</v>
      </c>
      <c r="U57" s="466">
        <f>T57+T58</f>
        <v>8.3333333333333329E-2</v>
      </c>
      <c r="W57" s="336" t="s">
        <v>82</v>
      </c>
      <c r="X57" s="264">
        <f>COUNTIFS('1. ALL DATA'!$X$5:$X$128,"PROMOTING LOCAL ECONOMIC GROWTH",'1. ALL DATA'!$V$5:$V$128,"Completed Significantly After Target Deadline")</f>
        <v>0</v>
      </c>
      <c r="Y57" s="258">
        <f>X57/$X$64</f>
        <v>0</v>
      </c>
      <c r="Z57" s="464">
        <f>Y57+Y58</f>
        <v>7.1428571428571425E-2</v>
      </c>
      <c r="AA57" s="258">
        <f>X57/$X$65</f>
        <v>0</v>
      </c>
      <c r="AB57" s="466">
        <f>AA57+AA58</f>
        <v>7.6923076923076927E-2</v>
      </c>
    </row>
    <row r="58" spans="2:32" ht="22.5" customHeight="1" x14ac:dyDescent="0.25">
      <c r="B58" s="335" t="s">
        <v>27</v>
      </c>
      <c r="C58" s="257">
        <f>COUNTIFS('1. ALL DATA'!$X$5:$X$128,"PROMOTING LOCAL ECONOMIC GROWTH",'1. ALL DATA'!$H$5:$H$128,"Off target")</f>
        <v>1</v>
      </c>
      <c r="D58" s="258">
        <f>C58/C64</f>
        <v>7.1428571428571425E-2</v>
      </c>
      <c r="E58" s="464"/>
      <c r="F58" s="258">
        <f>C58/C65</f>
        <v>8.3333333333333329E-2</v>
      </c>
      <c r="G58" s="466"/>
      <c r="I58" s="336" t="s">
        <v>27</v>
      </c>
      <c r="J58" s="257">
        <f>COUNTIFS('1. ALL DATA'!$X$5:$X$128,"PROMOTING LOCAL ECONOMIC GROWTH",'1. ALL DATA'!$M$5:$M$128,"Off target")</f>
        <v>1</v>
      </c>
      <c r="K58" s="258">
        <f>J58/J64</f>
        <v>7.1428571428571425E-2</v>
      </c>
      <c r="L58" s="464"/>
      <c r="M58" s="258">
        <f>J58/J65</f>
        <v>8.3333333333333329E-2</v>
      </c>
      <c r="N58" s="466"/>
      <c r="P58" s="337" t="s">
        <v>27</v>
      </c>
      <c r="Q58" s="257">
        <f>COUNTIFS('1. ALL DATA'!$X$5:$X$128,"PROMOTING LOCAL ECONOMIC GROWTH",'1. ALL DATA'!$R$5:$R$128,"Off target")</f>
        <v>1</v>
      </c>
      <c r="R58" s="258">
        <f>Q58/Q64</f>
        <v>7.1428571428571425E-2</v>
      </c>
      <c r="S58" s="464"/>
      <c r="T58" s="258">
        <f>Q58/Q65</f>
        <v>8.3333333333333329E-2</v>
      </c>
      <c r="U58" s="466"/>
      <c r="W58" s="336" t="s">
        <v>27</v>
      </c>
      <c r="X58" s="264">
        <f>COUNTIFS('1. ALL DATA'!$X$5:$X$128,"PROMOTING LOCAL ECONOMIC GROWTH",'1. ALL DATA'!$V$5:$V$128,"Off Target")</f>
        <v>1</v>
      </c>
      <c r="Y58" s="258">
        <f>X58/$X$64</f>
        <v>7.1428571428571425E-2</v>
      </c>
      <c r="Z58" s="464"/>
      <c r="AA58" s="258">
        <f>X58/$X$65</f>
        <v>7.6923076923076927E-2</v>
      </c>
      <c r="AB58" s="466"/>
    </row>
    <row r="59" spans="2:32" s="59" customFormat="1" ht="6.75" customHeight="1" x14ac:dyDescent="0.25">
      <c r="B59" s="51"/>
      <c r="C59" s="260"/>
      <c r="D59" s="192"/>
      <c r="E59" s="192"/>
      <c r="F59" s="192"/>
      <c r="G59" s="90"/>
      <c r="H59" s="261"/>
      <c r="I59" s="54"/>
      <c r="J59" s="260"/>
      <c r="K59" s="192"/>
      <c r="L59" s="192"/>
      <c r="M59" s="192"/>
      <c r="N59" s="90"/>
      <c r="O59" s="261"/>
      <c r="P59" s="54"/>
      <c r="Q59" s="260"/>
      <c r="R59" s="192"/>
      <c r="S59" s="192"/>
      <c r="T59" s="192"/>
      <c r="U59" s="90"/>
      <c r="V59" s="261"/>
      <c r="W59" s="275"/>
      <c r="X59" s="275"/>
      <c r="Y59" s="276"/>
      <c r="Z59" s="276"/>
      <c r="AA59" s="277"/>
      <c r="AB59" s="238"/>
      <c r="AD59" s="61"/>
      <c r="AE59" s="61"/>
      <c r="AF59" s="61"/>
    </row>
    <row r="60" spans="2:32" ht="15.75" customHeight="1" x14ac:dyDescent="0.25">
      <c r="B60" s="46" t="s">
        <v>1</v>
      </c>
      <c r="C60" s="269">
        <f>COUNTIFS('1. ALL DATA'!$X$5:$X$128,"PROMOTING LOCAL ECONOMIC GROWTH",'1. ALL DATA'!$H$5:$H$128,"Not yet due")</f>
        <v>2</v>
      </c>
      <c r="D60" s="252">
        <f>C60/C64</f>
        <v>0.14285714285714285</v>
      </c>
      <c r="E60" s="252">
        <f>D60</f>
        <v>0.14285714285714285</v>
      </c>
      <c r="F60" s="49"/>
      <c r="G60" s="45"/>
      <c r="I60" s="284" t="s">
        <v>1</v>
      </c>
      <c r="J60" s="269">
        <f>COUNTIFS('1. ALL DATA'!$X$5:$X$128,"PROMOTING LOCAL ECONOMIC GROWTH",'1. ALL DATA'!$M$5:$M$128,"Not yet due")</f>
        <v>1</v>
      </c>
      <c r="K60" s="252">
        <f>J60/J64</f>
        <v>7.1428571428571425E-2</v>
      </c>
      <c r="L60" s="252">
        <f>K60</f>
        <v>7.1428571428571425E-2</v>
      </c>
      <c r="M60" s="49"/>
      <c r="N60" s="45"/>
      <c r="P60" s="284" t="s">
        <v>1</v>
      </c>
      <c r="Q60" s="269">
        <f>COUNTIFS('1. ALL DATA'!$X$5:$X$128,"PROMOTING LOCAL ECONOMIC GROWTH",'1. ALL DATA'!$R$5:$R$128,"Not yet due")</f>
        <v>1</v>
      </c>
      <c r="R60" s="252">
        <f>Q60/Q64</f>
        <v>7.1428571428571425E-2</v>
      </c>
      <c r="S60" s="252">
        <f>R60</f>
        <v>7.1428571428571425E-2</v>
      </c>
      <c r="T60" s="49"/>
      <c r="U60" s="91"/>
      <c r="W60" s="305" t="s">
        <v>1</v>
      </c>
      <c r="X60" s="264">
        <f>COUNTIFS('1. ALL DATA'!$X$5:$X$128,"PROMOTING LOCAL ECONOMIC GROWTH",'1. ALL DATA'!$V$5:$V$128,"not yet due")</f>
        <v>0</v>
      </c>
      <c r="Y60" s="252">
        <f>X60/$X$64</f>
        <v>0</v>
      </c>
      <c r="Z60" s="252">
        <f>Y60</f>
        <v>0</v>
      </c>
      <c r="AA60" s="49"/>
      <c r="AB60" s="235"/>
    </row>
    <row r="61" spans="2:32" ht="15.75" customHeight="1" x14ac:dyDescent="0.25">
      <c r="B61" s="46" t="s">
        <v>46</v>
      </c>
      <c r="C61" s="269">
        <f>COUNTIFS('1. ALL DATA'!$X$5:$X$128,"PROMOTING LOCAL ECONOMIC GROWTH",'1. ALL DATA'!$H$5:$H$128,"Update not provided")</f>
        <v>0</v>
      </c>
      <c r="D61" s="252">
        <f>C61/C64</f>
        <v>0</v>
      </c>
      <c r="E61" s="252">
        <f>D61</f>
        <v>0</v>
      </c>
      <c r="F61" s="49"/>
      <c r="G61" s="96"/>
      <c r="I61" s="284" t="s">
        <v>46</v>
      </c>
      <c r="J61" s="269">
        <f>COUNTIFS('1. ALL DATA'!$X$5:$X$128,"PROMOTING LOCAL ECONOMIC GROWTH",'1. ALL DATA'!$M$5:$M$128,"Update not provided")</f>
        <v>0</v>
      </c>
      <c r="K61" s="252">
        <f>J61/J64</f>
        <v>0</v>
      </c>
      <c r="L61" s="252">
        <f>K61</f>
        <v>0</v>
      </c>
      <c r="M61" s="49"/>
      <c r="N61" s="96"/>
      <c r="P61" s="284" t="s">
        <v>46</v>
      </c>
      <c r="Q61" s="269">
        <f>COUNTIFS('1. ALL DATA'!$X$5:$X$128,"PROMOTING LOCAL ECONOMIC GROWTH",'1. ALL DATA'!$R$5:$R$128,"Update not provided")</f>
        <v>0</v>
      </c>
      <c r="R61" s="252">
        <f>Q61/Q64</f>
        <v>0</v>
      </c>
      <c r="S61" s="252">
        <f>R61</f>
        <v>0</v>
      </c>
      <c r="T61" s="49"/>
      <c r="U61" s="92"/>
      <c r="W61" s="306" t="s">
        <v>46</v>
      </c>
      <c r="X61" s="264">
        <f>COUNTIFS('1. ALL DATA'!$X$5:$X$128,"PROMOTING LOCAL ECONOMIC GROWTH",'1. ALL DATA'!$V$5:$V$128,"update not provided")</f>
        <v>0</v>
      </c>
      <c r="Y61" s="252">
        <f>X61/$X$64</f>
        <v>0</v>
      </c>
      <c r="Z61" s="252">
        <f>Y61</f>
        <v>0</v>
      </c>
      <c r="AA61" s="49"/>
    </row>
    <row r="62" spans="2:32" ht="15.75" customHeight="1" x14ac:dyDescent="0.25">
      <c r="B62" s="47" t="s">
        <v>22</v>
      </c>
      <c r="C62" s="269">
        <f>COUNTIFS('1. ALL DATA'!$X$5:$X$128,"PROMOTING LOCAL ECONOMIC GROWTH",'1. ALL DATA'!$H$5:$H$128,"Deferred")</f>
        <v>0</v>
      </c>
      <c r="D62" s="253">
        <f>C62/C64</f>
        <v>0</v>
      </c>
      <c r="E62" s="253">
        <f>D62</f>
        <v>0</v>
      </c>
      <c r="F62" s="44"/>
      <c r="G62" s="45"/>
      <c r="I62" s="285" t="s">
        <v>22</v>
      </c>
      <c r="J62" s="269">
        <f>COUNTIFS('1. ALL DATA'!$X$5:$X$128,"PROMOTING LOCAL ECONOMIC GROWTH",'1. ALL DATA'!$M$5:$M$128,"Deferred")</f>
        <v>1</v>
      </c>
      <c r="K62" s="253">
        <f>J62/J64</f>
        <v>7.1428571428571425E-2</v>
      </c>
      <c r="L62" s="253">
        <f>K62</f>
        <v>7.1428571428571425E-2</v>
      </c>
      <c r="M62" s="44"/>
      <c r="N62" s="45"/>
      <c r="P62" s="285" t="s">
        <v>22</v>
      </c>
      <c r="Q62" s="269">
        <f>COUNTIFS('1. ALL DATA'!$X$5:$X$128,"PROMOTING LOCAL ECONOMIC GROWTH",'1. ALL DATA'!$R$5:$R$128,"Deferred")</f>
        <v>1</v>
      </c>
      <c r="R62" s="253">
        <f>Q62/Q64</f>
        <v>7.1428571428571425E-2</v>
      </c>
      <c r="S62" s="253">
        <f>R62</f>
        <v>7.1428571428571425E-2</v>
      </c>
      <c r="T62" s="44"/>
      <c r="U62" s="91"/>
      <c r="W62" s="307" t="s">
        <v>22</v>
      </c>
      <c r="X62" s="264">
        <f>COUNTIFS('1. ALL DATA'!$X$5:$X$128,"PROMOTING LOCAL ECONOMIC GROWTH",'1. ALL DATA'!$V$5:$V$128,"Deferred")</f>
        <v>1</v>
      </c>
      <c r="Y62" s="253">
        <f>X62/$X$64</f>
        <v>7.1428571428571425E-2</v>
      </c>
      <c r="Z62" s="253">
        <f>Y62</f>
        <v>7.1428571428571425E-2</v>
      </c>
      <c r="AA62" s="44"/>
      <c r="AB62" s="236" t="s">
        <v>62</v>
      </c>
    </row>
    <row r="63" spans="2:32" ht="15.75" customHeight="1" x14ac:dyDescent="0.25">
      <c r="B63" s="47" t="s">
        <v>28</v>
      </c>
      <c r="C63" s="269">
        <f>COUNTIFS('1. ALL DATA'!$X$5:$X$128,"PROMOTING LOCAL ECONOMIC GROWTH",'1. ALL DATA'!$H$5:$H$128,"Deleted")</f>
        <v>0</v>
      </c>
      <c r="D63" s="253">
        <f>C63/C64</f>
        <v>0</v>
      </c>
      <c r="E63" s="253">
        <f>D63</f>
        <v>0</v>
      </c>
      <c r="F63" s="44"/>
      <c r="G63" s="236" t="s">
        <v>62</v>
      </c>
      <c r="I63" s="285" t="s">
        <v>28</v>
      </c>
      <c r="J63" s="269">
        <f>COUNTIFS('1. ALL DATA'!$X$5:$X$128,"PROMOTING LOCAL ECONOMIC GROWTH",'1. ALL DATA'!$M$5:$M$128,"Deleted")</f>
        <v>0</v>
      </c>
      <c r="K63" s="253">
        <f>J63/J64</f>
        <v>0</v>
      </c>
      <c r="L63" s="253">
        <f>K63</f>
        <v>0</v>
      </c>
      <c r="M63" s="44"/>
      <c r="N63" s="236" t="s">
        <v>62</v>
      </c>
      <c r="P63" s="285" t="s">
        <v>28</v>
      </c>
      <c r="Q63" s="269">
        <f>COUNTIFS('1. ALL DATA'!$X$5:$X$128,"PROMOTING LOCAL ECONOMIC GROWTH",'1. ALL DATA'!$R$5:$R$128,"Deleted")</f>
        <v>0</v>
      </c>
      <c r="R63" s="253">
        <f>Q63/Q64</f>
        <v>0</v>
      </c>
      <c r="S63" s="253">
        <f>R63</f>
        <v>0</v>
      </c>
      <c r="T63" s="44"/>
      <c r="U63" s="236" t="s">
        <v>62</v>
      </c>
      <c r="W63" s="307" t="s">
        <v>28</v>
      </c>
      <c r="X63" s="264">
        <f>COUNTIFS('1. ALL DATA'!$X$5:$X$128,"PROMOTING LOCAL ECONOMIC GROWTH",'1. ALL DATA'!$V$5:$V$128,"Deleted")</f>
        <v>0</v>
      </c>
      <c r="Y63" s="253">
        <f>X63/$X$64</f>
        <v>0</v>
      </c>
      <c r="Z63" s="253">
        <f>Y63</f>
        <v>0</v>
      </c>
      <c r="AA63" s="44"/>
      <c r="AB63" s="236"/>
    </row>
    <row r="64" spans="2:32" ht="15.75" customHeight="1" x14ac:dyDescent="0.25">
      <c r="B64" s="48" t="s">
        <v>30</v>
      </c>
      <c r="C64" s="271">
        <f>SUM(C50:C63)</f>
        <v>14</v>
      </c>
      <c r="D64" s="44"/>
      <c r="E64" s="44"/>
      <c r="F64" s="45"/>
      <c r="G64" s="45"/>
      <c r="I64" s="286" t="s">
        <v>30</v>
      </c>
      <c r="J64" s="271">
        <f>SUM(J50:J63)</f>
        <v>14</v>
      </c>
      <c r="K64" s="44"/>
      <c r="L64" s="44"/>
      <c r="M64" s="45"/>
      <c r="N64" s="45"/>
      <c r="P64" s="286" t="s">
        <v>30</v>
      </c>
      <c r="Q64" s="271">
        <f>SUM(Q50:Q63)</f>
        <v>14</v>
      </c>
      <c r="R64" s="44"/>
      <c r="S64" s="44"/>
      <c r="T64" s="45"/>
      <c r="U64" s="91"/>
      <c r="W64" s="308" t="s">
        <v>30</v>
      </c>
      <c r="X64" s="272">
        <f>SUM(X50:X63)</f>
        <v>14</v>
      </c>
      <c r="Y64" s="44"/>
      <c r="Z64" s="44"/>
      <c r="AA64" s="45"/>
      <c r="AB64" s="235"/>
    </row>
    <row r="65" spans="2:28" ht="15.75" customHeight="1" x14ac:dyDescent="0.25">
      <c r="B65" s="48" t="s">
        <v>31</v>
      </c>
      <c r="C65" s="271">
        <f>C64-C63-C62-C61-C60</f>
        <v>12</v>
      </c>
      <c r="D65" s="45"/>
      <c r="E65" s="45"/>
      <c r="F65" s="45"/>
      <c r="G65" s="45"/>
      <c r="I65" s="286" t="s">
        <v>31</v>
      </c>
      <c r="J65" s="271">
        <f>J64-J63-J62-J61-J60</f>
        <v>12</v>
      </c>
      <c r="K65" s="45"/>
      <c r="L65" s="45"/>
      <c r="M65" s="45"/>
      <c r="N65" s="45"/>
      <c r="P65" s="286" t="s">
        <v>31</v>
      </c>
      <c r="Q65" s="271">
        <f>Q64-Q63-Q62-Q61-Q60</f>
        <v>12</v>
      </c>
      <c r="R65" s="45"/>
      <c r="S65" s="45"/>
      <c r="T65" s="45"/>
      <c r="U65" s="91"/>
      <c r="W65" s="308" t="s">
        <v>31</v>
      </c>
      <c r="X65" s="272">
        <f>X64-X63-X62-X61-X60</f>
        <v>13</v>
      </c>
      <c r="Y65" s="45"/>
      <c r="Z65" s="45"/>
      <c r="AA65" s="45"/>
      <c r="AB65" s="235"/>
    </row>
    <row r="66" spans="2:28" ht="15.75" customHeight="1" x14ac:dyDescent="0.25">
      <c r="X66" s="278"/>
    </row>
    <row r="67" spans="2:28" ht="15.75" customHeight="1" x14ac:dyDescent="0.25">
      <c r="X67" s="278"/>
    </row>
    <row r="68" spans="2:28" ht="15.75" customHeight="1" x14ac:dyDescent="0.25">
      <c r="X68" s="278"/>
    </row>
    <row r="69" spans="2:28" ht="15.75" customHeight="1" x14ac:dyDescent="0.25">
      <c r="B69" s="160" t="s">
        <v>213</v>
      </c>
      <c r="C69" s="80"/>
      <c r="D69" s="80"/>
      <c r="E69" s="80"/>
      <c r="F69" s="77"/>
      <c r="G69" s="80"/>
      <c r="I69" s="295" t="s">
        <v>213</v>
      </c>
      <c r="J69" s="181"/>
      <c r="K69" s="181"/>
      <c r="L69" s="181"/>
      <c r="M69" s="175"/>
      <c r="N69" s="182"/>
      <c r="P69" s="300" t="s">
        <v>213</v>
      </c>
      <c r="Q69" s="80"/>
      <c r="R69" s="80"/>
      <c r="S69" s="80"/>
      <c r="T69" s="77"/>
      <c r="U69" s="93"/>
      <c r="W69" s="273" t="s">
        <v>213</v>
      </c>
      <c r="X69" s="279"/>
      <c r="Y69" s="77"/>
      <c r="Z69" s="77"/>
      <c r="AA69" s="77"/>
      <c r="AB69" s="230"/>
    </row>
    <row r="70" spans="2:28" ht="41.25" customHeight="1" x14ac:dyDescent="0.25">
      <c r="B70" s="68" t="s">
        <v>23</v>
      </c>
      <c r="C70" s="78" t="s">
        <v>24</v>
      </c>
      <c r="D70" s="78" t="s">
        <v>18</v>
      </c>
      <c r="E70" s="78" t="s">
        <v>48</v>
      </c>
      <c r="F70" s="78" t="s">
        <v>29</v>
      </c>
      <c r="G70" s="78" t="s">
        <v>49</v>
      </c>
      <c r="I70" s="78" t="s">
        <v>23</v>
      </c>
      <c r="J70" s="78" t="s">
        <v>24</v>
      </c>
      <c r="K70" s="78" t="s">
        <v>18</v>
      </c>
      <c r="L70" s="78" t="s">
        <v>48</v>
      </c>
      <c r="M70" s="78" t="s">
        <v>29</v>
      </c>
      <c r="N70" s="78" t="s">
        <v>49</v>
      </c>
      <c r="P70" s="78" t="s">
        <v>23</v>
      </c>
      <c r="Q70" s="78" t="s">
        <v>24</v>
      </c>
      <c r="R70" s="78" t="s">
        <v>18</v>
      </c>
      <c r="S70" s="78" t="s">
        <v>48</v>
      </c>
      <c r="T70" s="78" t="s">
        <v>29</v>
      </c>
      <c r="U70" s="85" t="s">
        <v>49</v>
      </c>
      <c r="W70" s="78" t="s">
        <v>23</v>
      </c>
      <c r="X70" s="78" t="s">
        <v>24</v>
      </c>
      <c r="Y70" s="78" t="s">
        <v>18</v>
      </c>
      <c r="Z70" s="78" t="s">
        <v>48</v>
      </c>
      <c r="AA70" s="78" t="s">
        <v>29</v>
      </c>
      <c r="AB70" s="231" t="s">
        <v>49</v>
      </c>
    </row>
    <row r="71" spans="2:28" ht="6.75" customHeight="1" x14ac:dyDescent="0.25">
      <c r="B71" s="51"/>
      <c r="C71" s="54"/>
      <c r="D71" s="54"/>
      <c r="E71" s="54"/>
      <c r="F71" s="54"/>
      <c r="G71" s="54"/>
      <c r="I71" s="54"/>
      <c r="J71" s="54"/>
      <c r="K71" s="54"/>
      <c r="L71" s="54"/>
      <c r="M71" s="54"/>
      <c r="N71" s="54"/>
      <c r="P71" s="54"/>
      <c r="Q71" s="54"/>
      <c r="R71" s="54"/>
      <c r="S71" s="54"/>
      <c r="T71" s="54"/>
      <c r="U71" s="86"/>
      <c r="W71" s="54"/>
      <c r="X71" s="54"/>
      <c r="Y71" s="54"/>
      <c r="Z71" s="54"/>
      <c r="AA71" s="54"/>
      <c r="AB71" s="237"/>
    </row>
    <row r="72" spans="2:28" ht="27.75" customHeight="1" x14ac:dyDescent="0.25">
      <c r="B72" s="247" t="s">
        <v>45</v>
      </c>
      <c r="C72" s="257">
        <f>COUNTIFS('1. ALL DATA'!$X$5:$X$128,"PROTECTING AND STRENGTHENING COMMUNITIES",'1. ALL DATA'!$H$5:$H$128,"Fully Achieved")</f>
        <v>10</v>
      </c>
      <c r="D72" s="258">
        <f>C72/C86</f>
        <v>0.2</v>
      </c>
      <c r="E72" s="464">
        <f>D72+D73</f>
        <v>0.54</v>
      </c>
      <c r="F72" s="258">
        <f>C72/C87</f>
        <v>0.37037037037037035</v>
      </c>
      <c r="G72" s="467">
        <f>F72+F73</f>
        <v>1</v>
      </c>
      <c r="I72" s="296" t="s">
        <v>45</v>
      </c>
      <c r="J72" s="257">
        <f>COUNTIFS('1. ALL DATA'!$X$5:$X$128,"PROTECTING AND STRENGTHENING COMMUNITIES",'1. ALL DATA'!$M$5:$M$128,"Fully Achieved")</f>
        <v>21</v>
      </c>
      <c r="K72" s="258">
        <f>J72/J86</f>
        <v>0.42</v>
      </c>
      <c r="L72" s="464">
        <f>K72+K73</f>
        <v>0.89999999999999991</v>
      </c>
      <c r="M72" s="258">
        <f>J72/J87</f>
        <v>0.46666666666666667</v>
      </c>
      <c r="N72" s="467">
        <f>M72+M73</f>
        <v>1</v>
      </c>
      <c r="P72" s="296" t="s">
        <v>45</v>
      </c>
      <c r="Q72" s="257">
        <f>COUNTIFS('1. ALL DATA'!$X$5:$X$128,"PROTECTING AND STRENGTHENING COMMUNITIES",'1. ALL DATA'!$R$5:$R$128,"Fully Achieved")</f>
        <v>34</v>
      </c>
      <c r="R72" s="258">
        <f>Q72/Q86</f>
        <v>0.68</v>
      </c>
      <c r="S72" s="464">
        <f>R72+R73</f>
        <v>0.96000000000000008</v>
      </c>
      <c r="T72" s="258">
        <f>Q72/Q87</f>
        <v>0.69387755102040816</v>
      </c>
      <c r="U72" s="467">
        <f>T72+T73</f>
        <v>0.97959183673469385</v>
      </c>
      <c r="W72" s="296" t="s">
        <v>40</v>
      </c>
      <c r="X72" s="259">
        <f>COUNTIFS('1. ALL DATA'!$X$5:$X$128,"PROTECTING AND STRENGTHENING COMMUNITIES",'1. ALL DATA'!$V$5:$V$128,"Fully Achieved")</f>
        <v>48</v>
      </c>
      <c r="Y72" s="258">
        <f>X72/$X$86</f>
        <v>0.96</v>
      </c>
      <c r="Z72" s="464">
        <f>Y72+Y73</f>
        <v>0.98</v>
      </c>
      <c r="AA72" s="258">
        <f>X72/$X$87</f>
        <v>0.96</v>
      </c>
      <c r="AB72" s="467">
        <f>AA72+AA73</f>
        <v>0.98</v>
      </c>
    </row>
    <row r="73" spans="2:28" ht="27.75" customHeight="1" x14ac:dyDescent="0.25">
      <c r="B73" s="247" t="s">
        <v>41</v>
      </c>
      <c r="C73" s="257">
        <f>COUNTIFS('1. ALL DATA'!$X$5:$X$128,"PROTECTING AND STRENGTHENING COMMUNITIES",'1. ALL DATA'!$H$5:$H$128,"On track to be achieved")</f>
        <v>17</v>
      </c>
      <c r="D73" s="258">
        <f>C73/C86</f>
        <v>0.34</v>
      </c>
      <c r="E73" s="464"/>
      <c r="F73" s="258">
        <f>C73/C87</f>
        <v>0.62962962962962965</v>
      </c>
      <c r="G73" s="467"/>
      <c r="I73" s="296" t="s">
        <v>41</v>
      </c>
      <c r="J73" s="257">
        <f>COUNTIFS('1. ALL DATA'!$X$5:$X$128,"PROTECTING AND STRENGTHENING COMMUNITIES",'1. ALL DATA'!$M$5:$M$128,"On track to be achieved")</f>
        <v>24</v>
      </c>
      <c r="K73" s="258">
        <f>J73/J86</f>
        <v>0.48</v>
      </c>
      <c r="L73" s="464"/>
      <c r="M73" s="258">
        <f>J73/J87</f>
        <v>0.53333333333333333</v>
      </c>
      <c r="N73" s="467"/>
      <c r="P73" s="296" t="s">
        <v>41</v>
      </c>
      <c r="Q73" s="257">
        <f>COUNTIFS('1. ALL DATA'!$X$5:$X$128,"PROTECTING AND STRENGTHENING COMMUNITIES",'1. ALL DATA'!$R$5:$R$128,"On track to be achieved")</f>
        <v>14</v>
      </c>
      <c r="R73" s="258">
        <f>Q73/Q86</f>
        <v>0.28000000000000003</v>
      </c>
      <c r="S73" s="464"/>
      <c r="T73" s="258">
        <f>Q73/Q87</f>
        <v>0.2857142857142857</v>
      </c>
      <c r="U73" s="467"/>
      <c r="W73" s="296" t="s">
        <v>79</v>
      </c>
      <c r="X73" s="259">
        <f>COUNTIFS('1. ALL DATA'!$X$5:$X$128,"PROTECTING AND STRENGTHENING COMMUNITIES",'1. ALL DATA'!$V$5:$V$128,"Numerical Outturn Within 5% Tolerance")</f>
        <v>1</v>
      </c>
      <c r="Y73" s="258">
        <f>X73/$X$86</f>
        <v>0.02</v>
      </c>
      <c r="Z73" s="464"/>
      <c r="AA73" s="258">
        <f>X73/$X$87</f>
        <v>0.02</v>
      </c>
      <c r="AB73" s="467"/>
    </row>
    <row r="74" spans="2:28" ht="7.5" customHeight="1" x14ac:dyDescent="0.25">
      <c r="B74" s="51"/>
      <c r="C74" s="260"/>
      <c r="D74" s="192"/>
      <c r="E74" s="192"/>
      <c r="F74" s="192"/>
      <c r="G74" s="52"/>
      <c r="I74" s="297"/>
      <c r="J74" s="260"/>
      <c r="K74" s="192"/>
      <c r="L74" s="192"/>
      <c r="M74" s="192"/>
      <c r="N74" s="52"/>
      <c r="P74" s="297"/>
      <c r="Q74" s="260"/>
      <c r="R74" s="192"/>
      <c r="S74" s="192"/>
      <c r="T74" s="192"/>
      <c r="U74" s="52"/>
      <c r="W74" s="304"/>
      <c r="X74" s="54"/>
      <c r="Y74" s="192"/>
      <c r="Z74" s="192"/>
      <c r="AA74" s="192"/>
      <c r="AB74" s="52"/>
    </row>
    <row r="75" spans="2:28" ht="18.75" customHeight="1" x14ac:dyDescent="0.25">
      <c r="B75" s="462" t="s">
        <v>26</v>
      </c>
      <c r="C75" s="463">
        <f>COUNTIFS('1. ALL DATA'!$X$5:$X$128,"PROTECTING AND STRENGTHENING COMMUNITIES",'1. ALL DATA'!$H$5:$H$128,"In danger of falling behind target")</f>
        <v>0</v>
      </c>
      <c r="D75" s="464">
        <f>C75/C86</f>
        <v>0</v>
      </c>
      <c r="E75" s="464">
        <f>D75</f>
        <v>0</v>
      </c>
      <c r="F75" s="464">
        <f>C75/C87</f>
        <v>0</v>
      </c>
      <c r="G75" s="465">
        <f>F75</f>
        <v>0</v>
      </c>
      <c r="I75" s="462" t="s">
        <v>26</v>
      </c>
      <c r="J75" s="463">
        <f>COUNTIFS('1. ALL DATA'!$X$5:$X$128,"PROTECTING AND STRENGTHENING COMMUNITIES",'1. ALL DATA'!$M$5:$M$128,"In danger of falling behind target")</f>
        <v>0</v>
      </c>
      <c r="K75" s="464">
        <f>J75/J86</f>
        <v>0</v>
      </c>
      <c r="L75" s="464">
        <f>K75</f>
        <v>0</v>
      </c>
      <c r="M75" s="464">
        <f>J75/J87</f>
        <v>0</v>
      </c>
      <c r="N75" s="465">
        <f>M75</f>
        <v>0</v>
      </c>
      <c r="P75" s="462" t="s">
        <v>26</v>
      </c>
      <c r="Q75" s="463">
        <f>COUNTIFS('1. ALL DATA'!$X$5:$X$128,"PROTECTING AND STRENGTHENING COMMUNITIES",'1. ALL DATA'!$R$5:$R$128,"In danger of falling behind target")</f>
        <v>1</v>
      </c>
      <c r="R75" s="464">
        <f>Q75/Q86</f>
        <v>0.02</v>
      </c>
      <c r="S75" s="464">
        <f>R75</f>
        <v>0.02</v>
      </c>
      <c r="T75" s="464">
        <f>Q75/Q87</f>
        <v>2.0408163265306121E-2</v>
      </c>
      <c r="U75" s="465">
        <f>T75</f>
        <v>2.0408163265306121E-2</v>
      </c>
      <c r="W75" s="298" t="s">
        <v>80</v>
      </c>
      <c r="X75" s="259">
        <f>COUNTIFS('1. ALL DATA'!$X$5:$X$128,"PROTECTING AND STRENGTHENING COMMUNITIES",'1. ALL DATA'!$V$5:$V$128,"Numerical Outturn Within 10% Tolerance")</f>
        <v>1</v>
      </c>
      <c r="Y75" s="258">
        <f>X75/$X$86</f>
        <v>0.02</v>
      </c>
      <c r="Z75" s="468">
        <f>SUM(Y75:Y78)</f>
        <v>0.02</v>
      </c>
      <c r="AA75" s="263">
        <f>X75/$X$87</f>
        <v>0.02</v>
      </c>
      <c r="AB75" s="465">
        <f>SUM(AA75:AA78)</f>
        <v>0.02</v>
      </c>
    </row>
    <row r="76" spans="2:28" ht="18.75" customHeight="1" x14ac:dyDescent="0.25">
      <c r="B76" s="462"/>
      <c r="C76" s="463"/>
      <c r="D76" s="464"/>
      <c r="E76" s="464"/>
      <c r="F76" s="464"/>
      <c r="G76" s="465"/>
      <c r="I76" s="462"/>
      <c r="J76" s="463"/>
      <c r="K76" s="464"/>
      <c r="L76" s="464"/>
      <c r="M76" s="464"/>
      <c r="N76" s="465"/>
      <c r="P76" s="462"/>
      <c r="Q76" s="463"/>
      <c r="R76" s="464"/>
      <c r="S76" s="464"/>
      <c r="T76" s="464"/>
      <c r="U76" s="465"/>
      <c r="W76" s="298" t="s">
        <v>81</v>
      </c>
      <c r="X76" s="259">
        <f>COUNTIFS('1. ALL DATA'!$X$5:$X$128,"PROTECTING AND STRENGTHENING COMMUNITIES",'1. ALL DATA'!$V$5:$V$128,"Target Partially Met")</f>
        <v>0</v>
      </c>
      <c r="Y76" s="258">
        <f>X76/$X$86</f>
        <v>0</v>
      </c>
      <c r="Z76" s="469"/>
      <c r="AA76" s="263">
        <f>X76/$X$87</f>
        <v>0</v>
      </c>
      <c r="AB76" s="465"/>
    </row>
    <row r="77" spans="2:28" ht="18.75" customHeight="1" x14ac:dyDescent="0.25">
      <c r="B77" s="462"/>
      <c r="C77" s="463"/>
      <c r="D77" s="464"/>
      <c r="E77" s="464"/>
      <c r="F77" s="464"/>
      <c r="G77" s="465"/>
      <c r="I77" s="462"/>
      <c r="J77" s="463"/>
      <c r="K77" s="464"/>
      <c r="L77" s="464"/>
      <c r="M77" s="464"/>
      <c r="N77" s="465"/>
      <c r="P77" s="462"/>
      <c r="Q77" s="463"/>
      <c r="R77" s="464"/>
      <c r="S77" s="464"/>
      <c r="T77" s="464"/>
      <c r="U77" s="465"/>
      <c r="W77" s="298" t="s">
        <v>83</v>
      </c>
      <c r="X77" s="259">
        <f>COUNTIFS('1. ALL DATA'!$X$5:$X$128,"PROTECTING AND STRENGTHENING COMMUNITIES",'1. ALL DATA'!$V$5:$V$128,"Completion Date Within Reasonable Tolerance")</f>
        <v>0</v>
      </c>
      <c r="Y77" s="258">
        <f>X77/$X$86</f>
        <v>0</v>
      </c>
      <c r="Z77" s="470"/>
      <c r="AA77" s="263">
        <f>X77/$X$87</f>
        <v>0</v>
      </c>
      <c r="AB77" s="465"/>
    </row>
    <row r="78" spans="2:28" ht="6" customHeight="1" x14ac:dyDescent="0.25">
      <c r="B78" s="167"/>
      <c r="C78" s="54"/>
      <c r="D78" s="192"/>
      <c r="E78" s="192"/>
      <c r="F78" s="192"/>
      <c r="G78" s="169"/>
      <c r="I78" s="299"/>
      <c r="J78" s="54"/>
      <c r="K78" s="192"/>
      <c r="L78" s="192"/>
      <c r="M78" s="192"/>
      <c r="N78" s="169"/>
      <c r="P78" s="299"/>
      <c r="Q78" s="54"/>
      <c r="R78" s="192"/>
      <c r="S78" s="192"/>
      <c r="T78" s="192"/>
      <c r="U78" s="169"/>
      <c r="W78" s="304"/>
      <c r="X78" s="54"/>
      <c r="Y78" s="192"/>
      <c r="Z78" s="192"/>
      <c r="AA78" s="192"/>
      <c r="AB78" s="169"/>
    </row>
    <row r="79" spans="2:28" ht="30" customHeight="1" x14ac:dyDescent="0.25">
      <c r="B79" s="335" t="s">
        <v>42</v>
      </c>
      <c r="C79" s="257">
        <f>COUNTIFS('1. ALL DATA'!$X$5:$X$128,"PROTECTING AND STRENGTHENING COMMUNITIES",'1. ALL DATA'!$H$5:$H$128,"Completed behind schedule")</f>
        <v>0</v>
      </c>
      <c r="D79" s="258">
        <f>C79/C86</f>
        <v>0</v>
      </c>
      <c r="E79" s="464">
        <f>D79+D80</f>
        <v>0</v>
      </c>
      <c r="F79" s="258">
        <f>C79/C87</f>
        <v>0</v>
      </c>
      <c r="G79" s="466">
        <f>F79+F80</f>
        <v>0</v>
      </c>
      <c r="I79" s="337" t="s">
        <v>42</v>
      </c>
      <c r="J79" s="257">
        <f>COUNTIFS('1. ALL DATA'!$X$5:$X$128,"PROTECTING AND STRENGTHENING COMMUNITIES",'1. ALL DATA'!$M$5:$M$128,"Completed behind schedule")</f>
        <v>0</v>
      </c>
      <c r="K79" s="258">
        <f>J79/J86</f>
        <v>0</v>
      </c>
      <c r="L79" s="464">
        <f>K79+K80</f>
        <v>0</v>
      </c>
      <c r="M79" s="258">
        <f>J79/J87</f>
        <v>0</v>
      </c>
      <c r="N79" s="466">
        <f>M79+M80</f>
        <v>0</v>
      </c>
      <c r="P79" s="337" t="s">
        <v>42</v>
      </c>
      <c r="Q79" s="257">
        <f>COUNTIFS('1. ALL DATA'!$X$5:$X$128,"PROTECTING AND STRENGTHENING COMMUNITIES",'1. ALL DATA'!$R$5:$R$128,"Completed behind schedule")</f>
        <v>0</v>
      </c>
      <c r="R79" s="258">
        <f>Q79/Q86</f>
        <v>0</v>
      </c>
      <c r="S79" s="464">
        <f>R79+R80</f>
        <v>0</v>
      </c>
      <c r="T79" s="258">
        <f>Q79/Q87</f>
        <v>0</v>
      </c>
      <c r="U79" s="466">
        <f>T79+T80</f>
        <v>0</v>
      </c>
      <c r="W79" s="337" t="s">
        <v>82</v>
      </c>
      <c r="X79" s="259">
        <f>COUNTIFS('1. ALL DATA'!$X$5:$X$128,"PROTECTING AND STRENGTHENING COMMUNITIES",'1. ALL DATA'!$V$5:$V$128,"Completed Significantly After Target Deadline")</f>
        <v>0</v>
      </c>
      <c r="Y79" s="258">
        <f>X79/$X$86</f>
        <v>0</v>
      </c>
      <c r="Z79" s="464">
        <f>Y79+Y80</f>
        <v>0</v>
      </c>
      <c r="AA79" s="258">
        <f>X79/$X$87</f>
        <v>0</v>
      </c>
      <c r="AB79" s="466">
        <f>AA79+AA80</f>
        <v>0</v>
      </c>
    </row>
    <row r="80" spans="2:28" ht="30" customHeight="1" x14ac:dyDescent="0.25">
      <c r="B80" s="335" t="s">
        <v>27</v>
      </c>
      <c r="C80" s="257">
        <f>COUNTIFS('1. ALL DATA'!$X$5:$X$128,"PROTECTING AND STRENGTHENING COMMUNITIES",'1. ALL DATA'!$H$5:$H$128,"Off target")</f>
        <v>0</v>
      </c>
      <c r="D80" s="258">
        <f>C80/C86</f>
        <v>0</v>
      </c>
      <c r="E80" s="464"/>
      <c r="F80" s="258">
        <f>C80/C87</f>
        <v>0</v>
      </c>
      <c r="G80" s="466"/>
      <c r="I80" s="337" t="s">
        <v>27</v>
      </c>
      <c r="J80" s="257">
        <f>COUNTIFS('1. ALL DATA'!$X$5:$X$128,"PROTECTING AND STRENGTHENING COMMUNITIES",'1. ALL DATA'!$M$5:$M$128,"Off target")</f>
        <v>0</v>
      </c>
      <c r="K80" s="258">
        <f>J80/J86</f>
        <v>0</v>
      </c>
      <c r="L80" s="464"/>
      <c r="M80" s="258">
        <f>J80/J87</f>
        <v>0</v>
      </c>
      <c r="N80" s="466"/>
      <c r="P80" s="337" t="s">
        <v>27</v>
      </c>
      <c r="Q80" s="257">
        <f>COUNTIFS('1. ALL DATA'!$X$5:$X$128,"PROTECTING AND STRENGTHENING COMMUNITIES",'1. ALL DATA'!$R$5:$R$128,"Off target")</f>
        <v>0</v>
      </c>
      <c r="R80" s="258">
        <f>Q80/Q86</f>
        <v>0</v>
      </c>
      <c r="S80" s="464"/>
      <c r="T80" s="258">
        <f>Q80/Q87</f>
        <v>0</v>
      </c>
      <c r="U80" s="466"/>
      <c r="W80" s="337" t="s">
        <v>27</v>
      </c>
      <c r="X80" s="259">
        <f>COUNTIFS('1. ALL DATA'!$X$5:$X$128,"PROTECTING AND STRENGTHENING COMMUNITIES",'1. ALL DATA'!$V$5:$V$128,"Off Target")</f>
        <v>0</v>
      </c>
      <c r="Y80" s="258">
        <f>X80/$X$86</f>
        <v>0</v>
      </c>
      <c r="Z80" s="464"/>
      <c r="AA80" s="258">
        <f>X80/$X$87</f>
        <v>0</v>
      </c>
      <c r="AB80" s="466"/>
    </row>
    <row r="81" spans="2:28" ht="5.25" customHeight="1" x14ac:dyDescent="0.25">
      <c r="B81" s="51"/>
      <c r="C81" s="260"/>
      <c r="D81" s="192"/>
      <c r="E81" s="192"/>
      <c r="F81" s="192"/>
      <c r="G81" s="90"/>
      <c r="I81" s="54"/>
      <c r="J81" s="260"/>
      <c r="K81" s="192"/>
      <c r="L81" s="192"/>
      <c r="M81" s="192"/>
      <c r="N81" s="90"/>
      <c r="P81" s="54"/>
      <c r="Q81" s="260"/>
      <c r="R81" s="192"/>
      <c r="S81" s="192"/>
      <c r="T81" s="192"/>
      <c r="U81" s="90"/>
      <c r="W81" s="280"/>
      <c r="X81" s="281"/>
      <c r="Y81" s="276"/>
      <c r="Z81" s="276"/>
      <c r="AA81" s="277"/>
      <c r="AB81" s="238"/>
    </row>
    <row r="82" spans="2:28" ht="15.75" customHeight="1" x14ac:dyDescent="0.25">
      <c r="B82" s="46" t="s">
        <v>1</v>
      </c>
      <c r="C82" s="269">
        <f>COUNTIFS('1. ALL DATA'!$X$5:$X$128,"PROTECTING AND STRENGTHENING COMMUNITIES",'1. ALL DATA'!$H$5:$H$128,"Not yet due")</f>
        <v>23</v>
      </c>
      <c r="D82" s="252">
        <f>C82/C86</f>
        <v>0.46</v>
      </c>
      <c r="E82" s="252">
        <f>D82</f>
        <v>0.46</v>
      </c>
      <c r="F82" s="49"/>
      <c r="G82" s="45"/>
      <c r="I82" s="284" t="s">
        <v>1</v>
      </c>
      <c r="J82" s="269">
        <f>COUNTIFS('1. ALL DATA'!$X$5:$X$128,"PROTECTING AND STRENGTHENING COMMUNITIES",'1. ALL DATA'!$M$5:$M$128,"Not yet due")</f>
        <v>5</v>
      </c>
      <c r="K82" s="252">
        <f>J82/J86</f>
        <v>0.1</v>
      </c>
      <c r="L82" s="252">
        <f>K82</f>
        <v>0.1</v>
      </c>
      <c r="M82" s="49"/>
      <c r="N82" s="45"/>
      <c r="P82" s="284" t="s">
        <v>1</v>
      </c>
      <c r="Q82" s="269">
        <f>COUNTIFS('1. ALL DATA'!$X$5:$X$128,"PROTECTING AND STRENGTHENING COMMUNITIES",'1. ALL DATA'!$R$5:$R$128,"Not yet due")</f>
        <v>1</v>
      </c>
      <c r="R82" s="252">
        <f>Q82/Q86</f>
        <v>0.02</v>
      </c>
      <c r="S82" s="252">
        <f>R82</f>
        <v>0.02</v>
      </c>
      <c r="T82" s="49"/>
      <c r="U82" s="91"/>
      <c r="W82" s="305" t="s">
        <v>1</v>
      </c>
      <c r="X82" s="269">
        <f>COUNTIFS('1. ALL DATA'!$X$5:$X$128,"PROTECTING AND STRENGTHENING COMMUNITIES",'1. ALL DATA'!$V$5:$V$128,"not yet due")</f>
        <v>0</v>
      </c>
      <c r="Y82" s="252">
        <f>X82/$X$86</f>
        <v>0</v>
      </c>
      <c r="Z82" s="252">
        <f>Y82</f>
        <v>0</v>
      </c>
      <c r="AA82" s="49"/>
      <c r="AB82" s="235"/>
    </row>
    <row r="83" spans="2:28" ht="15.75" customHeight="1" x14ac:dyDescent="0.25">
      <c r="B83" s="46" t="s">
        <v>46</v>
      </c>
      <c r="C83" s="269">
        <f>COUNTIFS('1. ALL DATA'!$X$5:$X$128,"PROTECTING AND STRENGTHENING COMMUNITIES",'1. ALL DATA'!$H$5:$H$128,"Update not provided")</f>
        <v>0</v>
      </c>
      <c r="D83" s="252">
        <f>C83/C86</f>
        <v>0</v>
      </c>
      <c r="E83" s="252">
        <f>D83</f>
        <v>0</v>
      </c>
      <c r="F83" s="49"/>
      <c r="G83" s="96"/>
      <c r="I83" s="284" t="s">
        <v>46</v>
      </c>
      <c r="J83" s="269">
        <f>COUNTIFS('1. ALL DATA'!$X$5:$X$128,"PROTECTING AND STRENGTHENING COMMUNITIES",'1. ALL DATA'!$M$5:$M$128,"Update not provided")</f>
        <v>0</v>
      </c>
      <c r="K83" s="252">
        <f>J83/J86</f>
        <v>0</v>
      </c>
      <c r="L83" s="252">
        <f>K83</f>
        <v>0</v>
      </c>
      <c r="M83" s="49"/>
      <c r="N83" s="96"/>
      <c r="P83" s="284" t="s">
        <v>46</v>
      </c>
      <c r="Q83" s="269">
        <f>COUNTIFS('1. ALL DATA'!$X$5:$X$128,"PROTECTING AND STRENGTHENING COMMUNITIES",'1. ALL DATA'!$R$5:$R$128,"Update not provided")</f>
        <v>0</v>
      </c>
      <c r="R83" s="252">
        <f>Q83/Q86</f>
        <v>0</v>
      </c>
      <c r="S83" s="252">
        <f>R83</f>
        <v>0</v>
      </c>
      <c r="T83" s="49"/>
      <c r="U83" s="92"/>
      <c r="W83" s="306" t="s">
        <v>46</v>
      </c>
      <c r="X83" s="269">
        <f>COUNTIFS('1. ALL DATA'!$X$5:$X$128,"PROTECTING AND STRENGTHENING COMMUNITIES",'1. ALL DATA'!$V$5:$V$128,"update not provided")</f>
        <v>0</v>
      </c>
      <c r="Y83" s="252">
        <f>X83/$X$86</f>
        <v>0</v>
      </c>
      <c r="Z83" s="252">
        <f>Y83</f>
        <v>0</v>
      </c>
      <c r="AA83" s="49"/>
    </row>
    <row r="84" spans="2:28" ht="15.75" customHeight="1" x14ac:dyDescent="0.25">
      <c r="B84" s="47" t="s">
        <v>22</v>
      </c>
      <c r="C84" s="269">
        <f>COUNTIFS('1. ALL DATA'!$X$5:$X$128,"PROTECTING AND STRENGTHENING COMMUNITIES",'1. ALL DATA'!$H$5:$H$128,"Deferred")</f>
        <v>0</v>
      </c>
      <c r="D84" s="253">
        <f>C84/C86</f>
        <v>0</v>
      </c>
      <c r="E84" s="253">
        <f>D84</f>
        <v>0</v>
      </c>
      <c r="F84" s="44"/>
      <c r="G84" s="45"/>
      <c r="I84" s="285" t="s">
        <v>22</v>
      </c>
      <c r="J84" s="269">
        <f>COUNTIFS('1. ALL DATA'!$X$5:$X$128,"PROTECTING AND STRENGTHENING COMMUNITIES",'1. ALL DATA'!$M$5:$M$128,"Deferred")</f>
        <v>0</v>
      </c>
      <c r="K84" s="253">
        <f>J84/J86</f>
        <v>0</v>
      </c>
      <c r="L84" s="253">
        <f>K84</f>
        <v>0</v>
      </c>
      <c r="M84" s="44"/>
      <c r="N84" s="45"/>
      <c r="P84" s="285" t="s">
        <v>22</v>
      </c>
      <c r="Q84" s="269">
        <f>COUNTIFS('1. ALL DATA'!$X$5:$X$128,"PROTECTING AND STRENGTHENING COMMUNITIES",'1. ALL DATA'!$R$5:$R$128,"Deferred")</f>
        <v>0</v>
      </c>
      <c r="R84" s="253">
        <f>Q84/Q86</f>
        <v>0</v>
      </c>
      <c r="S84" s="253">
        <f>R84</f>
        <v>0</v>
      </c>
      <c r="T84" s="44"/>
      <c r="U84" s="91"/>
      <c r="W84" s="307" t="s">
        <v>22</v>
      </c>
      <c r="X84" s="269">
        <f>COUNTIFS('1. ALL DATA'!$X$5:$X$128,"PROTECTING AND STRENGTHENING COMMUNITIES",'1. ALL DATA'!$V$5:$V$128,"Deferred")</f>
        <v>0</v>
      </c>
      <c r="Y84" s="253">
        <f>X84/$X$86</f>
        <v>0</v>
      </c>
      <c r="Z84" s="253">
        <f>Y84</f>
        <v>0</v>
      </c>
      <c r="AA84" s="44"/>
      <c r="AB84" s="235"/>
    </row>
    <row r="85" spans="2:28" ht="15.75" customHeight="1" x14ac:dyDescent="0.25">
      <c r="B85" s="47" t="s">
        <v>28</v>
      </c>
      <c r="C85" s="269">
        <f>COUNTIFS('1. ALL DATA'!$X$5:$X$128,"PROTECTING AND STRENGTHENING COMMUNITIES",'1. ALL DATA'!$H$5:$H$128,"Deleted")</f>
        <v>0</v>
      </c>
      <c r="D85" s="253">
        <f>C85/C86</f>
        <v>0</v>
      </c>
      <c r="E85" s="253">
        <f>D85</f>
        <v>0</v>
      </c>
      <c r="F85" s="44"/>
      <c r="G85" s="236" t="s">
        <v>62</v>
      </c>
      <c r="I85" s="285" t="s">
        <v>28</v>
      </c>
      <c r="J85" s="269">
        <f>COUNTIFS('1. ALL DATA'!$X$5:$X$128,"PROTECTING AND STRENGTHENING COMMUNITIES",'1. ALL DATA'!$M$5:$M$128,"Deleted")</f>
        <v>0</v>
      </c>
      <c r="K85" s="253">
        <f>J85/J86</f>
        <v>0</v>
      </c>
      <c r="L85" s="253">
        <f>K85</f>
        <v>0</v>
      </c>
      <c r="M85" s="44"/>
      <c r="N85" s="236" t="s">
        <v>62</v>
      </c>
      <c r="P85" s="285" t="s">
        <v>28</v>
      </c>
      <c r="Q85" s="269">
        <f>COUNTIFS('1. ALL DATA'!$X$5:$X$128,"PROTECTING AND STRENGTHENING COMMUNITIES",'1. ALL DATA'!$R$5:$R$128,"Deleted")</f>
        <v>0</v>
      </c>
      <c r="R85" s="253">
        <f>Q85/Q86</f>
        <v>0</v>
      </c>
      <c r="S85" s="253">
        <f>R85</f>
        <v>0</v>
      </c>
      <c r="T85" s="44"/>
      <c r="U85" s="236" t="s">
        <v>62</v>
      </c>
      <c r="W85" s="307" t="s">
        <v>28</v>
      </c>
      <c r="X85" s="269">
        <f>COUNTIFS('1. ALL DATA'!$X$5:$X$128,"PROTECTING AND STRENGTHENING COMMUNITIES",'1. ALL DATA'!$V$5:$V$128,"Deleted")</f>
        <v>0</v>
      </c>
      <c r="Y85" s="253">
        <f>X85/$X$86</f>
        <v>0</v>
      </c>
      <c r="Z85" s="253">
        <f>Y85</f>
        <v>0</v>
      </c>
      <c r="AA85" s="44"/>
      <c r="AB85" s="236"/>
    </row>
    <row r="86" spans="2:28" ht="15.75" customHeight="1" x14ac:dyDescent="0.25">
      <c r="B86" s="48" t="s">
        <v>30</v>
      </c>
      <c r="C86" s="271">
        <f>SUM(C72:C85)</f>
        <v>50</v>
      </c>
      <c r="D86" s="44"/>
      <c r="E86" s="44"/>
      <c r="F86" s="45"/>
      <c r="G86" s="45"/>
      <c r="I86" s="286" t="s">
        <v>30</v>
      </c>
      <c r="J86" s="271">
        <f>SUM(J72:J85)</f>
        <v>50</v>
      </c>
      <c r="K86" s="44"/>
      <c r="L86" s="44"/>
      <c r="M86" s="45"/>
      <c r="N86" s="45"/>
      <c r="P86" s="286" t="s">
        <v>30</v>
      </c>
      <c r="Q86" s="271">
        <f>SUM(Q72:Q85)</f>
        <v>50</v>
      </c>
      <c r="R86" s="44"/>
      <c r="S86" s="44"/>
      <c r="T86" s="45"/>
      <c r="U86" s="91"/>
      <c r="W86" s="308" t="s">
        <v>30</v>
      </c>
      <c r="X86" s="271">
        <f>SUM(X72:X85)</f>
        <v>50</v>
      </c>
      <c r="Y86" s="44"/>
      <c r="Z86" s="44"/>
      <c r="AA86" s="45"/>
      <c r="AB86" s="235"/>
    </row>
    <row r="87" spans="2:28" ht="15.75" customHeight="1" x14ac:dyDescent="0.25">
      <c r="B87" s="48" t="s">
        <v>31</v>
      </c>
      <c r="C87" s="271">
        <f>C86-C85-C84-C83-C82</f>
        <v>27</v>
      </c>
      <c r="D87" s="45"/>
      <c r="E87" s="45"/>
      <c r="F87" s="45"/>
      <c r="G87" s="45"/>
      <c r="I87" s="286" t="s">
        <v>31</v>
      </c>
      <c r="J87" s="271">
        <f>J86-J85-J84-J83-J82</f>
        <v>45</v>
      </c>
      <c r="K87" s="45"/>
      <c r="L87" s="45"/>
      <c r="M87" s="45"/>
      <c r="N87" s="45"/>
      <c r="P87" s="286" t="s">
        <v>31</v>
      </c>
      <c r="Q87" s="271">
        <f>Q86-Q85-Q84-Q83-Q82</f>
        <v>49</v>
      </c>
      <c r="R87" s="45"/>
      <c r="S87" s="45"/>
      <c r="T87" s="45"/>
      <c r="U87" s="91"/>
      <c r="W87" s="308" t="s">
        <v>31</v>
      </c>
      <c r="X87" s="271">
        <f>X86-X85-X84-X83-X82</f>
        <v>50</v>
      </c>
      <c r="Y87" s="45"/>
      <c r="Z87" s="45"/>
      <c r="AA87" s="45"/>
      <c r="AB87" s="236" t="s">
        <v>62</v>
      </c>
    </row>
    <row r="88" spans="2:28" ht="15.75" customHeight="1" x14ac:dyDescent="0.25">
      <c r="AB88" s="235"/>
    </row>
    <row r="89" spans="2:28" ht="15.75" customHeight="1" x14ac:dyDescent="0.25">
      <c r="AB89" s="235"/>
    </row>
  </sheetData>
  <mergeCells count="144">
    <mergeCell ref="N50:N51"/>
    <mergeCell ref="P53:P55"/>
    <mergeCell ref="Q53:Q55"/>
    <mergeCell ref="R53:R55"/>
    <mergeCell ref="P9:P11"/>
    <mergeCell ref="Z35:Z36"/>
    <mergeCell ref="AB35:AB36"/>
    <mergeCell ref="G53:G55"/>
    <mergeCell ref="U9:U11"/>
    <mergeCell ref="Z9:Z11"/>
    <mergeCell ref="G28:G29"/>
    <mergeCell ref="I31:I33"/>
    <mergeCell ref="J31:J33"/>
    <mergeCell ref="K31:K33"/>
    <mergeCell ref="L31:L33"/>
    <mergeCell ref="M31:M33"/>
    <mergeCell ref="U53:U55"/>
    <mergeCell ref="S35:S36"/>
    <mergeCell ref="U35:U36"/>
    <mergeCell ref="U31:U33"/>
    <mergeCell ref="N31:N33"/>
    <mergeCell ref="P31:P33"/>
    <mergeCell ref="Q31:Q33"/>
    <mergeCell ref="Q9:Q11"/>
    <mergeCell ref="S31:S33"/>
    <mergeCell ref="T31:T33"/>
    <mergeCell ref="B9:B11"/>
    <mergeCell ref="C9:C11"/>
    <mergeCell ref="D9:D11"/>
    <mergeCell ref="E9:E11"/>
    <mergeCell ref="F9:F11"/>
    <mergeCell ref="E6:E7"/>
    <mergeCell ref="E28:E29"/>
    <mergeCell ref="J9:J11"/>
    <mergeCell ref="K9:K11"/>
    <mergeCell ref="D31:D33"/>
    <mergeCell ref="E31:E33"/>
    <mergeCell ref="F31:F33"/>
    <mergeCell ref="G31:G33"/>
    <mergeCell ref="R31:R33"/>
    <mergeCell ref="N9:N11"/>
    <mergeCell ref="R9:R11"/>
    <mergeCell ref="S9:S11"/>
    <mergeCell ref="T9:T11"/>
    <mergeCell ref="N72:N73"/>
    <mergeCell ref="L50:L51"/>
    <mergeCell ref="L72:L73"/>
    <mergeCell ref="G6:G7"/>
    <mergeCell ref="G13:G14"/>
    <mergeCell ref="G9:G11"/>
    <mergeCell ref="B53:B55"/>
    <mergeCell ref="C53:C55"/>
    <mergeCell ref="D53:D55"/>
    <mergeCell ref="E53:E55"/>
    <mergeCell ref="F53:F55"/>
    <mergeCell ref="L9:L11"/>
    <mergeCell ref="M9:M11"/>
    <mergeCell ref="E13:E14"/>
    <mergeCell ref="E35:E36"/>
    <mergeCell ref="B31:B33"/>
    <mergeCell ref="C31:C33"/>
    <mergeCell ref="N6:N7"/>
    <mergeCell ref="N28:N29"/>
    <mergeCell ref="L6:L7"/>
    <mergeCell ref="L28:L29"/>
    <mergeCell ref="L13:L14"/>
    <mergeCell ref="N13:N14"/>
    <mergeCell ref="I9:I11"/>
    <mergeCell ref="AB6:AB7"/>
    <mergeCell ref="AB13:AB14"/>
    <mergeCell ref="Z6:Z7"/>
    <mergeCell ref="Z13:Z14"/>
    <mergeCell ref="AB9:AB11"/>
    <mergeCell ref="S50:S51"/>
    <mergeCell ref="S72:S73"/>
    <mergeCell ref="S79:S80"/>
    <mergeCell ref="U79:U80"/>
    <mergeCell ref="U50:U51"/>
    <mergeCell ref="U72:U73"/>
    <mergeCell ref="S75:S77"/>
    <mergeCell ref="T75:T77"/>
    <mergeCell ref="U75:U77"/>
    <mergeCell ref="U6:U7"/>
    <mergeCell ref="U28:U29"/>
    <mergeCell ref="S6:S7"/>
    <mergeCell ref="S28:S29"/>
    <mergeCell ref="U13:U14"/>
    <mergeCell ref="S13:S14"/>
    <mergeCell ref="Z28:Z29"/>
    <mergeCell ref="AB28:AB29"/>
    <mergeCell ref="Z31:Z33"/>
    <mergeCell ref="AB31:AB33"/>
    <mergeCell ref="E79:E80"/>
    <mergeCell ref="G79:G80"/>
    <mergeCell ref="L79:L80"/>
    <mergeCell ref="N79:N80"/>
    <mergeCell ref="G35:G36"/>
    <mergeCell ref="L35:L36"/>
    <mergeCell ref="N35:N36"/>
    <mergeCell ref="E57:E58"/>
    <mergeCell ref="G57:G58"/>
    <mergeCell ref="L57:L58"/>
    <mergeCell ref="N57:N58"/>
    <mergeCell ref="E72:E73"/>
    <mergeCell ref="E50:E51"/>
    <mergeCell ref="G50:G51"/>
    <mergeCell ref="G72:G73"/>
    <mergeCell ref="I53:I55"/>
    <mergeCell ref="J53:J55"/>
    <mergeCell ref="K53:K55"/>
    <mergeCell ref="L53:L55"/>
    <mergeCell ref="M53:M55"/>
    <mergeCell ref="N53:N55"/>
    <mergeCell ref="L75:L77"/>
    <mergeCell ref="M75:M77"/>
    <mergeCell ref="N75:N77"/>
    <mergeCell ref="B75:B77"/>
    <mergeCell ref="C75:C77"/>
    <mergeCell ref="D75:D77"/>
    <mergeCell ref="E75:E77"/>
    <mergeCell ref="F75:F77"/>
    <mergeCell ref="G75:G77"/>
    <mergeCell ref="I75:I77"/>
    <mergeCell ref="J75:J77"/>
    <mergeCell ref="K75:K77"/>
    <mergeCell ref="P75:P77"/>
    <mergeCell ref="Q75:Q77"/>
    <mergeCell ref="R75:R77"/>
    <mergeCell ref="AB75:AB77"/>
    <mergeCell ref="Z79:Z80"/>
    <mergeCell ref="AB79:AB80"/>
    <mergeCell ref="AB50:AB51"/>
    <mergeCell ref="Z53:Z55"/>
    <mergeCell ref="AB53:AB55"/>
    <mergeCell ref="Z57:Z58"/>
    <mergeCell ref="AB57:AB58"/>
    <mergeCell ref="Z72:Z73"/>
    <mergeCell ref="AB72:AB73"/>
    <mergeCell ref="Z50:Z51"/>
    <mergeCell ref="Z75:Z77"/>
    <mergeCell ref="S57:S58"/>
    <mergeCell ref="U57:U58"/>
    <mergeCell ref="S53:S55"/>
    <mergeCell ref="T53:T55"/>
  </mergeCells>
  <hyperlinks>
    <hyperlink ref="AB19" location="INDEX!A1" display="Back to index"/>
    <hyperlink ref="AB41" location="INDEX!A1" display="Back to index"/>
    <hyperlink ref="AB62" location="INDEX!A1" display="Back to index"/>
    <hyperlink ref="AB87" location="INDEX!A1" display="Back to index"/>
    <hyperlink ref="U19" location="INDEX!A1" display="Back to index"/>
    <hyperlink ref="U41" location="INDEX!A1" display="Back to index"/>
    <hyperlink ref="U63" location="INDEX!A1" display="Back to index"/>
    <hyperlink ref="U85" location="INDEX!A1" display="Back to index"/>
    <hyperlink ref="G19" location="INDEX!A1" display="Back to index"/>
    <hyperlink ref="N19" location="INDEX!A1" display="Back to index"/>
    <hyperlink ref="G41" location="INDEX!A1" display="Back to index"/>
    <hyperlink ref="N41" location="INDEX!A1" display="Back to index"/>
    <hyperlink ref="G63" location="INDEX!A1" display="Back to index"/>
    <hyperlink ref="N63" location="INDEX!A1" display="Back to index"/>
    <hyperlink ref="G85" location="INDEX!A1" display="Back to index"/>
    <hyperlink ref="N85" location="INDEX!A1" display="Back to index"/>
  </hyperlink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2060"/>
  </sheetPr>
  <dimension ref="B1:BD66"/>
  <sheetViews>
    <sheetView topLeftCell="A33" zoomScale="70" zoomScaleNormal="70" workbookViewId="0"/>
  </sheetViews>
  <sheetFormatPr defaultColWidth="9.140625" defaultRowHeight="15" x14ac:dyDescent="0.25"/>
  <cols>
    <col min="1" max="1" width="3.42578125" style="3" customWidth="1"/>
    <col min="2" max="9" width="9.140625" style="3"/>
    <col min="10" max="10" width="3.42578125" style="3" customWidth="1"/>
    <col min="11" max="11" width="9.140625" style="4"/>
    <col min="12" max="18" width="9.140625" style="3"/>
    <col min="19" max="19" width="3.42578125" style="3" customWidth="1"/>
    <col min="20" max="27" width="9.140625" style="3" customWidth="1"/>
    <col min="28" max="28" width="3.42578125" style="3" customWidth="1"/>
    <col min="29" max="36" width="9.140625" style="3" customWidth="1"/>
    <col min="37" max="37" width="3.42578125" style="3" customWidth="1"/>
    <col min="38" max="47" width="9.140625" style="3" customWidth="1"/>
    <col min="48" max="50" width="0" style="3" hidden="1" customWidth="1"/>
    <col min="51" max="51" width="9.140625" style="3"/>
    <col min="52" max="55" width="10" style="99" customWidth="1"/>
    <col min="56" max="16384" width="9.140625" style="3"/>
  </cols>
  <sheetData>
    <row r="1" spans="2:56" s="2" customFormat="1" ht="36" thickTop="1" x14ac:dyDescent="0.5">
      <c r="B1" s="2" t="s">
        <v>32</v>
      </c>
      <c r="M1" s="471" t="s">
        <v>223</v>
      </c>
      <c r="N1" s="472"/>
      <c r="O1" s="472"/>
      <c r="P1" s="472"/>
      <c r="Q1" s="472"/>
      <c r="R1" s="472"/>
      <c r="S1" s="472"/>
      <c r="T1" s="472"/>
      <c r="U1" s="472"/>
      <c r="V1" s="472"/>
      <c r="W1" s="472"/>
      <c r="X1" s="472"/>
      <c r="Y1" s="472"/>
      <c r="Z1" s="473"/>
      <c r="AZ1" s="98"/>
      <c r="BA1" s="98"/>
      <c r="BB1" s="98"/>
      <c r="BC1" s="98"/>
    </row>
    <row r="2" spans="2:56" s="2" customFormat="1" ht="35.25" x14ac:dyDescent="0.5">
      <c r="M2" s="474"/>
      <c r="N2" s="475"/>
      <c r="O2" s="475"/>
      <c r="P2" s="475"/>
      <c r="Q2" s="475"/>
      <c r="R2" s="475"/>
      <c r="S2" s="475"/>
      <c r="T2" s="475"/>
      <c r="U2" s="475"/>
      <c r="V2" s="475"/>
      <c r="W2" s="475"/>
      <c r="X2" s="475"/>
      <c r="Y2" s="475"/>
      <c r="Z2" s="476"/>
      <c r="AZ2" s="98"/>
      <c r="BA2" s="98"/>
      <c r="BB2" s="98"/>
      <c r="BC2" s="98"/>
    </row>
    <row r="3" spans="2:56" s="2" customFormat="1" ht="36" thickBot="1" x14ac:dyDescent="0.55000000000000004">
      <c r="M3" s="477"/>
      <c r="N3" s="478"/>
      <c r="O3" s="478"/>
      <c r="P3" s="478"/>
      <c r="Q3" s="478"/>
      <c r="R3" s="478"/>
      <c r="S3" s="478"/>
      <c r="T3" s="478"/>
      <c r="U3" s="478"/>
      <c r="V3" s="478"/>
      <c r="W3" s="478"/>
      <c r="X3" s="478"/>
      <c r="Y3" s="478"/>
      <c r="Z3" s="479"/>
      <c r="AZ3" s="98"/>
      <c r="BA3" s="98"/>
      <c r="BB3" s="98"/>
      <c r="BC3" s="98"/>
    </row>
    <row r="4" spans="2:56" ht="15.75" thickTop="1" x14ac:dyDescent="0.25">
      <c r="N4" s="22" t="s">
        <v>62</v>
      </c>
      <c r="W4" s="22" t="s">
        <v>62</v>
      </c>
      <c r="AF4" s="22" t="s">
        <v>62</v>
      </c>
      <c r="AO4" s="22" t="s">
        <v>62</v>
      </c>
    </row>
    <row r="5" spans="2:56" x14ac:dyDescent="0.25">
      <c r="AY5" s="5" t="s">
        <v>33</v>
      </c>
      <c r="AZ5" s="100"/>
      <c r="BA5" s="100"/>
      <c r="BB5" s="100"/>
      <c r="BC5" s="100"/>
      <c r="BD5" s="4"/>
    </row>
    <row r="6" spans="2:56" x14ac:dyDescent="0.25">
      <c r="AY6" s="6"/>
      <c r="AZ6" s="101" t="s">
        <v>34</v>
      </c>
      <c r="BA6" s="101" t="s">
        <v>35</v>
      </c>
      <c r="BB6" s="101" t="s">
        <v>36</v>
      </c>
      <c r="BC6" s="101" t="s">
        <v>37</v>
      </c>
      <c r="BD6" s="4"/>
    </row>
    <row r="7" spans="2:56" x14ac:dyDescent="0.25">
      <c r="AY7" s="7" t="s">
        <v>19</v>
      </c>
      <c r="AZ7" s="179">
        <f>'3. % BY PRIORITY'!G6</f>
        <v>0.96153846153846156</v>
      </c>
      <c r="BA7" s="179">
        <f>'3. % BY PRIORITY'!N6</f>
        <v>0.96261682242990654</v>
      </c>
      <c r="BB7" s="179">
        <f>'3. % BY PRIORITY'!U6</f>
        <v>0.95575221238938046</v>
      </c>
      <c r="BC7" s="179">
        <f>'3. % BY PRIORITY'!AB6</f>
        <v>0.95041322314049581</v>
      </c>
      <c r="BD7" s="4"/>
    </row>
    <row r="8" spans="2:56" x14ac:dyDescent="0.25">
      <c r="L8" s="8"/>
      <c r="M8" s="8"/>
      <c r="AY8" s="7" t="s">
        <v>20</v>
      </c>
      <c r="AZ8" s="179">
        <f>'3. % BY PRIORITY'!G9</f>
        <v>0</v>
      </c>
      <c r="BA8" s="179">
        <f>'3. % BY PRIORITY'!N9</f>
        <v>0</v>
      </c>
      <c r="BB8" s="179">
        <f>'3. % BY PRIORITY'!U9</f>
        <v>8.8495575221238937E-3</v>
      </c>
      <c r="BC8" s="179">
        <f>'3. % BY PRIORITY'!AB9</f>
        <v>1.6528925619834711E-2</v>
      </c>
      <c r="BD8" s="4"/>
    </row>
    <row r="9" spans="2:56" x14ac:dyDescent="0.25">
      <c r="L9" s="8"/>
      <c r="M9" s="8"/>
      <c r="AY9" s="7" t="s">
        <v>21</v>
      </c>
      <c r="AZ9" s="179">
        <f>'3. % BY PRIORITY'!G13</f>
        <v>3.8461538461538464E-2</v>
      </c>
      <c r="BA9" s="179">
        <f>'3. % BY PRIORITY'!N13</f>
        <v>3.7383177570093455E-2</v>
      </c>
      <c r="BB9" s="179">
        <f>'3. % BY PRIORITY'!U13</f>
        <v>3.5398230088495575E-2</v>
      </c>
      <c r="BC9" s="179">
        <f>'3. % BY PRIORITY'!AB13</f>
        <v>3.3057851239669422E-2</v>
      </c>
      <c r="BD9" s="4"/>
    </row>
    <row r="10" spans="2:56" x14ac:dyDescent="0.25">
      <c r="L10" s="8"/>
      <c r="M10" s="8"/>
      <c r="AY10" s="6"/>
      <c r="AZ10" s="102"/>
      <c r="BA10" s="102"/>
      <c r="BB10" s="102"/>
      <c r="BC10" s="102"/>
      <c r="BD10" s="4"/>
    </row>
    <row r="11" spans="2:56" x14ac:dyDescent="0.25">
      <c r="AY11" s="9"/>
      <c r="AZ11" s="103"/>
      <c r="BA11" s="103"/>
      <c r="BB11" s="104"/>
      <c r="BC11" s="104"/>
      <c r="BD11" s="4"/>
    </row>
    <row r="12" spans="2:56" x14ac:dyDescent="0.25">
      <c r="AY12" s="9"/>
      <c r="AZ12" s="103"/>
      <c r="BA12" s="103"/>
      <c r="BB12" s="104"/>
      <c r="BC12" s="104"/>
      <c r="BD12" s="4"/>
    </row>
    <row r="13" spans="2:56" x14ac:dyDescent="0.25">
      <c r="AY13" s="9"/>
      <c r="AZ13" s="103"/>
      <c r="BA13" s="103"/>
      <c r="BB13" s="104"/>
      <c r="BC13" s="104"/>
      <c r="BD13" s="4"/>
    </row>
    <row r="14" spans="2:56" x14ac:dyDescent="0.25">
      <c r="AY14" s="4"/>
      <c r="AZ14" s="100"/>
      <c r="BA14" s="100"/>
      <c r="BB14" s="100"/>
      <c r="BC14" s="100"/>
      <c r="BD14" s="4"/>
    </row>
    <row r="15" spans="2:56" x14ac:dyDescent="0.25">
      <c r="AY15" s="4"/>
      <c r="AZ15" s="100"/>
      <c r="BA15" s="100"/>
      <c r="BB15" s="100"/>
      <c r="BC15" s="100"/>
      <c r="BD15" s="4"/>
    </row>
    <row r="16" spans="2:56" x14ac:dyDescent="0.25">
      <c r="AY16" s="4"/>
      <c r="AZ16" s="100"/>
      <c r="BA16" s="100"/>
      <c r="BB16" s="100"/>
      <c r="BC16" s="100"/>
      <c r="BD16" s="4"/>
    </row>
    <row r="17" spans="12:56" x14ac:dyDescent="0.25">
      <c r="AY17" s="4"/>
      <c r="AZ17" s="100"/>
      <c r="BA17" s="100"/>
      <c r="BB17" s="100"/>
      <c r="BC17" s="100"/>
      <c r="BD17" s="4"/>
    </row>
    <row r="18" spans="12:56" x14ac:dyDescent="0.25">
      <c r="AY18" s="4"/>
      <c r="AZ18" s="100"/>
      <c r="BA18" s="100"/>
      <c r="BB18" s="100"/>
      <c r="BC18" s="100"/>
      <c r="BD18" s="4"/>
    </row>
    <row r="19" spans="12:56" x14ac:dyDescent="0.25">
      <c r="AY19" s="4"/>
      <c r="AZ19" s="100"/>
      <c r="BA19" s="100"/>
      <c r="BB19" s="100"/>
      <c r="BC19" s="100"/>
      <c r="BD19" s="4"/>
    </row>
    <row r="20" spans="12:56" x14ac:dyDescent="0.25">
      <c r="N20" s="22" t="s">
        <v>62</v>
      </c>
      <c r="W20" s="22" t="s">
        <v>62</v>
      </c>
      <c r="AF20" s="22" t="s">
        <v>62</v>
      </c>
      <c r="AO20" s="22" t="s">
        <v>62</v>
      </c>
      <c r="AY20" s="4"/>
      <c r="AZ20" s="100"/>
      <c r="BA20" s="100"/>
      <c r="BB20" s="100"/>
      <c r="BC20" s="100"/>
      <c r="BD20" s="4"/>
    </row>
    <row r="21" spans="12:56" x14ac:dyDescent="0.25">
      <c r="AY21" s="5" t="s">
        <v>211</v>
      </c>
      <c r="AZ21" s="100"/>
      <c r="BA21" s="100"/>
      <c r="BB21" s="100"/>
      <c r="BC21" s="100"/>
      <c r="BD21" s="4"/>
    </row>
    <row r="22" spans="12:56" x14ac:dyDescent="0.25">
      <c r="AY22" s="6"/>
      <c r="AZ22" s="101" t="s">
        <v>34</v>
      </c>
      <c r="BA22" s="101" t="s">
        <v>35</v>
      </c>
      <c r="BB22" s="101" t="s">
        <v>36</v>
      </c>
      <c r="BC22" s="101" t="s">
        <v>37</v>
      </c>
      <c r="BD22" s="4"/>
    </row>
    <row r="23" spans="12:56" x14ac:dyDescent="0.25">
      <c r="AY23" s="7" t="s">
        <v>19</v>
      </c>
      <c r="AZ23" s="179">
        <f>'3. % BY PRIORITY'!G28</f>
        <v>0.94871794871794879</v>
      </c>
      <c r="BA23" s="179">
        <f>'3. % BY PRIORITY'!N28</f>
        <v>0.94000000000000006</v>
      </c>
      <c r="BB23" s="179">
        <f>'3. % BY PRIORITY'!U28</f>
        <v>0.94230769230769229</v>
      </c>
      <c r="BC23" s="179">
        <f>'3. % BY PRIORITY'!AB28</f>
        <v>0.93103448275862077</v>
      </c>
      <c r="BD23" s="4"/>
    </row>
    <row r="24" spans="12:56" x14ac:dyDescent="0.25">
      <c r="L24" s="8"/>
      <c r="M24" s="8"/>
      <c r="AY24" s="7" t="s">
        <v>20</v>
      </c>
      <c r="AZ24" s="179">
        <f>'3. % BY PRIORITY'!G31</f>
        <v>0</v>
      </c>
      <c r="BA24" s="179">
        <f>'3. % BY PRIORITY'!N31</f>
        <v>0</v>
      </c>
      <c r="BB24" s="179">
        <f>'3. % BY PRIORITY'!U31</f>
        <v>0</v>
      </c>
      <c r="BC24" s="179">
        <f>'3. % BY PRIORITY'!AB31</f>
        <v>1.7241379310344827E-2</v>
      </c>
      <c r="BD24" s="4"/>
    </row>
    <row r="25" spans="12:56" x14ac:dyDescent="0.25">
      <c r="L25" s="8"/>
      <c r="M25" s="8"/>
      <c r="AY25" s="7" t="s">
        <v>21</v>
      </c>
      <c r="AZ25" s="179">
        <f>'3. % BY PRIORITY'!G35</f>
        <v>5.128205128205128E-2</v>
      </c>
      <c r="BA25" s="179">
        <f>'3. % BY PRIORITY'!N35</f>
        <v>0.06</v>
      </c>
      <c r="BB25" s="179">
        <f>'3. % BY PRIORITY'!U35</f>
        <v>5.7692307692307696E-2</v>
      </c>
      <c r="BC25" s="179">
        <f>'3. % BY PRIORITY'!AB35</f>
        <v>5.1724137931034482E-2</v>
      </c>
      <c r="BD25" s="4"/>
    </row>
    <row r="26" spans="12:56" x14ac:dyDescent="0.25">
      <c r="L26" s="8"/>
      <c r="M26" s="8"/>
      <c r="AY26" s="4"/>
      <c r="AZ26" s="100"/>
      <c r="BA26" s="100"/>
      <c r="BB26" s="100"/>
      <c r="BC26" s="100"/>
      <c r="BD26" s="4"/>
    </row>
    <row r="27" spans="12:56" x14ac:dyDescent="0.25">
      <c r="AY27" s="9"/>
      <c r="AZ27" s="100"/>
      <c r="BA27" s="100"/>
      <c r="BB27" s="100"/>
      <c r="BC27" s="100"/>
      <c r="BD27" s="4"/>
    </row>
    <row r="28" spans="12:56" x14ac:dyDescent="0.25">
      <c r="AY28" s="9"/>
      <c r="AZ28" s="100"/>
      <c r="BA28" s="100"/>
      <c r="BB28" s="100"/>
      <c r="BC28" s="100"/>
      <c r="BD28" s="4"/>
    </row>
    <row r="29" spans="12:56" x14ac:dyDescent="0.25">
      <c r="AY29" s="9"/>
      <c r="AZ29" s="100"/>
      <c r="BA29" s="100"/>
      <c r="BB29" s="100"/>
      <c r="BC29" s="100"/>
      <c r="BD29" s="4"/>
    </row>
    <row r="30" spans="12:56" x14ac:dyDescent="0.25">
      <c r="AY30" s="4"/>
      <c r="AZ30" s="100"/>
      <c r="BA30" s="100"/>
      <c r="BB30" s="100"/>
      <c r="BC30" s="100"/>
      <c r="BD30" s="4"/>
    </row>
    <row r="31" spans="12:56" x14ac:dyDescent="0.25">
      <c r="AY31" s="4"/>
      <c r="AZ31" s="100"/>
      <c r="BA31" s="100"/>
      <c r="BB31" s="100"/>
      <c r="BC31" s="100"/>
      <c r="BD31" s="4"/>
    </row>
    <row r="32" spans="12:56" x14ac:dyDescent="0.25">
      <c r="AY32" s="4"/>
      <c r="AZ32" s="100"/>
      <c r="BA32" s="100"/>
      <c r="BB32" s="100"/>
      <c r="BC32" s="100"/>
      <c r="BD32" s="4"/>
    </row>
    <row r="33" spans="11:56" x14ac:dyDescent="0.25">
      <c r="AY33" s="4"/>
      <c r="AZ33" s="100"/>
      <c r="BA33" s="100"/>
      <c r="BB33" s="100"/>
      <c r="BC33" s="100"/>
      <c r="BD33" s="4"/>
    </row>
    <row r="34" spans="11:56" x14ac:dyDescent="0.25">
      <c r="AY34" s="4"/>
      <c r="AZ34" s="100"/>
      <c r="BA34" s="100"/>
      <c r="BB34" s="100"/>
      <c r="BC34" s="100"/>
      <c r="BD34" s="4"/>
    </row>
    <row r="35" spans="11:56" x14ac:dyDescent="0.25">
      <c r="AY35" s="4"/>
      <c r="AZ35" s="100"/>
      <c r="BA35" s="100"/>
      <c r="BB35" s="100"/>
      <c r="BC35" s="100"/>
      <c r="BD35" s="4"/>
    </row>
    <row r="36" spans="11:56" x14ac:dyDescent="0.25">
      <c r="N36" s="22" t="s">
        <v>62</v>
      </c>
      <c r="W36" s="22" t="s">
        <v>62</v>
      </c>
      <c r="AF36" s="22" t="s">
        <v>62</v>
      </c>
      <c r="AO36" s="22" t="s">
        <v>62</v>
      </c>
      <c r="AY36" s="4"/>
      <c r="AZ36" s="100"/>
      <c r="BA36" s="100"/>
      <c r="BB36" s="100"/>
      <c r="BC36" s="100"/>
      <c r="BD36" s="4"/>
    </row>
    <row r="37" spans="11:56" x14ac:dyDescent="0.25">
      <c r="AY37" s="5" t="s">
        <v>212</v>
      </c>
      <c r="AZ37" s="105"/>
      <c r="BA37" s="105"/>
      <c r="BB37" s="105"/>
      <c r="BC37" s="105"/>
      <c r="BD37" s="10"/>
    </row>
    <row r="38" spans="11:56" x14ac:dyDescent="0.25">
      <c r="AY38" s="11"/>
      <c r="AZ38" s="101" t="s">
        <v>34</v>
      </c>
      <c r="BA38" s="101" t="s">
        <v>35</v>
      </c>
      <c r="BB38" s="101" t="s">
        <v>36</v>
      </c>
      <c r="BC38" s="101" t="s">
        <v>37</v>
      </c>
      <c r="BD38" s="10"/>
    </row>
    <row r="39" spans="11:56" x14ac:dyDescent="0.25">
      <c r="AY39" s="7" t="s">
        <v>19</v>
      </c>
      <c r="AZ39" s="179">
        <f>'3. % BY PRIORITY'!G50</f>
        <v>0.91666666666666663</v>
      </c>
      <c r="BA39" s="179">
        <f>'3. % BY PRIORITY'!N50</f>
        <v>0.91666666666666663</v>
      </c>
      <c r="BB39" s="179">
        <f>'3. % BY PRIORITY'!U50</f>
        <v>0.91666666666666674</v>
      </c>
      <c r="BC39" s="179">
        <f>'3. % BY PRIORITY'!AB50</f>
        <v>0.92307692307692313</v>
      </c>
      <c r="BD39" s="10"/>
    </row>
    <row r="40" spans="11:56" x14ac:dyDescent="0.25">
      <c r="K40" s="8"/>
      <c r="L40" s="8"/>
      <c r="AY40" s="7" t="s">
        <v>20</v>
      </c>
      <c r="AZ40" s="179">
        <f>'3. % BY PRIORITY'!G53</f>
        <v>0</v>
      </c>
      <c r="BA40" s="179">
        <f>'3. % BY PRIORITY'!N53</f>
        <v>0</v>
      </c>
      <c r="BB40" s="179">
        <f>'3. % BY PRIORITY'!U53</f>
        <v>0</v>
      </c>
      <c r="BC40" s="179">
        <f>'3. % BY PRIORITY'!AB53</f>
        <v>0</v>
      </c>
      <c r="BD40" s="10"/>
    </row>
    <row r="41" spans="11:56" x14ac:dyDescent="0.25">
      <c r="K41" s="8"/>
      <c r="L41" s="8"/>
      <c r="AY41" s="7" t="s">
        <v>21</v>
      </c>
      <c r="AZ41" s="179">
        <f>'3. % BY PRIORITY'!G57</f>
        <v>8.3333333333333329E-2</v>
      </c>
      <c r="BA41" s="179">
        <f>'3. % BY PRIORITY'!N57</f>
        <v>8.3333333333333329E-2</v>
      </c>
      <c r="BB41" s="179">
        <f>'3. % BY PRIORITY'!U57</f>
        <v>8.3333333333333329E-2</v>
      </c>
      <c r="BC41" s="179">
        <f>'3. % BY PRIORITY'!AB57</f>
        <v>7.6923076923076927E-2</v>
      </c>
      <c r="BD41" s="10"/>
    </row>
    <row r="42" spans="11:56" x14ac:dyDescent="0.25">
      <c r="K42" s="8"/>
      <c r="L42" s="8"/>
      <c r="AY42" s="4"/>
      <c r="AZ42" s="100"/>
      <c r="BA42" s="100"/>
      <c r="BB42" s="100"/>
      <c r="BC42" s="100"/>
      <c r="BD42" s="4"/>
    </row>
    <row r="43" spans="11:56" x14ac:dyDescent="0.25">
      <c r="AY43" s="9"/>
      <c r="AZ43" s="100"/>
      <c r="BA43" s="100"/>
      <c r="BB43" s="100"/>
      <c r="BC43" s="100"/>
      <c r="BD43" s="4"/>
    </row>
    <row r="44" spans="11:56" x14ac:dyDescent="0.25">
      <c r="AY44" s="9"/>
      <c r="AZ44" s="100"/>
      <c r="BA44" s="100"/>
      <c r="BB44" s="100"/>
      <c r="BC44" s="100"/>
      <c r="BD44" s="4"/>
    </row>
    <row r="45" spans="11:56" x14ac:dyDescent="0.25">
      <c r="AY45" s="9"/>
      <c r="AZ45" s="100"/>
      <c r="BA45" s="100"/>
      <c r="BB45" s="100"/>
      <c r="BC45" s="100"/>
      <c r="BD45" s="4"/>
    </row>
    <row r="46" spans="11:56" x14ac:dyDescent="0.25">
      <c r="AY46" s="4"/>
      <c r="AZ46" s="100"/>
      <c r="BA46" s="100"/>
      <c r="BB46" s="100"/>
      <c r="BC46" s="100"/>
      <c r="BD46" s="4"/>
    </row>
    <row r="47" spans="11:56" x14ac:dyDescent="0.25">
      <c r="AY47" s="4"/>
      <c r="AZ47" s="100"/>
      <c r="BA47" s="100"/>
      <c r="BB47" s="100"/>
      <c r="BC47" s="100"/>
      <c r="BD47" s="4"/>
    </row>
    <row r="48" spans="11:56" x14ac:dyDescent="0.25">
      <c r="AY48" s="4"/>
      <c r="AZ48" s="100"/>
      <c r="BA48" s="100"/>
      <c r="BB48" s="100"/>
      <c r="BC48" s="100"/>
      <c r="BD48" s="4"/>
    </row>
    <row r="49" spans="12:56" x14ac:dyDescent="0.25">
      <c r="AY49" s="4"/>
      <c r="AZ49" s="100"/>
      <c r="BA49" s="100"/>
      <c r="BB49" s="100"/>
      <c r="BC49" s="100"/>
      <c r="BD49" s="4"/>
    </row>
    <row r="50" spans="12:56" x14ac:dyDescent="0.25">
      <c r="AY50" s="4"/>
      <c r="AZ50" s="100"/>
      <c r="BA50" s="100"/>
      <c r="BB50" s="100"/>
      <c r="BC50" s="100"/>
      <c r="BD50" s="4"/>
    </row>
    <row r="51" spans="12:56" x14ac:dyDescent="0.25">
      <c r="AY51" s="4"/>
      <c r="AZ51" s="100"/>
      <c r="BA51" s="100"/>
      <c r="BB51" s="100"/>
      <c r="BC51" s="100"/>
      <c r="BD51" s="4"/>
    </row>
    <row r="52" spans="12:56" x14ac:dyDescent="0.25">
      <c r="N52" s="22" t="s">
        <v>62</v>
      </c>
      <c r="W52" s="22" t="s">
        <v>62</v>
      </c>
      <c r="AF52" s="22" t="s">
        <v>62</v>
      </c>
      <c r="AP52" s="22" t="s">
        <v>62</v>
      </c>
      <c r="AY52" s="4"/>
      <c r="AZ52" s="100"/>
      <c r="BA52" s="100"/>
      <c r="BB52" s="100"/>
      <c r="BC52" s="100"/>
      <c r="BD52" s="4"/>
    </row>
    <row r="53" spans="12:56" x14ac:dyDescent="0.25">
      <c r="AY53" s="5" t="s">
        <v>213</v>
      </c>
      <c r="AZ53" s="105"/>
      <c r="BA53" s="105"/>
      <c r="BB53" s="105"/>
      <c r="BC53" s="105"/>
      <c r="BD53" s="4"/>
    </row>
    <row r="54" spans="12:56" x14ac:dyDescent="0.25">
      <c r="AY54" s="11"/>
      <c r="AZ54" s="101" t="s">
        <v>34</v>
      </c>
      <c r="BA54" s="101" t="s">
        <v>35</v>
      </c>
      <c r="BB54" s="101" t="s">
        <v>36</v>
      </c>
      <c r="BC54" s="101" t="s">
        <v>37</v>
      </c>
      <c r="BD54" s="4"/>
    </row>
    <row r="55" spans="12:56" x14ac:dyDescent="0.25">
      <c r="AY55" s="7" t="s">
        <v>19</v>
      </c>
      <c r="AZ55" s="179">
        <f>'3. % BY PRIORITY'!G72</f>
        <v>1</v>
      </c>
      <c r="BA55" s="179">
        <f>'3. % BY PRIORITY'!N72</f>
        <v>1</v>
      </c>
      <c r="BB55" s="179">
        <f>'3. % BY PRIORITY'!U72</f>
        <v>0.97959183673469385</v>
      </c>
      <c r="BC55" s="179">
        <f>'3. % BY PRIORITY'!AB72</f>
        <v>0.98</v>
      </c>
      <c r="BD55" s="4"/>
    </row>
    <row r="56" spans="12:56" x14ac:dyDescent="0.25">
      <c r="L56" s="8"/>
      <c r="M56" s="8"/>
      <c r="AY56" s="7" t="s">
        <v>20</v>
      </c>
      <c r="AZ56" s="179">
        <f>'3. % BY PRIORITY'!G75</f>
        <v>0</v>
      </c>
      <c r="BA56" s="179">
        <f>'3. % BY PRIORITY'!N75</f>
        <v>0</v>
      </c>
      <c r="BB56" s="179">
        <f>'3. % BY PRIORITY'!U75</f>
        <v>2.0408163265306121E-2</v>
      </c>
      <c r="BC56" s="179">
        <f>'3. % BY PRIORITY'!AB75</f>
        <v>0.02</v>
      </c>
      <c r="BD56" s="4"/>
    </row>
    <row r="57" spans="12:56" x14ac:dyDescent="0.25">
      <c r="L57" s="8"/>
      <c r="M57" s="8"/>
      <c r="AY57" s="7" t="s">
        <v>21</v>
      </c>
      <c r="AZ57" s="179">
        <f>'3. % BY PRIORITY'!G79</f>
        <v>0</v>
      </c>
      <c r="BA57" s="179">
        <f>'3. % BY PRIORITY'!N79</f>
        <v>0</v>
      </c>
      <c r="BB57" s="179">
        <f>'3. % BY PRIORITY'!U79</f>
        <v>0</v>
      </c>
      <c r="BC57" s="179">
        <f>'3. % BY PRIORITY'!AB79</f>
        <v>0</v>
      </c>
      <c r="BD57" s="4"/>
    </row>
    <row r="58" spans="12:56" x14ac:dyDescent="0.25">
      <c r="L58" s="8"/>
      <c r="M58" s="8"/>
      <c r="AY58" s="4"/>
      <c r="AZ58" s="100"/>
      <c r="BA58" s="100"/>
      <c r="BB58" s="100"/>
      <c r="BC58" s="100"/>
      <c r="BD58" s="4"/>
    </row>
    <row r="59" spans="12:56" x14ac:dyDescent="0.25">
      <c r="AY59" s="9"/>
      <c r="AZ59" s="100"/>
      <c r="BA59" s="100"/>
      <c r="BB59" s="100"/>
      <c r="BC59" s="100"/>
      <c r="BD59" s="4"/>
    </row>
    <row r="60" spans="12:56" x14ac:dyDescent="0.25">
      <c r="AY60" s="9"/>
      <c r="AZ60" s="100"/>
      <c r="BA60" s="100"/>
      <c r="BB60" s="100"/>
      <c r="BC60" s="100"/>
      <c r="BD60" s="4"/>
    </row>
    <row r="61" spans="12:56" x14ac:dyDescent="0.25">
      <c r="AY61" s="9"/>
      <c r="AZ61" s="100"/>
      <c r="BA61" s="100"/>
      <c r="BB61" s="100"/>
      <c r="BC61" s="100"/>
      <c r="BD61" s="4"/>
    </row>
    <row r="62" spans="12:56" x14ac:dyDescent="0.25">
      <c r="AY62" s="4"/>
      <c r="AZ62" s="100"/>
      <c r="BA62" s="100"/>
      <c r="BB62" s="100"/>
      <c r="BC62" s="100"/>
      <c r="BD62" s="4"/>
    </row>
    <row r="63" spans="12:56" x14ac:dyDescent="0.25">
      <c r="AY63" s="4"/>
      <c r="AZ63" s="100"/>
      <c r="BA63" s="100"/>
      <c r="BB63" s="100"/>
      <c r="BC63" s="100"/>
      <c r="BD63" s="4"/>
    </row>
    <row r="64" spans="12:56" x14ac:dyDescent="0.25">
      <c r="AY64" s="4"/>
      <c r="AZ64" s="100"/>
      <c r="BA64" s="100"/>
      <c r="BB64" s="100"/>
      <c r="BC64" s="100"/>
      <c r="BD64" s="4"/>
    </row>
    <row r="65" spans="51:56" x14ac:dyDescent="0.25">
      <c r="AY65" s="4"/>
      <c r="AZ65" s="100"/>
      <c r="BA65" s="100"/>
      <c r="BB65" s="100"/>
      <c r="BC65" s="100"/>
      <c r="BD65" s="4"/>
    </row>
    <row r="66" spans="51:56" x14ac:dyDescent="0.25">
      <c r="AY66" s="4"/>
      <c r="AZ66" s="100"/>
      <c r="BA66" s="100"/>
      <c r="BB66" s="100"/>
      <c r="BC66" s="100"/>
      <c r="BD66" s="4"/>
    </row>
  </sheetData>
  <mergeCells count="1">
    <mergeCell ref="M1:Z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20" location="INDEX!A1" display="Back to index"/>
    <hyperlink ref="AF36" location="INDEX!A1" display="Back to index"/>
    <hyperlink ref="W20" location="INDEX!A1" display="Back to index"/>
    <hyperlink ref="W36" location="INDEX!A1" display="Back to index"/>
    <hyperlink ref="W52" location="INDEX!A1" display="Back to index"/>
    <hyperlink ref="AF52" location="INDEX!A1" display="Back to index"/>
    <hyperlink ref="AP52" location="INDEX!A1" display="Back to index"/>
    <hyperlink ref="N4" location="INDEX!A1" display="Back to index"/>
    <hyperlink ref="N20" location="INDEX!A1" display="Back to index"/>
    <hyperlink ref="N36" location="INDEX!A1" display="Back to index"/>
    <hyperlink ref="N52" location="INDEX!A1" display="Back to index"/>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863D"/>
  </sheetPr>
  <dimension ref="B1:AB154"/>
  <sheetViews>
    <sheetView topLeftCell="O1" zoomScale="70" zoomScaleNormal="70" workbookViewId="0">
      <pane ySplit="1" topLeftCell="A2" activePane="bottomLeft" state="frozen"/>
      <selection pane="bottomLeft" activeCell="D1" sqref="D1"/>
    </sheetView>
  </sheetViews>
  <sheetFormatPr defaultColWidth="9.140625" defaultRowHeight="14.25" x14ac:dyDescent="0.25"/>
  <cols>
    <col min="1" max="1" width="3.42578125" style="58" customWidth="1"/>
    <col min="2" max="2" width="38.85546875" style="58" customWidth="1"/>
    <col min="3" max="3" width="13.7109375" style="79" customWidth="1"/>
    <col min="4" max="4" width="13.85546875" style="79" customWidth="1"/>
    <col min="5" max="5" width="16.28515625" style="79" customWidth="1"/>
    <col min="6" max="6" width="14.140625" style="58" customWidth="1"/>
    <col min="7" max="7" width="17.140625" style="79" customWidth="1"/>
    <col min="8" max="8" width="4.7109375" style="58" customWidth="1"/>
    <col min="9" max="9" width="40.140625" style="58" customWidth="1"/>
    <col min="10" max="10" width="13.7109375" style="79" customWidth="1"/>
    <col min="11" max="13" width="17.140625" style="58" customWidth="1"/>
    <col min="14" max="14" width="17.140625" style="79" customWidth="1"/>
    <col min="15" max="15" width="4.7109375" style="58" customWidth="1"/>
    <col min="16" max="16" width="40.140625" style="58" customWidth="1"/>
    <col min="17" max="17" width="13.7109375" style="79" customWidth="1"/>
    <col min="18" max="20" width="17.140625" style="58" customWidth="1"/>
    <col min="21" max="21" width="17.140625" style="87" customWidth="1"/>
    <col min="22" max="22" width="4.7109375" style="58" customWidth="1"/>
    <col min="23" max="23" width="55.28515625" style="58" customWidth="1"/>
    <col min="24" max="24" width="13.7109375" style="79" customWidth="1"/>
    <col min="25" max="27" width="17.140625" style="58" customWidth="1"/>
    <col min="28" max="28" width="17.140625" style="234" customWidth="1"/>
    <col min="29" max="16384" width="9.140625" style="58"/>
  </cols>
  <sheetData>
    <row r="1" spans="2:28" s="56" customFormat="1" ht="20.25" x14ac:dyDescent="0.25">
      <c r="B1" s="202"/>
      <c r="C1" s="369" t="s">
        <v>13</v>
      </c>
      <c r="D1" s="205"/>
      <c r="E1" s="205"/>
      <c r="F1" s="204"/>
      <c r="G1" s="205"/>
      <c r="I1" s="203" t="s">
        <v>14</v>
      </c>
      <c r="J1" s="369"/>
      <c r="K1" s="202"/>
      <c r="L1" s="202"/>
      <c r="M1" s="202"/>
      <c r="N1" s="206"/>
      <c r="P1" s="202" t="s">
        <v>15</v>
      </c>
      <c r="Q1" s="369"/>
      <c r="R1" s="202"/>
      <c r="S1" s="202"/>
      <c r="T1" s="202"/>
      <c r="U1" s="207"/>
      <c r="W1" s="202" t="s">
        <v>16</v>
      </c>
      <c r="X1" s="369"/>
      <c r="Y1" s="202"/>
      <c r="Z1" s="202"/>
      <c r="AA1" s="202"/>
      <c r="AB1" s="241"/>
    </row>
    <row r="2" spans="2:28" ht="15.75" x14ac:dyDescent="0.25">
      <c r="B2" s="65"/>
      <c r="C2" s="57"/>
      <c r="D2" s="57"/>
      <c r="E2" s="57"/>
      <c r="F2" s="65"/>
      <c r="G2" s="57"/>
      <c r="I2" s="66"/>
      <c r="J2" s="57"/>
      <c r="K2" s="66"/>
      <c r="L2" s="66"/>
      <c r="M2" s="66"/>
      <c r="N2" s="95"/>
      <c r="P2" s="66"/>
      <c r="Q2" s="57"/>
      <c r="R2" s="66"/>
      <c r="S2" s="66"/>
      <c r="T2" s="66"/>
      <c r="U2" s="83"/>
      <c r="W2" s="66"/>
      <c r="X2" s="57"/>
      <c r="Y2" s="66"/>
      <c r="Z2" s="66"/>
      <c r="AA2" s="66"/>
      <c r="AB2" s="229"/>
    </row>
    <row r="3" spans="2:28" s="61" customFormat="1" ht="15.75" x14ac:dyDescent="0.25">
      <c r="B3" s="315" t="s">
        <v>76</v>
      </c>
      <c r="C3" s="370"/>
      <c r="D3" s="370"/>
      <c r="E3" s="370"/>
      <c r="F3" s="309"/>
      <c r="G3" s="310"/>
      <c r="I3" s="315" t="s">
        <v>76</v>
      </c>
      <c r="J3" s="370"/>
      <c r="K3" s="309"/>
      <c r="L3" s="309"/>
      <c r="M3" s="309"/>
      <c r="N3" s="310"/>
      <c r="P3" s="315" t="s">
        <v>76</v>
      </c>
      <c r="Q3" s="370"/>
      <c r="R3" s="309"/>
      <c r="S3" s="309"/>
      <c r="T3" s="309"/>
      <c r="U3" s="310"/>
      <c r="W3" s="315" t="s">
        <v>76</v>
      </c>
      <c r="X3" s="370"/>
      <c r="Y3" s="309"/>
      <c r="Z3" s="309"/>
      <c r="AA3" s="309"/>
      <c r="AB3" s="310"/>
    </row>
    <row r="4" spans="2:28" ht="42" customHeight="1" x14ac:dyDescent="0.25">
      <c r="B4" s="311" t="s">
        <v>23</v>
      </c>
      <c r="C4" s="312" t="s">
        <v>24</v>
      </c>
      <c r="D4" s="312" t="s">
        <v>18</v>
      </c>
      <c r="E4" s="312" t="s">
        <v>48</v>
      </c>
      <c r="F4" s="311" t="s">
        <v>29</v>
      </c>
      <c r="G4" s="312" t="s">
        <v>49</v>
      </c>
      <c r="I4" s="311" t="s">
        <v>23</v>
      </c>
      <c r="J4" s="312" t="s">
        <v>24</v>
      </c>
      <c r="K4" s="311" t="s">
        <v>18</v>
      </c>
      <c r="L4" s="311" t="s">
        <v>48</v>
      </c>
      <c r="M4" s="311" t="s">
        <v>29</v>
      </c>
      <c r="N4" s="312" t="s">
        <v>49</v>
      </c>
      <c r="P4" s="311" t="s">
        <v>23</v>
      </c>
      <c r="Q4" s="312" t="s">
        <v>24</v>
      </c>
      <c r="R4" s="311" t="s">
        <v>18</v>
      </c>
      <c r="S4" s="311" t="s">
        <v>48</v>
      </c>
      <c r="T4" s="311" t="s">
        <v>29</v>
      </c>
      <c r="U4" s="313" t="s">
        <v>49</v>
      </c>
      <c r="W4" s="311" t="s">
        <v>23</v>
      </c>
      <c r="X4" s="312" t="s">
        <v>24</v>
      </c>
      <c r="Y4" s="311" t="s">
        <v>18</v>
      </c>
      <c r="Z4" s="311" t="s">
        <v>48</v>
      </c>
      <c r="AA4" s="311" t="s">
        <v>29</v>
      </c>
      <c r="AB4" s="314" t="s">
        <v>49</v>
      </c>
    </row>
    <row r="5" spans="2:28" s="61" customFormat="1" ht="6" customHeight="1" x14ac:dyDescent="0.25">
      <c r="B5" s="167"/>
      <c r="C5" s="177"/>
      <c r="D5" s="177"/>
      <c r="E5" s="177"/>
      <c r="F5" s="167"/>
      <c r="G5" s="177"/>
      <c r="I5" s="167"/>
      <c r="J5" s="177"/>
      <c r="K5" s="167"/>
      <c r="L5" s="167"/>
      <c r="M5" s="167"/>
      <c r="N5" s="177"/>
      <c r="P5" s="167"/>
      <c r="Q5" s="177"/>
      <c r="R5" s="167"/>
      <c r="S5" s="167"/>
      <c r="T5" s="167"/>
      <c r="U5" s="178"/>
      <c r="W5" s="167"/>
      <c r="X5" s="177"/>
      <c r="Y5" s="167"/>
      <c r="Z5" s="167"/>
      <c r="AA5" s="167"/>
      <c r="AB5" s="232"/>
    </row>
    <row r="6" spans="2:28" ht="21.75" customHeight="1" x14ac:dyDescent="0.25">
      <c r="B6" s="247" t="s">
        <v>45</v>
      </c>
      <c r="C6" s="269">
        <f>COUNTIFS('1. ALL DATA'!$Y$5:$Y$128,"LEADER OF THE COUNCIL",'1. ALL DATA'!$H$5:$H$128,"Fully Achieved")</f>
        <v>1</v>
      </c>
      <c r="D6" s="367">
        <f>C6/C20</f>
        <v>0.05</v>
      </c>
      <c r="E6" s="464">
        <f>D6+D7</f>
        <v>0.65</v>
      </c>
      <c r="F6" s="118">
        <f>C6/C21</f>
        <v>7.6923076923076927E-2</v>
      </c>
      <c r="G6" s="467">
        <f>F6+F7</f>
        <v>1</v>
      </c>
      <c r="I6" s="247" t="s">
        <v>45</v>
      </c>
      <c r="J6" s="269">
        <f>COUNTIFS('1. ALL DATA'!$Y$5:$Y$128,"LEADER OF THE COUNCIL",'1. ALL DATA'!$M$5:$M$128,"Fully Achieved")</f>
        <v>5</v>
      </c>
      <c r="K6" s="118">
        <f>J6/J20</f>
        <v>0.25</v>
      </c>
      <c r="L6" s="481">
        <f>K6+K7</f>
        <v>0.75</v>
      </c>
      <c r="M6" s="118">
        <f>J6/J21</f>
        <v>0.33333333333333331</v>
      </c>
      <c r="N6" s="467">
        <f>M6+M7</f>
        <v>1</v>
      </c>
      <c r="P6" s="247" t="s">
        <v>45</v>
      </c>
      <c r="Q6" s="269">
        <f>COUNTIFS('1. ALL DATA'!$Y$5:$Y$128,"LEADER OF THE COUNCIL",'1. ALL DATA'!$R$5:$R$128,"Fully Achieved")</f>
        <v>6</v>
      </c>
      <c r="R6" s="118">
        <f>Q6/Q20</f>
        <v>0.3</v>
      </c>
      <c r="S6" s="481">
        <f>R6+R7</f>
        <v>0.8</v>
      </c>
      <c r="T6" s="118">
        <f>Q6/Q21</f>
        <v>0.375</v>
      </c>
      <c r="U6" s="467">
        <f>T6+T7</f>
        <v>1</v>
      </c>
      <c r="W6" s="247" t="s">
        <v>45</v>
      </c>
      <c r="X6" s="269">
        <f>COUNTIFS('1. ALL DATA'!$Y$5:$Y$128,"LEADER OF THE COUNCIL",'1. ALL DATA'!$V$5:$V$128,"Fully Achieved")</f>
        <v>20</v>
      </c>
      <c r="Y6" s="118">
        <f>X6/$X$20</f>
        <v>1</v>
      </c>
      <c r="Z6" s="481">
        <f>Y6+Y7</f>
        <v>1</v>
      </c>
      <c r="AA6" s="118">
        <f>X6/$X$21</f>
        <v>1</v>
      </c>
      <c r="AB6" s="467">
        <f>AA6+AA7</f>
        <v>1</v>
      </c>
    </row>
    <row r="7" spans="2:28" ht="18.75" customHeight="1" x14ac:dyDescent="0.25">
      <c r="B7" s="247" t="s">
        <v>41</v>
      </c>
      <c r="C7" s="269">
        <f>COUNTIFS('1. ALL DATA'!$Y$5:$Y$128,"LEADER OF THE COUNCIL",'1. ALL DATA'!$H$5:$H$128,"On TRACK TO BE ACHIEVED")</f>
        <v>12</v>
      </c>
      <c r="D7" s="367">
        <f>C7/C20</f>
        <v>0.6</v>
      </c>
      <c r="E7" s="464"/>
      <c r="F7" s="118">
        <f>C7/C21</f>
        <v>0.92307692307692313</v>
      </c>
      <c r="G7" s="467"/>
      <c r="I7" s="247" t="s">
        <v>41</v>
      </c>
      <c r="J7" s="269">
        <f>COUNTIFS('1. ALL DATA'!$Y$5:$Y$128,"LEADER OF THE COUNCIL",'1. ALL DATA'!$M$5:$M$128,"On TRACK TO BE ACHIEVED")</f>
        <v>10</v>
      </c>
      <c r="K7" s="118">
        <f>J7/J20</f>
        <v>0.5</v>
      </c>
      <c r="L7" s="481"/>
      <c r="M7" s="118">
        <f>J7/J21</f>
        <v>0.66666666666666663</v>
      </c>
      <c r="N7" s="467"/>
      <c r="P7" s="247" t="s">
        <v>41</v>
      </c>
      <c r="Q7" s="269">
        <f>COUNTIFS('1. ALL DATA'!$Y$5:$Y$128,"LEADER OF THE COUNCIL",'1. ALL DATA'!$R$5:$R$128,"On TRACK TO BE ACHIEVED")</f>
        <v>10</v>
      </c>
      <c r="R7" s="118">
        <f>Q7/Q20</f>
        <v>0.5</v>
      </c>
      <c r="S7" s="481"/>
      <c r="T7" s="118">
        <f>Q7/Q21</f>
        <v>0.625</v>
      </c>
      <c r="U7" s="467"/>
      <c r="W7" s="247" t="s">
        <v>79</v>
      </c>
      <c r="X7" s="269">
        <f>COUNTIFS('1. ALL DATA'!$Y$5:$Y$128,"LEADER OF THE COUNCIL",'1. ALL DATA'!$V$5:$V$128,"Numerical Outturn Within 5% Tolerance")</f>
        <v>0</v>
      </c>
      <c r="Y7" s="137">
        <f>X7/$X$20</f>
        <v>0</v>
      </c>
      <c r="Z7" s="481"/>
      <c r="AA7" s="137">
        <f t="shared" ref="AA7:AA14" si="0">X7/$X$21</f>
        <v>0</v>
      </c>
      <c r="AB7" s="467"/>
    </row>
    <row r="8" spans="2:28" s="61" customFormat="1" ht="6" customHeight="1" x14ac:dyDescent="0.25">
      <c r="B8" s="167"/>
      <c r="C8" s="265"/>
      <c r="D8" s="251"/>
      <c r="E8" s="251"/>
      <c r="F8" s="168"/>
      <c r="G8" s="169"/>
      <c r="I8" s="167"/>
      <c r="J8" s="265"/>
      <c r="K8" s="168"/>
      <c r="L8" s="168"/>
      <c r="M8" s="168"/>
      <c r="N8" s="169"/>
      <c r="P8" s="167"/>
      <c r="Q8" s="265"/>
      <c r="R8" s="168"/>
      <c r="S8" s="168"/>
      <c r="T8" s="168"/>
      <c r="U8" s="169"/>
      <c r="W8" s="170"/>
      <c r="X8" s="265"/>
      <c r="Y8" s="316"/>
      <c r="Z8" s="168"/>
      <c r="AA8" s="316"/>
      <c r="AB8" s="169"/>
    </row>
    <row r="9" spans="2:28" ht="21" customHeight="1" x14ac:dyDescent="0.25">
      <c r="B9" s="462" t="s">
        <v>26</v>
      </c>
      <c r="C9" s="485">
        <f>COUNTIFS('1. ALL DATA'!$Y$5:$Y$128,"LEADER OF THE COUNCIL",'1. ALL DATA'!$H$5:$H$128,"In danger of falling behind target")</f>
        <v>0</v>
      </c>
      <c r="D9" s="464">
        <f>C9/C20</f>
        <v>0</v>
      </c>
      <c r="E9" s="464">
        <f>D9</f>
        <v>0</v>
      </c>
      <c r="F9" s="481">
        <f>C9/C21</f>
        <v>0</v>
      </c>
      <c r="G9" s="465">
        <f>F9</f>
        <v>0</v>
      </c>
      <c r="I9" s="462" t="s">
        <v>26</v>
      </c>
      <c r="J9" s="485">
        <f>COUNTIFS('1. ALL DATA'!$Y$5:$Y$128,"LEADER OF THE COUNCIL",'1. ALL DATA'!$M$5:$M$128,"In danger of falling behind target")</f>
        <v>0</v>
      </c>
      <c r="K9" s="481">
        <f>J9/J20</f>
        <v>0</v>
      </c>
      <c r="L9" s="481">
        <f>K9</f>
        <v>0</v>
      </c>
      <c r="M9" s="481">
        <f>J9/J21</f>
        <v>0</v>
      </c>
      <c r="N9" s="465">
        <f>M9</f>
        <v>0</v>
      </c>
      <c r="P9" s="462" t="s">
        <v>26</v>
      </c>
      <c r="Q9" s="485">
        <f>COUNTIFS('1. ALL DATA'!$Y$5:$Y$128,"LEADER OF THE COUNCIL",'1. ALL DATA'!$R$5:$R$128,"In danger of falling behind target")</f>
        <v>0</v>
      </c>
      <c r="R9" s="481">
        <f>Q9/Q20</f>
        <v>0</v>
      </c>
      <c r="S9" s="481">
        <f>R9</f>
        <v>0</v>
      </c>
      <c r="T9" s="481">
        <f>Q9/Q21</f>
        <v>0</v>
      </c>
      <c r="U9" s="465">
        <f>T9</f>
        <v>0</v>
      </c>
      <c r="W9" s="249" t="s">
        <v>80</v>
      </c>
      <c r="X9" s="371">
        <f>COUNTIFS('1. ALL DATA'!$Y$5:$Y$128,"LEADER OF THE COUNCIL",'1. ALL DATA'!$V$5:$V$128,"In danger of falling behind target")</f>
        <v>0</v>
      </c>
      <c r="Y9" s="137">
        <f t="shared" ref="Y9:Y19" si="1">X9/$X$20</f>
        <v>0</v>
      </c>
      <c r="Z9" s="482">
        <f>SUM(Y9:Y11)</f>
        <v>0</v>
      </c>
      <c r="AA9" s="137">
        <f t="shared" si="0"/>
        <v>0</v>
      </c>
      <c r="AB9" s="465">
        <f>SUM(AA9:AA11)</f>
        <v>0</v>
      </c>
    </row>
    <row r="10" spans="2:28" ht="20.25" customHeight="1" x14ac:dyDescent="0.25">
      <c r="B10" s="462"/>
      <c r="C10" s="485"/>
      <c r="D10" s="464"/>
      <c r="E10" s="464"/>
      <c r="F10" s="481"/>
      <c r="G10" s="465"/>
      <c r="I10" s="462"/>
      <c r="J10" s="485"/>
      <c r="K10" s="481"/>
      <c r="L10" s="481"/>
      <c r="M10" s="481"/>
      <c r="N10" s="465"/>
      <c r="P10" s="462"/>
      <c r="Q10" s="485"/>
      <c r="R10" s="481"/>
      <c r="S10" s="481"/>
      <c r="T10" s="481"/>
      <c r="U10" s="465"/>
      <c r="W10" s="249" t="s">
        <v>81</v>
      </c>
      <c r="X10" s="371">
        <f>COUNTIFS('1. ALL DATA'!$Y$5:$Y$128,"LEADER OF THE COUNCIL",'1. ALL DATA'!$V$5:$V$128,"Target Partially Met")</f>
        <v>0</v>
      </c>
      <c r="Y10" s="137">
        <f t="shared" si="1"/>
        <v>0</v>
      </c>
      <c r="Z10" s="483"/>
      <c r="AA10" s="137">
        <f t="shared" si="0"/>
        <v>0</v>
      </c>
      <c r="AB10" s="465"/>
    </row>
    <row r="11" spans="2:28" ht="15.75" customHeight="1" x14ac:dyDescent="0.25">
      <c r="B11" s="462"/>
      <c r="C11" s="485"/>
      <c r="D11" s="464"/>
      <c r="E11" s="464"/>
      <c r="F11" s="481"/>
      <c r="G11" s="465"/>
      <c r="I11" s="462"/>
      <c r="J11" s="485"/>
      <c r="K11" s="481"/>
      <c r="L11" s="481"/>
      <c r="M11" s="481"/>
      <c r="N11" s="465"/>
      <c r="P11" s="462"/>
      <c r="Q11" s="485"/>
      <c r="R11" s="481"/>
      <c r="S11" s="481"/>
      <c r="T11" s="481"/>
      <c r="U11" s="465"/>
      <c r="W11" s="249" t="s">
        <v>83</v>
      </c>
      <c r="X11" s="371">
        <f>COUNTIFS('1. ALL DATA'!$Y$5:$Y$128,"LEADER OF THE COUNCIL",'1. ALL DATA'!$V$5:$V$128,"Completion Date Within Reasonable Tolerance")</f>
        <v>0</v>
      </c>
      <c r="Y11" s="137">
        <f t="shared" si="1"/>
        <v>0</v>
      </c>
      <c r="Z11" s="484"/>
      <c r="AA11" s="137">
        <f t="shared" si="0"/>
        <v>0</v>
      </c>
      <c r="AB11" s="465"/>
    </row>
    <row r="12" spans="2:28" s="61" customFormat="1" ht="6" customHeight="1" x14ac:dyDescent="0.25">
      <c r="B12" s="167"/>
      <c r="C12" s="177"/>
      <c r="D12" s="251"/>
      <c r="E12" s="251"/>
      <c r="F12" s="168"/>
      <c r="G12" s="169"/>
      <c r="I12" s="167"/>
      <c r="J12" s="177"/>
      <c r="K12" s="168"/>
      <c r="L12" s="168"/>
      <c r="M12" s="168"/>
      <c r="N12" s="169"/>
      <c r="P12" s="167"/>
      <c r="Q12" s="177"/>
      <c r="R12" s="168"/>
      <c r="S12" s="168"/>
      <c r="T12" s="168"/>
      <c r="U12" s="169"/>
      <c r="W12" s="170"/>
      <c r="X12" s="177"/>
      <c r="Y12" s="316"/>
      <c r="Z12" s="168"/>
      <c r="AA12" s="316"/>
      <c r="AB12" s="169"/>
    </row>
    <row r="13" spans="2:28" ht="20.25" customHeight="1" x14ac:dyDescent="0.25">
      <c r="B13" s="248" t="s">
        <v>42</v>
      </c>
      <c r="C13" s="269">
        <f>COUNTIFS('1. ALL DATA'!$Y$5:$Y$128,"LEADER OF THE COUNCIL",'1. ALL DATA'!$H$5:$H$128,"Completed behind schedule")</f>
        <v>0</v>
      </c>
      <c r="D13" s="367">
        <f>C13/C20</f>
        <v>0</v>
      </c>
      <c r="E13" s="464">
        <f>D13+D14</f>
        <v>0</v>
      </c>
      <c r="F13" s="118">
        <f>C13/C21</f>
        <v>0</v>
      </c>
      <c r="G13" s="480">
        <f>F13+F14</f>
        <v>0</v>
      </c>
      <c r="I13" s="248" t="s">
        <v>42</v>
      </c>
      <c r="J13" s="269">
        <f>COUNTIFS('1. ALL DATA'!$Y$5:$Y$128,"LEADER OF THE COUNCIL",'1. ALL DATA'!$M$5:$M$128,"Completed behind schedule")</f>
        <v>0</v>
      </c>
      <c r="K13" s="118">
        <f>J13/J20</f>
        <v>0</v>
      </c>
      <c r="L13" s="481">
        <f>K13+K14</f>
        <v>0</v>
      </c>
      <c r="M13" s="118">
        <f>J13/J21</f>
        <v>0</v>
      </c>
      <c r="N13" s="480">
        <f>M13+M14</f>
        <v>0</v>
      </c>
      <c r="P13" s="248" t="s">
        <v>42</v>
      </c>
      <c r="Q13" s="269">
        <f>COUNTIFS('1. ALL DATA'!$Y$5:$Y$128,"LEADER OF THE COUNCIL",'1. ALL DATA'!$R$5:$R$128,"Completed behind schedule")</f>
        <v>0</v>
      </c>
      <c r="R13" s="118">
        <f>Q13/Q20</f>
        <v>0</v>
      </c>
      <c r="S13" s="481">
        <f>R13+R14</f>
        <v>0</v>
      </c>
      <c r="T13" s="118">
        <f>Q13/Q21</f>
        <v>0</v>
      </c>
      <c r="U13" s="480">
        <f>T13+T14</f>
        <v>0</v>
      </c>
      <c r="W13" s="248" t="s">
        <v>82</v>
      </c>
      <c r="X13" s="269">
        <f>COUNTIFS('1. ALL DATA'!$Y$5:$Y$128,"LEADER OF THE COUNCIL",'1. ALL DATA'!$V$5:$V$128,"Completed Significantly After Target Deadline")</f>
        <v>0</v>
      </c>
      <c r="Y13" s="137">
        <f t="shared" si="1"/>
        <v>0</v>
      </c>
      <c r="Z13" s="481">
        <f>Y13+Y14</f>
        <v>0</v>
      </c>
      <c r="AA13" s="137">
        <f t="shared" si="0"/>
        <v>0</v>
      </c>
      <c r="AB13" s="480">
        <f>AA13+AA14</f>
        <v>0</v>
      </c>
    </row>
    <row r="14" spans="2:28" ht="20.25" customHeight="1" x14ac:dyDescent="0.25">
      <c r="B14" s="248" t="s">
        <v>27</v>
      </c>
      <c r="C14" s="269">
        <f>COUNTIFS('1. ALL DATA'!$Y$5:$Y$128,"LEADER OF THE COUNCIL",'1. ALL DATA'!$H$5:$H$128,"Off target")</f>
        <v>0</v>
      </c>
      <c r="D14" s="367">
        <f>C14/C20</f>
        <v>0</v>
      </c>
      <c r="E14" s="464"/>
      <c r="F14" s="118">
        <f>C14/C21</f>
        <v>0</v>
      </c>
      <c r="G14" s="480"/>
      <c r="I14" s="248" t="s">
        <v>27</v>
      </c>
      <c r="J14" s="269">
        <f>COUNTIFS('1. ALL DATA'!$Y$5:$Y$128,"LEADER OF THE COUNCIL",'1. ALL DATA'!$M$5:$M$128,"Off target")</f>
        <v>0</v>
      </c>
      <c r="K14" s="118">
        <f>J14/J20</f>
        <v>0</v>
      </c>
      <c r="L14" s="481"/>
      <c r="M14" s="118">
        <f>J14/J21</f>
        <v>0</v>
      </c>
      <c r="N14" s="480"/>
      <c r="P14" s="248" t="s">
        <v>27</v>
      </c>
      <c r="Q14" s="269">
        <f>COUNTIFS('1. ALL DATA'!$Y$5:$Y$128,"LEADER OF THE COUNCIL",'1. ALL DATA'!$R$5:$R$128,"Off target")</f>
        <v>0</v>
      </c>
      <c r="R14" s="118">
        <f>Q14/Q20</f>
        <v>0</v>
      </c>
      <c r="S14" s="481"/>
      <c r="T14" s="118">
        <f>Q14/Q21</f>
        <v>0</v>
      </c>
      <c r="U14" s="480"/>
      <c r="W14" s="248" t="s">
        <v>27</v>
      </c>
      <c r="X14" s="269">
        <f>COUNTIFS('1. ALL DATA'!$Y$5:$Y$128,"LEADER OF THE COUNCIL",'1. ALL DATA'!$V$5:$V$128,"Off target")</f>
        <v>0</v>
      </c>
      <c r="Y14" s="137">
        <f t="shared" si="1"/>
        <v>0</v>
      </c>
      <c r="Z14" s="481"/>
      <c r="AA14" s="137">
        <f t="shared" si="0"/>
        <v>0</v>
      </c>
      <c r="AB14" s="480"/>
    </row>
    <row r="15" spans="2:28" s="61" customFormat="1" ht="6.75" customHeight="1" x14ac:dyDescent="0.25">
      <c r="B15" s="167"/>
      <c r="C15" s="265"/>
      <c r="D15" s="251"/>
      <c r="E15" s="251"/>
      <c r="F15" s="168"/>
      <c r="G15" s="172"/>
      <c r="I15" s="167"/>
      <c r="J15" s="265"/>
      <c r="K15" s="168"/>
      <c r="L15" s="168"/>
      <c r="M15" s="168"/>
      <c r="N15" s="172"/>
      <c r="P15" s="167"/>
      <c r="Q15" s="265"/>
      <c r="R15" s="168"/>
      <c r="S15" s="168"/>
      <c r="T15" s="168"/>
      <c r="U15" s="172"/>
      <c r="W15" s="318"/>
      <c r="X15" s="265"/>
      <c r="Y15" s="316"/>
      <c r="Z15" s="173"/>
      <c r="AA15" s="174"/>
      <c r="AB15" s="233"/>
    </row>
    <row r="16" spans="2:28" ht="15" customHeight="1" x14ac:dyDescent="0.25">
      <c r="B16" s="46" t="s">
        <v>1</v>
      </c>
      <c r="C16" s="269">
        <f>COUNTIFS('1. ALL DATA'!$Y$5:$Y$128,"LEADER OF THE COUNCIL",'1. ALL DATA'!$H$5:$H$128,"Not yet due")</f>
        <v>7</v>
      </c>
      <c r="D16" s="252">
        <f>C16/C20</f>
        <v>0.35</v>
      </c>
      <c r="E16" s="252">
        <f>D16</f>
        <v>0.35</v>
      </c>
      <c r="F16" s="74"/>
      <c r="G16" s="45"/>
      <c r="I16" s="46" t="s">
        <v>1</v>
      </c>
      <c r="J16" s="269">
        <f>COUNTIFS('1. ALL DATA'!$Y$5:$Y$128,"LEADER OF THE COUNCIL",'1. ALL DATA'!$M$5:$M$128,"Not yet due")</f>
        <v>5</v>
      </c>
      <c r="K16" s="73">
        <f>J16/J20</f>
        <v>0.25</v>
      </c>
      <c r="L16" s="73">
        <f>K16</f>
        <v>0.25</v>
      </c>
      <c r="M16" s="74"/>
      <c r="N16" s="45"/>
      <c r="P16" s="46" t="s">
        <v>1</v>
      </c>
      <c r="Q16" s="269">
        <f>COUNTIFS('1. ALL DATA'!$Y$5:$Y$128,"LEADER OF THE COUNCIL",'1. ALL DATA'!$R$5:$R$128,"Not yet due")</f>
        <v>3</v>
      </c>
      <c r="R16" s="73">
        <f>Q16/Q20</f>
        <v>0.15</v>
      </c>
      <c r="S16" s="73">
        <f>R16</f>
        <v>0.15</v>
      </c>
      <c r="T16" s="74"/>
      <c r="U16" s="91"/>
      <c r="W16" s="60" t="s">
        <v>1</v>
      </c>
      <c r="X16" s="269">
        <f>COUNTIFS('1. ALL DATA'!$Y$5:$Y$128,"LEADER OF THE COUNCIL",'1. ALL DATA'!$V$5:$V$128,"Not yet due")</f>
        <v>0</v>
      </c>
      <c r="Y16" s="137">
        <f t="shared" si="1"/>
        <v>0</v>
      </c>
      <c r="Z16" s="73">
        <f>Y16</f>
        <v>0</v>
      </c>
      <c r="AA16" s="74"/>
      <c r="AB16" s="235"/>
    </row>
    <row r="17" spans="2:28" ht="15" customHeight="1" x14ac:dyDescent="0.25">
      <c r="B17" s="46" t="s">
        <v>46</v>
      </c>
      <c r="C17" s="269">
        <f>COUNTIFS('1. ALL DATA'!$Y$5:$Y$128,"LEADER OF THE COUNCIL",'1. ALL DATA'!$H$5:$H$128,"Update not provided")</f>
        <v>0</v>
      </c>
      <c r="D17" s="252">
        <f>C17/C20</f>
        <v>0</v>
      </c>
      <c r="E17" s="252">
        <f>D17</f>
        <v>0</v>
      </c>
      <c r="F17" s="74"/>
      <c r="G17" s="96"/>
      <c r="I17" s="46" t="s">
        <v>46</v>
      </c>
      <c r="J17" s="269">
        <f>COUNTIFS('1. ALL DATA'!$Y$5:$Y$128,"LEADER OF THE COUNCIL",'1. ALL DATA'!$M$5:$M$128,"Update not provided")</f>
        <v>0</v>
      </c>
      <c r="K17" s="73">
        <f>J17/J20</f>
        <v>0</v>
      </c>
      <c r="L17" s="73">
        <f>K17</f>
        <v>0</v>
      </c>
      <c r="M17" s="74"/>
      <c r="N17" s="96"/>
      <c r="P17" s="46" t="s">
        <v>46</v>
      </c>
      <c r="Q17" s="269">
        <f>COUNTIFS('1. ALL DATA'!$Y$5:$Y$128,"LEADER OF THE COUNCIL",'1. ALL DATA'!$R$5:$R$128,"Update not provided")</f>
        <v>1</v>
      </c>
      <c r="R17" s="73">
        <f>Q17/Q20</f>
        <v>0.05</v>
      </c>
      <c r="S17" s="73">
        <f>R17</f>
        <v>0.05</v>
      </c>
      <c r="T17" s="74"/>
      <c r="U17" s="92"/>
      <c r="W17" s="62" t="s">
        <v>46</v>
      </c>
      <c r="X17" s="269">
        <f>COUNTIFS('1. ALL DATA'!$Y$5:$Y$128,"LEADER OF THE COUNCIL",'1. ALL DATA'!$V$5:$V$128,"Update not provided")</f>
        <v>0</v>
      </c>
      <c r="Y17" s="137">
        <f t="shared" si="1"/>
        <v>0</v>
      </c>
      <c r="Z17" s="73">
        <f>Y17</f>
        <v>0</v>
      </c>
      <c r="AA17" s="74"/>
    </row>
    <row r="18" spans="2:28" ht="15.75" customHeight="1" x14ac:dyDescent="0.25">
      <c r="B18" s="47" t="s">
        <v>22</v>
      </c>
      <c r="C18" s="269">
        <f>COUNTIFS('1. ALL DATA'!$Y$5:$Y$128,"LEADER OF THE COUNCIL",'1. ALL DATA'!$H$5:$H$128,"Deferred")</f>
        <v>0</v>
      </c>
      <c r="D18" s="253">
        <f>C18/C20</f>
        <v>0</v>
      </c>
      <c r="E18" s="253">
        <f>D18</f>
        <v>0</v>
      </c>
      <c r="F18" s="75"/>
      <c r="G18" s="45"/>
      <c r="I18" s="47" t="s">
        <v>22</v>
      </c>
      <c r="J18" s="269">
        <f>COUNTIFS('1. ALL DATA'!$Y$5:$Y$128,"LEADER OF THE COUNCIL",'1. ALL DATA'!$M$5:$M$128,"Deferred")</f>
        <v>0</v>
      </c>
      <c r="K18" s="76">
        <f>J18/J20</f>
        <v>0</v>
      </c>
      <c r="L18" s="76">
        <f>K18</f>
        <v>0</v>
      </c>
      <c r="M18" s="75"/>
      <c r="N18" s="45"/>
      <c r="P18" s="47" t="s">
        <v>22</v>
      </c>
      <c r="Q18" s="269">
        <f>COUNTIFS('1. ALL DATA'!$Y$5:$Y$128,"LEADER OF THE COUNCIL",'1. ALL DATA'!$R$5:$R$128,"Deferred")</f>
        <v>0</v>
      </c>
      <c r="R18" s="76">
        <f>Q18/Q20</f>
        <v>0</v>
      </c>
      <c r="S18" s="76">
        <f>R18</f>
        <v>0</v>
      </c>
      <c r="T18" s="75"/>
      <c r="U18" s="91"/>
      <c r="W18" s="47" t="s">
        <v>22</v>
      </c>
      <c r="X18" s="269">
        <f>COUNTIFS('1. ALL DATA'!$Y$5:$Y$128,"LEADER OF THE COUNCIL",'1. ALL DATA'!$V$5:$V$128,"Deferred")</f>
        <v>0</v>
      </c>
      <c r="Y18" s="137">
        <f t="shared" si="1"/>
        <v>0</v>
      </c>
      <c r="Z18" s="76">
        <f>Y18</f>
        <v>0</v>
      </c>
      <c r="AA18" s="75"/>
      <c r="AB18" s="235"/>
    </row>
    <row r="19" spans="2:28" ht="15.75" customHeight="1" x14ac:dyDescent="0.25">
      <c r="B19" s="47" t="s">
        <v>28</v>
      </c>
      <c r="C19" s="269">
        <f>COUNTIFS('1. ALL DATA'!$Y$5:$Y$128,"LEADER OF THE COUNCIL",'1. ALL DATA'!$H$5:$H$128,"Deleted")</f>
        <v>0</v>
      </c>
      <c r="D19" s="253">
        <f>C19/C20</f>
        <v>0</v>
      </c>
      <c r="E19" s="253">
        <f>D19</f>
        <v>0</v>
      </c>
      <c r="F19" s="75"/>
      <c r="G19" s="89" t="s">
        <v>62</v>
      </c>
      <c r="I19" s="47" t="s">
        <v>28</v>
      </c>
      <c r="J19" s="269">
        <f>COUNTIFS('1. ALL DATA'!$Y$5:$Y$128,"LEADER OF THE COUNCIL",'1. ALL DATA'!$M$5:$M$128,"Deleted")</f>
        <v>0</v>
      </c>
      <c r="K19" s="76">
        <f>J19/J20</f>
        <v>0</v>
      </c>
      <c r="L19" s="76">
        <f>K19</f>
        <v>0</v>
      </c>
      <c r="M19" s="75"/>
      <c r="N19" s="89" t="s">
        <v>62</v>
      </c>
      <c r="P19" s="47" t="s">
        <v>28</v>
      </c>
      <c r="Q19" s="269">
        <f>COUNTIFS('1. ALL DATA'!$Y$5:$Y$128,"LEADER OF THE COUNCIL",'1. ALL DATA'!$R$5:$R$128,"Deleted")</f>
        <v>0</v>
      </c>
      <c r="R19" s="76">
        <f>Q19/Q20</f>
        <v>0</v>
      </c>
      <c r="S19" s="76">
        <f>R19</f>
        <v>0</v>
      </c>
      <c r="T19" s="75"/>
      <c r="U19" s="89" t="s">
        <v>62</v>
      </c>
      <c r="W19" s="47" t="s">
        <v>28</v>
      </c>
      <c r="X19" s="269">
        <f>COUNTIFS('1. ALL DATA'!$Y$5:$Y$128,"LEADER OF THE COUNCIL",'1. ALL DATA'!$V$5:$V$128,"Deleted")</f>
        <v>0</v>
      </c>
      <c r="Y19" s="137">
        <f t="shared" si="1"/>
        <v>0</v>
      </c>
      <c r="Z19" s="76">
        <f>Y19</f>
        <v>0</v>
      </c>
      <c r="AA19" s="75"/>
      <c r="AB19" s="89" t="s">
        <v>62</v>
      </c>
    </row>
    <row r="20" spans="2:28" ht="15.75" customHeight="1" x14ac:dyDescent="0.25">
      <c r="B20" s="48" t="s">
        <v>30</v>
      </c>
      <c r="C20" s="271">
        <f>SUM(C6:C19)</f>
        <v>20</v>
      </c>
      <c r="D20" s="44"/>
      <c r="E20" s="44"/>
      <c r="F20" s="50"/>
      <c r="G20" s="45"/>
      <c r="I20" s="48" t="s">
        <v>30</v>
      </c>
      <c r="J20" s="271">
        <f>SUM(J6:J19)</f>
        <v>20</v>
      </c>
      <c r="K20" s="75"/>
      <c r="L20" s="75"/>
      <c r="M20" s="50"/>
      <c r="N20" s="45"/>
      <c r="P20" s="48" t="s">
        <v>30</v>
      </c>
      <c r="Q20" s="271">
        <f>SUM(Q6:Q19)</f>
        <v>20</v>
      </c>
      <c r="R20" s="75"/>
      <c r="S20" s="75"/>
      <c r="T20" s="50"/>
      <c r="U20" s="91"/>
      <c r="W20" s="48" t="s">
        <v>30</v>
      </c>
      <c r="X20" s="271">
        <f>SUM(X6:X19)</f>
        <v>20</v>
      </c>
      <c r="Y20" s="75"/>
      <c r="Z20" s="75"/>
      <c r="AA20" s="50"/>
      <c r="AB20" s="235"/>
    </row>
    <row r="21" spans="2:28" ht="15.75" customHeight="1" x14ac:dyDescent="0.25">
      <c r="B21" s="48" t="s">
        <v>31</v>
      </c>
      <c r="C21" s="271">
        <f>C20-C19-C18-C17-C16</f>
        <v>13</v>
      </c>
      <c r="D21" s="45"/>
      <c r="E21" s="45"/>
      <c r="F21" s="50"/>
      <c r="G21" s="45"/>
      <c r="I21" s="48" t="s">
        <v>31</v>
      </c>
      <c r="J21" s="271">
        <f>J20-J19-J18-J17-J16</f>
        <v>15</v>
      </c>
      <c r="K21" s="50"/>
      <c r="L21" s="50"/>
      <c r="M21" s="50"/>
      <c r="N21" s="45"/>
      <c r="P21" s="48" t="s">
        <v>31</v>
      </c>
      <c r="Q21" s="271">
        <f>Q20-Q19-Q18-Q17-Q16</f>
        <v>16</v>
      </c>
      <c r="R21" s="50"/>
      <c r="S21" s="50"/>
      <c r="T21" s="50"/>
      <c r="U21" s="91"/>
      <c r="W21" s="48" t="s">
        <v>31</v>
      </c>
      <c r="X21" s="271">
        <f>X20-X19-X18-X17-X16</f>
        <v>20</v>
      </c>
      <c r="Y21" s="50"/>
      <c r="Z21" s="50"/>
      <c r="AA21" s="50"/>
      <c r="AB21" s="235"/>
    </row>
    <row r="22" spans="2:28" ht="15.75" customHeight="1" x14ac:dyDescent="0.25">
      <c r="W22" s="63"/>
      <c r="Y22" s="61"/>
      <c r="Z22" s="61"/>
      <c r="AA22" s="50"/>
      <c r="AB22" s="235"/>
    </row>
    <row r="23" spans="2:28" ht="15.75" customHeight="1" x14ac:dyDescent="0.25"/>
    <row r="24" spans="2:28" s="61" customFormat="1" ht="15.75" customHeight="1" x14ac:dyDescent="0.25">
      <c r="B24" s="63"/>
      <c r="C24" s="1"/>
      <c r="D24" s="1"/>
      <c r="E24" s="1"/>
      <c r="F24" s="50"/>
      <c r="G24" s="1"/>
      <c r="I24" s="63"/>
      <c r="J24" s="1"/>
      <c r="M24" s="50"/>
      <c r="N24" s="1"/>
      <c r="P24" s="63"/>
      <c r="Q24" s="1"/>
      <c r="T24" s="50"/>
      <c r="U24" s="88"/>
      <c r="X24" s="1"/>
      <c r="AB24" s="235"/>
    </row>
    <row r="25" spans="2:28" ht="15" customHeight="1" x14ac:dyDescent="0.25">
      <c r="AA25" s="81"/>
    </row>
    <row r="26" spans="2:28" s="61" customFormat="1" ht="15.75" x14ac:dyDescent="0.25">
      <c r="B26" s="315" t="s">
        <v>88</v>
      </c>
      <c r="C26" s="370"/>
      <c r="D26" s="370"/>
      <c r="E26" s="370"/>
      <c r="F26" s="309"/>
      <c r="G26" s="310"/>
      <c r="I26" s="315" t="s">
        <v>88</v>
      </c>
      <c r="J26" s="370"/>
      <c r="K26" s="309"/>
      <c r="L26" s="309"/>
      <c r="M26" s="309"/>
      <c r="N26" s="310"/>
      <c r="P26" s="315" t="s">
        <v>88</v>
      </c>
      <c r="Q26" s="370"/>
      <c r="R26" s="309"/>
      <c r="S26" s="309"/>
      <c r="T26" s="309"/>
      <c r="U26" s="310"/>
      <c r="W26" s="315" t="s">
        <v>88</v>
      </c>
      <c r="X26" s="370"/>
      <c r="Y26" s="309"/>
      <c r="Z26" s="309"/>
      <c r="AA26" s="309"/>
      <c r="AB26" s="310"/>
    </row>
    <row r="27" spans="2:28" ht="42" customHeight="1" x14ac:dyDescent="0.25">
      <c r="B27" s="311" t="s">
        <v>23</v>
      </c>
      <c r="C27" s="312" t="s">
        <v>24</v>
      </c>
      <c r="D27" s="312" t="s">
        <v>18</v>
      </c>
      <c r="E27" s="312" t="s">
        <v>48</v>
      </c>
      <c r="F27" s="311" t="s">
        <v>29</v>
      </c>
      <c r="G27" s="312" t="s">
        <v>49</v>
      </c>
      <c r="I27" s="311" t="s">
        <v>23</v>
      </c>
      <c r="J27" s="312" t="s">
        <v>24</v>
      </c>
      <c r="K27" s="311" t="s">
        <v>18</v>
      </c>
      <c r="L27" s="311" t="s">
        <v>48</v>
      </c>
      <c r="M27" s="311" t="s">
        <v>29</v>
      </c>
      <c r="N27" s="312" t="s">
        <v>49</v>
      </c>
      <c r="P27" s="311" t="s">
        <v>23</v>
      </c>
      <c r="Q27" s="312" t="s">
        <v>24</v>
      </c>
      <c r="R27" s="311" t="s">
        <v>18</v>
      </c>
      <c r="S27" s="311" t="s">
        <v>48</v>
      </c>
      <c r="T27" s="311" t="s">
        <v>29</v>
      </c>
      <c r="U27" s="313" t="s">
        <v>49</v>
      </c>
      <c r="W27" s="311" t="s">
        <v>23</v>
      </c>
      <c r="X27" s="312" t="s">
        <v>24</v>
      </c>
      <c r="Y27" s="311" t="s">
        <v>18</v>
      </c>
      <c r="Z27" s="311" t="s">
        <v>48</v>
      </c>
      <c r="AA27" s="311" t="s">
        <v>29</v>
      </c>
      <c r="AB27" s="314" t="s">
        <v>49</v>
      </c>
    </row>
    <row r="28" spans="2:28" s="61" customFormat="1" ht="6" customHeight="1" x14ac:dyDescent="0.25">
      <c r="B28" s="167"/>
      <c r="C28" s="177"/>
      <c r="D28" s="177"/>
      <c r="E28" s="177"/>
      <c r="F28" s="167"/>
      <c r="G28" s="177"/>
      <c r="I28" s="167"/>
      <c r="J28" s="177"/>
      <c r="K28" s="167"/>
      <c r="L28" s="167"/>
      <c r="M28" s="167"/>
      <c r="N28" s="177"/>
      <c r="P28" s="167"/>
      <c r="Q28" s="177"/>
      <c r="R28" s="167"/>
      <c r="S28" s="167"/>
      <c r="T28" s="167"/>
      <c r="U28" s="178"/>
      <c r="W28" s="167"/>
      <c r="X28" s="177"/>
      <c r="Y28" s="167"/>
      <c r="Z28" s="167"/>
      <c r="AA28" s="167"/>
      <c r="AB28" s="232"/>
    </row>
    <row r="29" spans="2:28" ht="21.75" customHeight="1" x14ac:dyDescent="0.25">
      <c r="B29" s="247" t="s">
        <v>45</v>
      </c>
      <c r="C29" s="257">
        <f>COUNTIFS('1. ALL DATA'!$Y$5:$Y$128,"CULTURAL SERVICES",'1. ALL DATA'!$H$5:$H$128,"Fully Achieved")</f>
        <v>3</v>
      </c>
      <c r="D29" s="367">
        <f>C29/C43</f>
        <v>0.15</v>
      </c>
      <c r="E29" s="464">
        <f>D29+D30</f>
        <v>0.5</v>
      </c>
      <c r="F29" s="118">
        <f>C29/C44</f>
        <v>0.3</v>
      </c>
      <c r="G29" s="467">
        <f>F29+F30</f>
        <v>1</v>
      </c>
      <c r="I29" s="247" t="s">
        <v>45</v>
      </c>
      <c r="J29" s="257">
        <f>COUNTIFS('1. ALL DATA'!$Y$5:$Y$128,"CULTURAL SERVICES",'1. ALL DATA'!$M$5:$M$128,"Fully Achieved")</f>
        <v>11</v>
      </c>
      <c r="K29" s="118">
        <f>J29/J43</f>
        <v>0.55000000000000004</v>
      </c>
      <c r="L29" s="481">
        <f>K29+K30</f>
        <v>0.85000000000000009</v>
      </c>
      <c r="M29" s="118">
        <f>J29/J44</f>
        <v>0.61111111111111116</v>
      </c>
      <c r="N29" s="467">
        <f>M29+M30</f>
        <v>0.94444444444444442</v>
      </c>
      <c r="P29" s="247" t="s">
        <v>45</v>
      </c>
      <c r="Q29" s="257">
        <f>COUNTIFS('1. ALL DATA'!$Y$5:$Y$128,"CULTURAL SERVICES",'1. ALL DATA'!$R$5:$R$128,"Fully Achieved")</f>
        <v>15</v>
      </c>
      <c r="R29" s="118">
        <f>Q29/Q43</f>
        <v>0.75</v>
      </c>
      <c r="S29" s="481">
        <f>R29+R30</f>
        <v>0.9</v>
      </c>
      <c r="T29" s="118">
        <f>Q29/Q44</f>
        <v>0.78947368421052633</v>
      </c>
      <c r="U29" s="467">
        <f>T29+T30</f>
        <v>0.94736842105263164</v>
      </c>
      <c r="W29" s="247" t="s">
        <v>40</v>
      </c>
      <c r="X29" s="257">
        <f>COUNTIFS('1. ALL DATA'!$Y$5:$Y$128,"CULTURAL SERVICES",'1. ALL DATA'!$V$5:$V$128,"Fully Achieved")</f>
        <v>18</v>
      </c>
      <c r="Y29" s="118">
        <f>X29/$X$43</f>
        <v>0.9</v>
      </c>
      <c r="Z29" s="481">
        <f>Y29+Y30</f>
        <v>0.9</v>
      </c>
      <c r="AA29" s="118">
        <f>X29/$X$44</f>
        <v>0.94736842105263153</v>
      </c>
      <c r="AB29" s="467">
        <f>AA29+AA30</f>
        <v>0.94736842105263153</v>
      </c>
    </row>
    <row r="30" spans="2:28" ht="18.75" customHeight="1" x14ac:dyDescent="0.25">
      <c r="B30" s="247" t="s">
        <v>41</v>
      </c>
      <c r="C30" s="257">
        <f>COUNTIFS('1. ALL DATA'!$Y$5:$Y$128,"CULTURAL SERVICES",'1. ALL DATA'!$H$5:$H$128,"On track to be achieved")</f>
        <v>7</v>
      </c>
      <c r="D30" s="367">
        <f>C30/C43</f>
        <v>0.35</v>
      </c>
      <c r="E30" s="464"/>
      <c r="F30" s="118">
        <f>C30/C44</f>
        <v>0.7</v>
      </c>
      <c r="G30" s="467"/>
      <c r="I30" s="247" t="s">
        <v>41</v>
      </c>
      <c r="J30" s="257">
        <f>COUNTIFS('1. ALL DATA'!$Y$5:$Y$128,"CULTURAL SERVICES",'1. ALL DATA'!$M$5:$M$128,"On track to be achieved")</f>
        <v>6</v>
      </c>
      <c r="K30" s="118">
        <f>J30/J43</f>
        <v>0.3</v>
      </c>
      <c r="L30" s="481"/>
      <c r="M30" s="118">
        <f>J30/J44</f>
        <v>0.33333333333333331</v>
      </c>
      <c r="N30" s="467"/>
      <c r="P30" s="247" t="s">
        <v>41</v>
      </c>
      <c r="Q30" s="257">
        <f>COUNTIFS('1. ALL DATA'!$Y$5:$Y$128,"CULTURAL SERVICES",'1. ALL DATA'!$R$5:$R$128,"On track to be achieved")</f>
        <v>3</v>
      </c>
      <c r="R30" s="118">
        <f>Q30/Q43</f>
        <v>0.15</v>
      </c>
      <c r="S30" s="481"/>
      <c r="T30" s="118">
        <f>Q30/Q44</f>
        <v>0.15789473684210525</v>
      </c>
      <c r="U30" s="467"/>
      <c r="W30" s="247" t="s">
        <v>79</v>
      </c>
      <c r="X30" s="257">
        <f>COUNTIFS('1. ALL DATA'!$Y$5:$Y$128,"CULTURAL SERVICES",'1. ALL DATA'!$V$5:$V$128,"Numerical Outturn Within 5% Tolerance")</f>
        <v>0</v>
      </c>
      <c r="Y30" s="118">
        <f>X30/$X$43</f>
        <v>0</v>
      </c>
      <c r="Z30" s="481"/>
      <c r="AA30" s="118">
        <f>X30/$X$44</f>
        <v>0</v>
      </c>
      <c r="AB30" s="467"/>
    </row>
    <row r="31" spans="2:28" s="61" customFormat="1" ht="6" customHeight="1" x14ac:dyDescent="0.25">
      <c r="B31" s="167"/>
      <c r="C31" s="265"/>
      <c r="D31" s="251"/>
      <c r="E31" s="251"/>
      <c r="F31" s="168"/>
      <c r="G31" s="169"/>
      <c r="I31" s="167"/>
      <c r="J31" s="265"/>
      <c r="K31" s="168"/>
      <c r="L31" s="168"/>
      <c r="M31" s="168"/>
      <c r="N31" s="169"/>
      <c r="P31" s="167"/>
      <c r="Q31" s="265"/>
      <c r="R31" s="168"/>
      <c r="S31" s="168"/>
      <c r="T31" s="168"/>
      <c r="U31" s="169"/>
      <c r="W31" s="170"/>
      <c r="X31" s="265"/>
      <c r="Y31" s="168"/>
      <c r="Z31" s="168"/>
      <c r="AA31" s="168"/>
      <c r="AB31" s="169"/>
    </row>
    <row r="32" spans="2:28" ht="21" customHeight="1" x14ac:dyDescent="0.25">
      <c r="B32" s="462" t="s">
        <v>26</v>
      </c>
      <c r="C32" s="463">
        <f>COUNTIFS('1. ALL DATA'!$Y$5:$Y$128,"CULTURAL SERVICES",'1. ALL DATA'!$H$5:$H$128,"In danger of falling behind target")</f>
        <v>0</v>
      </c>
      <c r="D32" s="464">
        <f>C32/C43</f>
        <v>0</v>
      </c>
      <c r="E32" s="464">
        <f>D32</f>
        <v>0</v>
      </c>
      <c r="F32" s="481">
        <f>C32/C44</f>
        <v>0</v>
      </c>
      <c r="G32" s="465">
        <f>F32</f>
        <v>0</v>
      </c>
      <c r="I32" s="462" t="s">
        <v>26</v>
      </c>
      <c r="J32" s="463">
        <f>COUNTIFS('1. ALL DATA'!$Y$5:$Y$128,"CULTURAL SERVICES",'1. ALL DATA'!$M$5:$M$128,"In danger of falling behind target")</f>
        <v>0</v>
      </c>
      <c r="K32" s="481">
        <f>J32/J43</f>
        <v>0</v>
      </c>
      <c r="L32" s="481">
        <f>K32</f>
        <v>0</v>
      </c>
      <c r="M32" s="481">
        <f>J32/J44</f>
        <v>0</v>
      </c>
      <c r="N32" s="465">
        <f>M32</f>
        <v>0</v>
      </c>
      <c r="P32" s="462" t="s">
        <v>26</v>
      </c>
      <c r="Q32" s="463">
        <f>COUNTIFS('1. ALL DATA'!$Y$5:$Y$128,"CULTURAL SERVICES",'1. ALL DATA'!$R$5:$R$128,"In danger of falling behind target")</f>
        <v>0</v>
      </c>
      <c r="R32" s="481">
        <f>Q32/Q43</f>
        <v>0</v>
      </c>
      <c r="S32" s="481">
        <f>R32</f>
        <v>0</v>
      </c>
      <c r="T32" s="481">
        <f>Q32/Q44</f>
        <v>0</v>
      </c>
      <c r="U32" s="465">
        <f>T32</f>
        <v>0</v>
      </c>
      <c r="W32" s="249" t="s">
        <v>80</v>
      </c>
      <c r="X32" s="368">
        <f>COUNTIFS('1. ALL DATA'!$Y$5:$Y$128,"CULTURAL SERVICES",'1. ALL DATA'!$V$5:$V$128,"Numerical Outturn Within 10% Tolerance")</f>
        <v>0</v>
      </c>
      <c r="Y32" s="118">
        <f>X32/$X$43</f>
        <v>0</v>
      </c>
      <c r="Z32" s="482">
        <f>SUM(Y32:Y34)</f>
        <v>0</v>
      </c>
      <c r="AA32" s="70">
        <f>X32/$X$44</f>
        <v>0</v>
      </c>
      <c r="AB32" s="465">
        <f>SUM(AA32:AA34)</f>
        <v>0</v>
      </c>
    </row>
    <row r="33" spans="2:28" ht="20.25" customHeight="1" x14ac:dyDescent="0.25">
      <c r="B33" s="462"/>
      <c r="C33" s="463"/>
      <c r="D33" s="464"/>
      <c r="E33" s="464"/>
      <c r="F33" s="481"/>
      <c r="G33" s="465"/>
      <c r="I33" s="462"/>
      <c r="J33" s="463"/>
      <c r="K33" s="481"/>
      <c r="L33" s="481"/>
      <c r="M33" s="481"/>
      <c r="N33" s="465"/>
      <c r="P33" s="462"/>
      <c r="Q33" s="463"/>
      <c r="R33" s="481"/>
      <c r="S33" s="481"/>
      <c r="T33" s="481"/>
      <c r="U33" s="465"/>
      <c r="W33" s="249" t="s">
        <v>81</v>
      </c>
      <c r="X33" s="368">
        <f>COUNTIFS('1. ALL DATA'!$Y$5:$Y$128,"CULTURAL SERVICES",'1. ALL DATA'!$V$5:$V$128,"Target Partially Met")</f>
        <v>0</v>
      </c>
      <c r="Y33" s="118">
        <f>X33/$X$43</f>
        <v>0</v>
      </c>
      <c r="Z33" s="483"/>
      <c r="AA33" s="70">
        <f>X33/$X$44</f>
        <v>0</v>
      </c>
      <c r="AB33" s="465"/>
    </row>
    <row r="34" spans="2:28" ht="15.75" customHeight="1" x14ac:dyDescent="0.25">
      <c r="B34" s="462"/>
      <c r="C34" s="463"/>
      <c r="D34" s="464"/>
      <c r="E34" s="464"/>
      <c r="F34" s="481"/>
      <c r="G34" s="465"/>
      <c r="I34" s="462"/>
      <c r="J34" s="463"/>
      <c r="K34" s="481"/>
      <c r="L34" s="481"/>
      <c r="M34" s="481"/>
      <c r="N34" s="465"/>
      <c r="P34" s="462"/>
      <c r="Q34" s="463"/>
      <c r="R34" s="481"/>
      <c r="S34" s="481"/>
      <c r="T34" s="481"/>
      <c r="U34" s="465"/>
      <c r="W34" s="249" t="s">
        <v>83</v>
      </c>
      <c r="X34" s="368">
        <f>COUNTIFS('1. ALL DATA'!$Y$5:$Y$128,"CULTURAL SERVICES",'1. ALL DATA'!$V$5:$V$128,"Completion Date Within Reasonable Tolerance")</f>
        <v>0</v>
      </c>
      <c r="Y34" s="118">
        <f>X34/$X$43</f>
        <v>0</v>
      </c>
      <c r="Z34" s="484"/>
      <c r="AA34" s="70">
        <f>X34/$X$44</f>
        <v>0</v>
      </c>
      <c r="AB34" s="465"/>
    </row>
    <row r="35" spans="2:28" s="61" customFormat="1" ht="6" customHeight="1" x14ac:dyDescent="0.25">
      <c r="B35" s="167"/>
      <c r="C35" s="177"/>
      <c r="D35" s="251"/>
      <c r="E35" s="251"/>
      <c r="F35" s="168"/>
      <c r="G35" s="169"/>
      <c r="I35" s="167"/>
      <c r="J35" s="177"/>
      <c r="K35" s="168"/>
      <c r="L35" s="168"/>
      <c r="M35" s="168"/>
      <c r="N35" s="169"/>
      <c r="P35" s="167"/>
      <c r="Q35" s="177"/>
      <c r="R35" s="168"/>
      <c r="S35" s="168"/>
      <c r="T35" s="168"/>
      <c r="U35" s="169"/>
      <c r="W35" s="170"/>
      <c r="X35" s="177"/>
      <c r="Y35" s="168"/>
      <c r="Z35" s="168"/>
      <c r="AA35" s="168"/>
      <c r="AB35" s="169"/>
    </row>
    <row r="36" spans="2:28" ht="20.25" customHeight="1" x14ac:dyDescent="0.25">
      <c r="B36" s="248" t="s">
        <v>42</v>
      </c>
      <c r="C36" s="257">
        <f>COUNTIFS('1. ALL DATA'!$Y$5:$Y$128,"CULTURAL SERVICES",'1. ALL DATA'!$H$5:$H$128,"Completed behind schedule")</f>
        <v>0</v>
      </c>
      <c r="D36" s="367">
        <f>C36/C43</f>
        <v>0</v>
      </c>
      <c r="E36" s="464">
        <f>D36+D37</f>
        <v>0</v>
      </c>
      <c r="F36" s="118">
        <f>C36/C44</f>
        <v>0</v>
      </c>
      <c r="G36" s="480">
        <f>F36+F37</f>
        <v>0</v>
      </c>
      <c r="I36" s="248" t="s">
        <v>42</v>
      </c>
      <c r="J36" s="257">
        <f>COUNTIFS('1. ALL DATA'!$Y$5:$Y$128,"CULTURAL SERVICES",'1. ALL DATA'!$M$5:$M$128,"Completed behind schedule")</f>
        <v>0</v>
      </c>
      <c r="K36" s="118">
        <f>J36/J43</f>
        <v>0</v>
      </c>
      <c r="L36" s="481">
        <f>K36+K37</f>
        <v>0.05</v>
      </c>
      <c r="M36" s="118">
        <f>J36/J44</f>
        <v>0</v>
      </c>
      <c r="N36" s="480">
        <f>M36+M37</f>
        <v>5.5555555555555552E-2</v>
      </c>
      <c r="P36" s="248" t="s">
        <v>42</v>
      </c>
      <c r="Q36" s="257">
        <f>COUNTIFS('1. ALL DATA'!$Y$5:$Y$128,"CULTURAL SERVICES",'1. ALL DATA'!$R$5:$R$128,"Completed behind schedule")</f>
        <v>1</v>
      </c>
      <c r="R36" s="118">
        <f>Q36/Q43</f>
        <v>0.05</v>
      </c>
      <c r="S36" s="481">
        <f>R36+R37</f>
        <v>0.05</v>
      </c>
      <c r="T36" s="118">
        <f>Q36/Q44</f>
        <v>5.2631578947368418E-2</v>
      </c>
      <c r="U36" s="480">
        <f>T36+T37</f>
        <v>5.2631578947368418E-2</v>
      </c>
      <c r="W36" s="248" t="s">
        <v>82</v>
      </c>
      <c r="X36" s="257">
        <f>COUNTIFS('1. ALL DATA'!$Y$5:$Y$128,"CULTURAL SERVICES",'1. ALL DATA'!$V$5:$V$128,"Completed Significantly After Target Deadline")</f>
        <v>1</v>
      </c>
      <c r="Y36" s="118">
        <f>X36/$X$43</f>
        <v>0.05</v>
      </c>
      <c r="Z36" s="481">
        <f>Y36+Y37</f>
        <v>0.05</v>
      </c>
      <c r="AA36" s="118">
        <f>X36/X44</f>
        <v>5.2631578947368418E-2</v>
      </c>
      <c r="AB36" s="480">
        <f>AA36+AA37</f>
        <v>5.2631578947368418E-2</v>
      </c>
    </row>
    <row r="37" spans="2:28" ht="20.25" customHeight="1" x14ac:dyDescent="0.25">
      <c r="B37" s="248" t="s">
        <v>27</v>
      </c>
      <c r="C37" s="257">
        <f>COUNTIFS('1. ALL DATA'!$Y$5:$Y$128,"CULTURAL SERVICES",'1. ALL DATA'!$H$5:$H$128,"Off target")</f>
        <v>0</v>
      </c>
      <c r="D37" s="367">
        <f>C37/C43</f>
        <v>0</v>
      </c>
      <c r="E37" s="464"/>
      <c r="F37" s="118">
        <f>C37/C44</f>
        <v>0</v>
      </c>
      <c r="G37" s="480"/>
      <c r="I37" s="248" t="s">
        <v>27</v>
      </c>
      <c r="J37" s="257">
        <f>COUNTIFS('1. ALL DATA'!$Y$5:$Y$128,"CULTURAL SERVICES",'1. ALL DATA'!$M$5:$M$128,"Off target")</f>
        <v>1</v>
      </c>
      <c r="K37" s="118">
        <f>J37/J43</f>
        <v>0.05</v>
      </c>
      <c r="L37" s="481"/>
      <c r="M37" s="118">
        <f>J37/J44</f>
        <v>5.5555555555555552E-2</v>
      </c>
      <c r="N37" s="480"/>
      <c r="P37" s="248" t="s">
        <v>27</v>
      </c>
      <c r="Q37" s="257">
        <f>COUNTIFS('1. ALL DATA'!$Y$5:$Y$128,"CULTURAL SERVICES",'1. ALL DATA'!$R$5:$R$128,"Off target")</f>
        <v>0</v>
      </c>
      <c r="R37" s="118">
        <f>Q37/Q43</f>
        <v>0</v>
      </c>
      <c r="S37" s="481"/>
      <c r="T37" s="118">
        <f>Q37/Q44</f>
        <v>0</v>
      </c>
      <c r="U37" s="480"/>
      <c r="W37" s="248" t="s">
        <v>27</v>
      </c>
      <c r="X37" s="257">
        <f>COUNTIFS('1. ALL DATA'!$Y$5:$Y$128,"CULTURAL SERVICES",'1. ALL DATA'!$V$5:$V$128,"Off target")</f>
        <v>0</v>
      </c>
      <c r="Y37" s="118">
        <f>X37/$X$43</f>
        <v>0</v>
      </c>
      <c r="Z37" s="481"/>
      <c r="AA37" s="118">
        <f>X37/X44</f>
        <v>0</v>
      </c>
      <c r="AB37" s="480"/>
    </row>
    <row r="38" spans="2:28" s="61" customFormat="1" ht="6.75" customHeight="1" x14ac:dyDescent="0.25">
      <c r="B38" s="167"/>
      <c r="C38" s="265"/>
      <c r="D38" s="251"/>
      <c r="E38" s="251"/>
      <c r="F38" s="168"/>
      <c r="G38" s="172"/>
      <c r="I38" s="167"/>
      <c r="J38" s="265"/>
      <c r="K38" s="168"/>
      <c r="L38" s="168"/>
      <c r="M38" s="168"/>
      <c r="N38" s="172"/>
      <c r="P38" s="167"/>
      <c r="Q38" s="265"/>
      <c r="R38" s="168"/>
      <c r="S38" s="168"/>
      <c r="T38" s="168"/>
      <c r="U38" s="172"/>
      <c r="W38" s="318"/>
      <c r="X38" s="265"/>
      <c r="Y38" s="173"/>
      <c r="Z38" s="173"/>
      <c r="AA38" s="174"/>
      <c r="AB38" s="233"/>
    </row>
    <row r="39" spans="2:28" ht="15" customHeight="1" x14ac:dyDescent="0.25">
      <c r="B39" s="46" t="s">
        <v>1</v>
      </c>
      <c r="C39" s="269">
        <f>COUNTIFS('1. ALL DATA'!$Y$5:$Y$128,"CULTURAL SERVICES",'1. ALL DATA'!$H$5:$H$128,"Not yet due")</f>
        <v>10</v>
      </c>
      <c r="D39" s="252">
        <f>C39/C43</f>
        <v>0.5</v>
      </c>
      <c r="E39" s="252">
        <f>D39</f>
        <v>0.5</v>
      </c>
      <c r="F39" s="74"/>
      <c r="G39" s="45"/>
      <c r="I39" s="46" t="s">
        <v>1</v>
      </c>
      <c r="J39" s="269">
        <f>COUNTIFS('1. ALL DATA'!$Y$5:$Y$128,"CULTURAL SERVICES",'1. ALL DATA'!$M$5:$M$128,"Not yet due")</f>
        <v>1</v>
      </c>
      <c r="K39" s="73">
        <f>J39/J43</f>
        <v>0.05</v>
      </c>
      <c r="L39" s="73">
        <f>K39</f>
        <v>0.05</v>
      </c>
      <c r="M39" s="74"/>
      <c r="N39" s="45"/>
      <c r="P39" s="46" t="s">
        <v>1</v>
      </c>
      <c r="Q39" s="269">
        <f>COUNTIFS('1. ALL DATA'!$Y$5:$Y$128,"CULTURAL SERVICES",'1. ALL DATA'!$R$5:$R$128,"Not yet due")</f>
        <v>0</v>
      </c>
      <c r="R39" s="73">
        <f>Q39/Q43</f>
        <v>0</v>
      </c>
      <c r="S39" s="73">
        <f>R39</f>
        <v>0</v>
      </c>
      <c r="T39" s="74"/>
      <c r="U39" s="91"/>
      <c r="W39" s="60" t="s">
        <v>1</v>
      </c>
      <c r="X39" s="269">
        <f>COUNTIFS('1. ALL DATA'!$Y$5:$Y$128,"CULTURAL SERVICES",'1. ALL DATA'!$V$5:$V$128,"Not yet due")</f>
        <v>0</v>
      </c>
      <c r="Y39" s="73">
        <f>X39/$X$43</f>
        <v>0</v>
      </c>
      <c r="Z39" s="73">
        <f>Y39</f>
        <v>0</v>
      </c>
      <c r="AA39" s="74"/>
      <c r="AB39" s="235"/>
    </row>
    <row r="40" spans="2:28" ht="15" customHeight="1" x14ac:dyDescent="0.25">
      <c r="B40" s="46" t="s">
        <v>46</v>
      </c>
      <c r="C40" s="269">
        <f>COUNTIFS('1. ALL DATA'!$Y$5:$Y$128,"CULTURAL SERVICES",'1. ALL DATA'!$H$5:$H$128,"Update not provided")</f>
        <v>0</v>
      </c>
      <c r="D40" s="252">
        <f>C40/C43</f>
        <v>0</v>
      </c>
      <c r="E40" s="252">
        <f>D40</f>
        <v>0</v>
      </c>
      <c r="F40" s="74"/>
      <c r="G40" s="96"/>
      <c r="I40" s="46" t="s">
        <v>46</v>
      </c>
      <c r="J40" s="269">
        <f>COUNTIFS('1. ALL DATA'!$Y$5:$Y$128,"CULTURAL SERVICES",'1. ALL DATA'!$M$5:$M$128,"Update not provided")</f>
        <v>0</v>
      </c>
      <c r="K40" s="73">
        <f>J40/J43</f>
        <v>0</v>
      </c>
      <c r="L40" s="73">
        <f>K40</f>
        <v>0</v>
      </c>
      <c r="M40" s="74"/>
      <c r="N40" s="96"/>
      <c r="P40" s="46" t="s">
        <v>46</v>
      </c>
      <c r="Q40" s="269">
        <f>COUNTIFS('1. ALL DATA'!$Y$5:$Y$128,"CULTURAL SERVICES",'1. ALL DATA'!$R$5:$R$128,"Update not provided")</f>
        <v>0</v>
      </c>
      <c r="R40" s="73">
        <f>Q40/Q43</f>
        <v>0</v>
      </c>
      <c r="S40" s="73">
        <f>R40</f>
        <v>0</v>
      </c>
      <c r="T40" s="74"/>
      <c r="U40" s="92"/>
      <c r="W40" s="62" t="s">
        <v>46</v>
      </c>
      <c r="X40" s="269">
        <f>COUNTIFS('1. ALL DATA'!$Y$5:$Y$128,"CULTURAL SERVICES",'1. ALL DATA'!$V$5:$V$128,"Update not provided")</f>
        <v>0</v>
      </c>
      <c r="Y40" s="73">
        <f>X40/$X$43</f>
        <v>0</v>
      </c>
      <c r="Z40" s="73">
        <f>Y40</f>
        <v>0</v>
      </c>
      <c r="AA40" s="74"/>
    </row>
    <row r="41" spans="2:28" ht="15.75" customHeight="1" x14ac:dyDescent="0.25">
      <c r="B41" s="47" t="s">
        <v>22</v>
      </c>
      <c r="C41" s="269">
        <f>COUNTIFS('1. ALL DATA'!$Y$5:$Y$128,"CULTURAL SERVICES",'1. ALL DATA'!$H$5:$H$128,"Deferred")</f>
        <v>0</v>
      </c>
      <c r="D41" s="253">
        <f>C41/C43</f>
        <v>0</v>
      </c>
      <c r="E41" s="253">
        <f>D41</f>
        <v>0</v>
      </c>
      <c r="F41" s="75"/>
      <c r="G41" s="45"/>
      <c r="I41" s="47" t="s">
        <v>22</v>
      </c>
      <c r="J41" s="269">
        <f>COUNTIFS('1. ALL DATA'!$Y$5:$Y$128,"CULTURAL SERVICES",'1. ALL DATA'!$M$5:$M$128,"Deferred")</f>
        <v>1</v>
      </c>
      <c r="K41" s="76">
        <f>J41/J43</f>
        <v>0.05</v>
      </c>
      <c r="L41" s="76">
        <f>K41</f>
        <v>0.05</v>
      </c>
      <c r="M41" s="75"/>
      <c r="N41" s="45"/>
      <c r="P41" s="47" t="s">
        <v>22</v>
      </c>
      <c r="Q41" s="269">
        <f>COUNTIFS('1. ALL DATA'!$Y$5:$Y$128,"CULTURAL SERVICES",'1. ALL DATA'!$R$5:$R$128,"Deferred")</f>
        <v>1</v>
      </c>
      <c r="R41" s="76">
        <f>Q41/Q43</f>
        <v>0.05</v>
      </c>
      <c r="S41" s="76">
        <f>R41</f>
        <v>0.05</v>
      </c>
      <c r="T41" s="75"/>
      <c r="U41" s="91"/>
      <c r="W41" s="47" t="s">
        <v>22</v>
      </c>
      <c r="X41" s="269">
        <f>COUNTIFS('1. ALL DATA'!$Y$5:$Y$128,"CULTURAL SERVICES",'1. ALL DATA'!$V$5:$V$128,"Deferred")</f>
        <v>1</v>
      </c>
      <c r="Y41" s="76">
        <f>X41/$X$43</f>
        <v>0.05</v>
      </c>
      <c r="Z41" s="76">
        <f>Y41</f>
        <v>0.05</v>
      </c>
      <c r="AA41" s="75"/>
      <c r="AB41" s="235"/>
    </row>
    <row r="42" spans="2:28" ht="15.75" customHeight="1" x14ac:dyDescent="0.25">
      <c r="B42" s="47" t="s">
        <v>28</v>
      </c>
      <c r="C42" s="269">
        <f>COUNTIFS('1. ALL DATA'!$Y$5:$Y$128,"CULTURAL SERVICES",'1. ALL DATA'!$H$5:$H$128,"Deleted")</f>
        <v>0</v>
      </c>
      <c r="D42" s="253">
        <f>C42/C43</f>
        <v>0</v>
      </c>
      <c r="E42" s="253">
        <f>D42</f>
        <v>0</v>
      </c>
      <c r="F42" s="75"/>
      <c r="G42" s="89" t="s">
        <v>62</v>
      </c>
      <c r="I42" s="47" t="s">
        <v>28</v>
      </c>
      <c r="J42" s="269">
        <f>COUNTIFS('1. ALL DATA'!$Y$5:$Y$128,"CULTURAL SERVICES",'1. ALL DATA'!$M$5:$M$128,"Deleted")</f>
        <v>0</v>
      </c>
      <c r="K42" s="76">
        <f>J42/J43</f>
        <v>0</v>
      </c>
      <c r="L42" s="76">
        <f>K42</f>
        <v>0</v>
      </c>
      <c r="M42" s="75"/>
      <c r="N42" s="97"/>
      <c r="P42" s="47" t="s">
        <v>28</v>
      </c>
      <c r="Q42" s="269">
        <f>COUNTIFS('1. ALL DATA'!$Y$5:$Y$128,"CULTURAL SERVICES",'1. ALL DATA'!$R$5:$R$128,"Deleted")</f>
        <v>0</v>
      </c>
      <c r="R42" s="76">
        <f>Q42/Q43</f>
        <v>0</v>
      </c>
      <c r="S42" s="76">
        <f>R42</f>
        <v>0</v>
      </c>
      <c r="T42" s="75"/>
      <c r="U42" s="89" t="s">
        <v>62</v>
      </c>
      <c r="W42" s="47" t="s">
        <v>28</v>
      </c>
      <c r="X42" s="269">
        <f>COUNTIFS('1. ALL DATA'!$Y$5:$Y$128,"CULTURAL SERVICES",'1. ALL DATA'!$V$5:$V$128,"Deleted")</f>
        <v>0</v>
      </c>
      <c r="Y42" s="76">
        <f>X42/$X$43</f>
        <v>0</v>
      </c>
      <c r="Z42" s="76">
        <f>Y42</f>
        <v>0</v>
      </c>
      <c r="AA42" s="75"/>
      <c r="AB42" s="89" t="s">
        <v>62</v>
      </c>
    </row>
    <row r="43" spans="2:28" ht="15.75" customHeight="1" x14ac:dyDescent="0.25">
      <c r="B43" s="48" t="s">
        <v>30</v>
      </c>
      <c r="C43" s="271">
        <f>SUM(C29:C42)</f>
        <v>20</v>
      </c>
      <c r="D43" s="44"/>
      <c r="E43" s="44"/>
      <c r="F43" s="50"/>
      <c r="G43" s="97"/>
      <c r="I43" s="48" t="s">
        <v>30</v>
      </c>
      <c r="J43" s="271">
        <f>SUM(J29:J42)</f>
        <v>20</v>
      </c>
      <c r="K43" s="75"/>
      <c r="L43" s="75"/>
      <c r="M43" s="50"/>
      <c r="N43" s="89" t="s">
        <v>62</v>
      </c>
      <c r="P43" s="48" t="s">
        <v>30</v>
      </c>
      <c r="Q43" s="271">
        <f>SUM(Q29:Q42)</f>
        <v>20</v>
      </c>
      <c r="R43" s="75"/>
      <c r="S43" s="75"/>
      <c r="T43" s="50"/>
      <c r="U43" s="91"/>
      <c r="W43" s="48" t="s">
        <v>30</v>
      </c>
      <c r="X43" s="271">
        <f>SUM(X29:X42)</f>
        <v>20</v>
      </c>
      <c r="Y43" s="75"/>
      <c r="Z43" s="75"/>
      <c r="AA43" s="50"/>
      <c r="AB43" s="235"/>
    </row>
    <row r="44" spans="2:28" ht="15.75" customHeight="1" x14ac:dyDescent="0.25">
      <c r="B44" s="48" t="s">
        <v>31</v>
      </c>
      <c r="C44" s="271">
        <f>C43-C42-C41-C40-C39</f>
        <v>10</v>
      </c>
      <c r="D44" s="45"/>
      <c r="E44" s="45"/>
      <c r="F44" s="50"/>
      <c r="G44" s="45"/>
      <c r="I44" s="48" t="s">
        <v>31</v>
      </c>
      <c r="J44" s="271">
        <f>J43-J42-J41-J40-J39</f>
        <v>18</v>
      </c>
      <c r="K44" s="50"/>
      <c r="L44" s="50"/>
      <c r="M44" s="50"/>
      <c r="N44" s="45"/>
      <c r="P44" s="48" t="s">
        <v>31</v>
      </c>
      <c r="Q44" s="271">
        <f>Q43-Q42-Q41-Q40-Q39</f>
        <v>19</v>
      </c>
      <c r="R44" s="50"/>
      <c r="S44" s="50"/>
      <c r="T44" s="50"/>
      <c r="U44" s="91"/>
      <c r="W44" s="48" t="s">
        <v>31</v>
      </c>
      <c r="X44" s="271">
        <f>X43-X42-X41-X40-X39</f>
        <v>19</v>
      </c>
      <c r="Y44" s="50"/>
      <c r="Z44" s="50"/>
      <c r="AA44" s="50"/>
      <c r="AB44" s="235"/>
    </row>
    <row r="45" spans="2:28" ht="15.75" customHeight="1" x14ac:dyDescent="0.25">
      <c r="W45" s="63"/>
      <c r="Y45" s="61"/>
      <c r="Z45" s="61"/>
      <c r="AA45" s="50"/>
      <c r="AB45" s="235"/>
    </row>
    <row r="46" spans="2:28" ht="15.75" customHeight="1" x14ac:dyDescent="0.25"/>
    <row r="47" spans="2:28" s="61" customFormat="1" ht="15.75" customHeight="1" x14ac:dyDescent="0.25">
      <c r="B47" s="63"/>
      <c r="C47" s="1"/>
      <c r="D47" s="1"/>
      <c r="E47" s="1"/>
      <c r="F47" s="50"/>
      <c r="G47" s="1"/>
      <c r="I47" s="63"/>
      <c r="J47" s="1"/>
      <c r="M47" s="50"/>
      <c r="N47" s="1"/>
      <c r="P47" s="63"/>
      <c r="Q47" s="1"/>
      <c r="T47" s="50"/>
      <c r="U47" s="88"/>
      <c r="X47" s="1"/>
      <c r="AB47" s="235"/>
    </row>
    <row r="48" spans="2:28" s="61" customFormat="1" ht="15.75" customHeight="1" x14ac:dyDescent="0.25">
      <c r="B48" s="315" t="s">
        <v>265</v>
      </c>
      <c r="C48" s="370"/>
      <c r="D48" s="370"/>
      <c r="E48" s="370"/>
      <c r="F48" s="309"/>
      <c r="G48" s="310"/>
      <c r="I48" s="315" t="s">
        <v>265</v>
      </c>
      <c r="J48" s="370"/>
      <c r="K48" s="309"/>
      <c r="L48" s="309"/>
      <c r="M48" s="309"/>
      <c r="N48" s="310"/>
      <c r="P48" s="315" t="s">
        <v>265</v>
      </c>
      <c r="Q48" s="370"/>
      <c r="R48" s="309"/>
      <c r="S48" s="309"/>
      <c r="T48" s="309"/>
      <c r="U48" s="310"/>
      <c r="W48" s="315" t="s">
        <v>265</v>
      </c>
      <c r="X48" s="370"/>
      <c r="Y48" s="309"/>
      <c r="Z48" s="309"/>
      <c r="AA48" s="309"/>
      <c r="AB48" s="310"/>
    </row>
    <row r="49" spans="2:28" ht="36" customHeight="1" x14ac:dyDescent="0.25">
      <c r="B49" s="311" t="s">
        <v>23</v>
      </c>
      <c r="C49" s="312" t="s">
        <v>24</v>
      </c>
      <c r="D49" s="312" t="s">
        <v>18</v>
      </c>
      <c r="E49" s="312" t="s">
        <v>48</v>
      </c>
      <c r="F49" s="311" t="s">
        <v>29</v>
      </c>
      <c r="G49" s="312" t="s">
        <v>49</v>
      </c>
      <c r="I49" s="311" t="s">
        <v>23</v>
      </c>
      <c r="J49" s="312" t="s">
        <v>24</v>
      </c>
      <c r="K49" s="311" t="s">
        <v>18</v>
      </c>
      <c r="L49" s="311" t="s">
        <v>48</v>
      </c>
      <c r="M49" s="311" t="s">
        <v>29</v>
      </c>
      <c r="N49" s="312" t="s">
        <v>49</v>
      </c>
      <c r="P49" s="311" t="s">
        <v>23</v>
      </c>
      <c r="Q49" s="312" t="s">
        <v>24</v>
      </c>
      <c r="R49" s="311" t="s">
        <v>18</v>
      </c>
      <c r="S49" s="311" t="s">
        <v>48</v>
      </c>
      <c r="T49" s="311" t="s">
        <v>29</v>
      </c>
      <c r="U49" s="313" t="s">
        <v>49</v>
      </c>
      <c r="W49" s="311" t="s">
        <v>23</v>
      </c>
      <c r="X49" s="312" t="s">
        <v>24</v>
      </c>
      <c r="Y49" s="311" t="s">
        <v>18</v>
      </c>
      <c r="Z49" s="311" t="s">
        <v>48</v>
      </c>
      <c r="AA49" s="311" t="s">
        <v>29</v>
      </c>
      <c r="AB49" s="314" t="s">
        <v>49</v>
      </c>
    </row>
    <row r="50" spans="2:28" s="61" customFormat="1" ht="7.5" customHeight="1" x14ac:dyDescent="0.25">
      <c r="B50" s="167"/>
      <c r="C50" s="177"/>
      <c r="D50" s="177"/>
      <c r="E50" s="177"/>
      <c r="F50" s="167"/>
      <c r="G50" s="177"/>
      <c r="I50" s="167"/>
      <c r="J50" s="177"/>
      <c r="K50" s="167"/>
      <c r="L50" s="167"/>
      <c r="M50" s="167"/>
      <c r="N50" s="177"/>
      <c r="P50" s="167"/>
      <c r="Q50" s="177"/>
      <c r="R50" s="167"/>
      <c r="S50" s="167"/>
      <c r="T50" s="167"/>
      <c r="U50" s="178"/>
      <c r="W50" s="167"/>
      <c r="X50" s="177"/>
      <c r="Y50" s="167"/>
      <c r="Z50" s="167"/>
      <c r="AA50" s="167"/>
      <c r="AB50" s="232"/>
    </row>
    <row r="51" spans="2:28" ht="18.75" customHeight="1" x14ac:dyDescent="0.25">
      <c r="B51" s="247" t="s">
        <v>45</v>
      </c>
      <c r="C51" s="257">
        <f>COUNTIFS('1. ALL DATA'!$Y$5:$Y$128,"HOUSING AND HOMELESSNESS",'1. ALL DATA'!$H$5:$H$128,"Fully Achieved")</f>
        <v>1</v>
      </c>
      <c r="D51" s="367">
        <f>C51/C65</f>
        <v>5.8823529411764705E-2</v>
      </c>
      <c r="E51" s="464">
        <f>D51+D52</f>
        <v>0.6470588235294118</v>
      </c>
      <c r="F51" s="118">
        <f>C51/C66</f>
        <v>8.3333333333333329E-2</v>
      </c>
      <c r="G51" s="467">
        <f>F51+F52</f>
        <v>0.91666666666666674</v>
      </c>
      <c r="I51" s="247" t="s">
        <v>45</v>
      </c>
      <c r="J51" s="257">
        <f>COUNTIFS('1. ALL DATA'!$Y$5:$Y$128,"HOUSING AND HOMELESSNESS",'1. ALL DATA'!$M$5:$M$128,"Fully Achieved")</f>
        <v>5</v>
      </c>
      <c r="K51" s="118">
        <f>J51/J65</f>
        <v>0.29411764705882354</v>
      </c>
      <c r="L51" s="481">
        <f>K51+K52</f>
        <v>0.88235294117647056</v>
      </c>
      <c r="M51" s="118">
        <f>J51/J66</f>
        <v>0.3125</v>
      </c>
      <c r="N51" s="467">
        <f>M51+M52</f>
        <v>0.9375</v>
      </c>
      <c r="P51" s="247" t="s">
        <v>45</v>
      </c>
      <c r="Q51" s="257">
        <f>COUNTIFS('1. ALL DATA'!$Y$5:$Y$128,"HOUSING AND HOMELESSNESS",'1. ALL DATA'!$R$5:$R$128,"Fully Achieved")</f>
        <v>8</v>
      </c>
      <c r="R51" s="118">
        <f>Q51/Q65</f>
        <v>0.47058823529411764</v>
      </c>
      <c r="S51" s="481">
        <f>R51+R52</f>
        <v>0.88235294117647056</v>
      </c>
      <c r="T51" s="118">
        <f>Q51/Q66</f>
        <v>0.5</v>
      </c>
      <c r="U51" s="467">
        <f>T51+T52</f>
        <v>0.9375</v>
      </c>
      <c r="W51" s="247" t="s">
        <v>40</v>
      </c>
      <c r="X51" s="257">
        <f>COUNTIFS('1. ALL DATA'!$Y$5:$Y$128,"HOUSING AND HOMELESSNESS",'1. ALL DATA'!$V$5:$V$128,"Fully Achieved")</f>
        <v>14</v>
      </c>
      <c r="Y51" s="118">
        <f>X51/$X$65</f>
        <v>0.82352941176470584</v>
      </c>
      <c r="Z51" s="481">
        <f>Y51+Y52</f>
        <v>0.88235294117647056</v>
      </c>
      <c r="AA51" s="118">
        <f>X51/$X$66</f>
        <v>0.82352941176470584</v>
      </c>
      <c r="AB51" s="467">
        <f>AA51+AA52</f>
        <v>0.88235294117647056</v>
      </c>
    </row>
    <row r="52" spans="2:28" ht="18.75" customHeight="1" x14ac:dyDescent="0.25">
      <c r="B52" s="247" t="s">
        <v>41</v>
      </c>
      <c r="C52" s="257">
        <f>COUNTIFS('1. ALL DATA'!$Y$5:$Y$128,"HOUSING AND HOMELESSNESS",'1. ALL DATA'!$H$5:$H$128,"On track to be achieved")</f>
        <v>10</v>
      </c>
      <c r="D52" s="367">
        <f>C52/C65</f>
        <v>0.58823529411764708</v>
      </c>
      <c r="E52" s="464"/>
      <c r="F52" s="118">
        <f>C52/C66</f>
        <v>0.83333333333333337</v>
      </c>
      <c r="G52" s="467"/>
      <c r="I52" s="247" t="s">
        <v>41</v>
      </c>
      <c r="J52" s="257">
        <f>COUNTIFS('1. ALL DATA'!$Y$5:$Y$128,"HOUSING AND HOMELESSNESS",'1. ALL DATA'!$M$5:$M$128,"On track to be achieved")</f>
        <v>10</v>
      </c>
      <c r="K52" s="118">
        <f>J52/J65</f>
        <v>0.58823529411764708</v>
      </c>
      <c r="L52" s="481"/>
      <c r="M52" s="118">
        <f>J52/J66</f>
        <v>0.625</v>
      </c>
      <c r="N52" s="467"/>
      <c r="P52" s="247" t="s">
        <v>41</v>
      </c>
      <c r="Q52" s="257">
        <f>COUNTIFS('1. ALL DATA'!$Y$5:$Y$128,"HOUSING AND HOMELESSNESS",'1. ALL DATA'!$R$5:$R$128,"On track to be achieved")</f>
        <v>7</v>
      </c>
      <c r="R52" s="118">
        <f>Q52/Q65</f>
        <v>0.41176470588235292</v>
      </c>
      <c r="S52" s="481"/>
      <c r="T52" s="118">
        <f>Q52/Q66</f>
        <v>0.4375</v>
      </c>
      <c r="U52" s="467"/>
      <c r="W52" s="247" t="s">
        <v>79</v>
      </c>
      <c r="X52" s="257">
        <f>COUNTIFS('1. ALL DATA'!$Y$5:$Y$128,"HOUSING AND HOMELESSNESS",'1. ALL DATA'!$V$5:$V$128,"Numerical Outturn Within 5% Tolerance")</f>
        <v>1</v>
      </c>
      <c r="Y52" s="118">
        <f>X52/$X$65</f>
        <v>5.8823529411764705E-2</v>
      </c>
      <c r="Z52" s="481"/>
      <c r="AA52" s="118">
        <f>X52/$X$66</f>
        <v>5.8823529411764705E-2</v>
      </c>
      <c r="AB52" s="467"/>
    </row>
    <row r="53" spans="2:28" s="61" customFormat="1" ht="6.75" customHeight="1" x14ac:dyDescent="0.25">
      <c r="B53" s="167"/>
      <c r="C53" s="265"/>
      <c r="D53" s="251"/>
      <c r="E53" s="251"/>
      <c r="F53" s="168"/>
      <c r="G53" s="169"/>
      <c r="I53" s="167"/>
      <c r="J53" s="265"/>
      <c r="K53" s="168"/>
      <c r="L53" s="168"/>
      <c r="M53" s="168"/>
      <c r="N53" s="169"/>
      <c r="P53" s="167"/>
      <c r="Q53" s="265"/>
      <c r="R53" s="168"/>
      <c r="S53" s="168"/>
      <c r="T53" s="168"/>
      <c r="U53" s="169"/>
      <c r="W53" s="170"/>
      <c r="X53" s="265"/>
      <c r="Y53" s="168"/>
      <c r="Z53" s="168"/>
      <c r="AA53" s="168"/>
      <c r="AB53" s="169"/>
    </row>
    <row r="54" spans="2:28" ht="16.5" customHeight="1" x14ac:dyDescent="0.25">
      <c r="B54" s="462" t="s">
        <v>26</v>
      </c>
      <c r="C54" s="463">
        <f>COUNTIFS('1. ALL DATA'!$Y$5:$Y$128,"HOUSING AND HOMELESSNESS",'1. ALL DATA'!$H$5:$H$128,"In danger of falling behind target")</f>
        <v>0</v>
      </c>
      <c r="D54" s="464">
        <f>C54/C65</f>
        <v>0</v>
      </c>
      <c r="E54" s="464">
        <f>D54</f>
        <v>0</v>
      </c>
      <c r="F54" s="481">
        <f>C54/C66</f>
        <v>0</v>
      </c>
      <c r="G54" s="465">
        <f>F54</f>
        <v>0</v>
      </c>
      <c r="I54" s="462" t="s">
        <v>26</v>
      </c>
      <c r="J54" s="463">
        <f>COUNTIFS('1. ALL DATA'!$Y$5:$Y$128,"HOUSING AND HOMELESSNESS",'1. ALL DATA'!$M$5:$M$128,"In danger of falling behind target")</f>
        <v>0</v>
      </c>
      <c r="K54" s="481">
        <f>J54/J65</f>
        <v>0</v>
      </c>
      <c r="L54" s="481">
        <f>K54</f>
        <v>0</v>
      </c>
      <c r="M54" s="481">
        <f>J54/J66</f>
        <v>0</v>
      </c>
      <c r="N54" s="465">
        <f>M54</f>
        <v>0</v>
      </c>
      <c r="P54" s="462" t="s">
        <v>26</v>
      </c>
      <c r="Q54" s="463">
        <f>COUNTIFS('1. ALL DATA'!$Y$5:$Y$128,"HOUSING AND HOMELESSNESS",'1. ALL DATA'!$R$5:$R$128,"In danger of falling behind target")</f>
        <v>0</v>
      </c>
      <c r="R54" s="481">
        <f>Q54/Q65</f>
        <v>0</v>
      </c>
      <c r="S54" s="481">
        <f>R54</f>
        <v>0</v>
      </c>
      <c r="T54" s="481">
        <f>Q54/Q66</f>
        <v>0</v>
      </c>
      <c r="U54" s="465">
        <f>T54</f>
        <v>0</v>
      </c>
      <c r="W54" s="249" t="s">
        <v>80</v>
      </c>
      <c r="X54" s="368">
        <f>COUNTIFS('1. ALL DATA'!$Y$5:$Y$128,"HOUSING AND HOMELESSNESS",'1. ALL DATA'!$V$5:$V$128,"Numerical Outturn Within 10% Tolerance")</f>
        <v>0</v>
      </c>
      <c r="Y54" s="118">
        <f>X54/$X$65</f>
        <v>0</v>
      </c>
      <c r="Z54" s="482">
        <f>SUM(Y54:Y56)</f>
        <v>5.8823529411764705E-2</v>
      </c>
      <c r="AA54" s="70">
        <f>X54/$X$66</f>
        <v>0</v>
      </c>
      <c r="AB54" s="465">
        <f>SUM(AA54:AA56)</f>
        <v>5.8823529411764705E-2</v>
      </c>
    </row>
    <row r="55" spans="2:28" ht="16.5" customHeight="1" x14ac:dyDescent="0.25">
      <c r="B55" s="462"/>
      <c r="C55" s="463"/>
      <c r="D55" s="464"/>
      <c r="E55" s="464"/>
      <c r="F55" s="481"/>
      <c r="G55" s="465"/>
      <c r="I55" s="462"/>
      <c r="J55" s="463"/>
      <c r="K55" s="481"/>
      <c r="L55" s="481"/>
      <c r="M55" s="481"/>
      <c r="N55" s="465"/>
      <c r="P55" s="462"/>
      <c r="Q55" s="463"/>
      <c r="R55" s="481"/>
      <c r="S55" s="481"/>
      <c r="T55" s="481"/>
      <c r="U55" s="465"/>
      <c r="W55" s="249" t="s">
        <v>81</v>
      </c>
      <c r="X55" s="368">
        <f>COUNTIFS('1. ALL DATA'!$Y$5:$Y$128,"HOUSING AND HOMELESSNESS",'1. ALL DATA'!$V$5:$V$128,"Target Partially Met")</f>
        <v>1</v>
      </c>
      <c r="Y55" s="118">
        <f>X55/$X$65</f>
        <v>5.8823529411764705E-2</v>
      </c>
      <c r="Z55" s="483"/>
      <c r="AA55" s="70">
        <f>X55/$X$66</f>
        <v>5.8823529411764705E-2</v>
      </c>
      <c r="AB55" s="465"/>
    </row>
    <row r="56" spans="2:28" ht="16.5" customHeight="1" x14ac:dyDescent="0.25">
      <c r="B56" s="462"/>
      <c r="C56" s="463"/>
      <c r="D56" s="464"/>
      <c r="E56" s="464"/>
      <c r="F56" s="481"/>
      <c r="G56" s="465"/>
      <c r="I56" s="462"/>
      <c r="J56" s="463"/>
      <c r="K56" s="481"/>
      <c r="L56" s="481"/>
      <c r="M56" s="481"/>
      <c r="N56" s="465"/>
      <c r="P56" s="462"/>
      <c r="Q56" s="463"/>
      <c r="R56" s="481"/>
      <c r="S56" s="481"/>
      <c r="T56" s="481"/>
      <c r="U56" s="465"/>
      <c r="W56" s="249" t="s">
        <v>83</v>
      </c>
      <c r="X56" s="368">
        <f>COUNTIFS('1. ALL DATA'!$Y$5:$Y$128,"HOUSING AND HOMELESSNESS",'1. ALL DATA'!$V$5:$V$128,"Completion Date Within Reasonable Tolerance")</f>
        <v>0</v>
      </c>
      <c r="Y56" s="118">
        <f>X56/$X$65</f>
        <v>0</v>
      </c>
      <c r="Z56" s="484"/>
      <c r="AA56" s="70">
        <f>X56/$X$66</f>
        <v>0</v>
      </c>
      <c r="AB56" s="465"/>
    </row>
    <row r="57" spans="2:28" s="61" customFormat="1" ht="6" customHeight="1" x14ac:dyDescent="0.25">
      <c r="B57" s="167"/>
      <c r="C57" s="177"/>
      <c r="D57" s="251"/>
      <c r="E57" s="251"/>
      <c r="F57" s="168"/>
      <c r="G57" s="169"/>
      <c r="I57" s="167"/>
      <c r="J57" s="177"/>
      <c r="K57" s="168"/>
      <c r="L57" s="168"/>
      <c r="M57" s="168"/>
      <c r="N57" s="169"/>
      <c r="P57" s="167"/>
      <c r="Q57" s="177"/>
      <c r="R57" s="168"/>
      <c r="S57" s="168"/>
      <c r="T57" s="168"/>
      <c r="U57" s="169"/>
      <c r="W57" s="170"/>
      <c r="X57" s="177"/>
      <c r="Y57" s="168"/>
      <c r="Z57" s="168"/>
      <c r="AA57" s="168"/>
      <c r="AB57" s="169"/>
    </row>
    <row r="58" spans="2:28" ht="22.5" customHeight="1" x14ac:dyDescent="0.25">
      <c r="B58" s="248" t="s">
        <v>42</v>
      </c>
      <c r="C58" s="257">
        <f>COUNTIFS('1. ALL DATA'!$Y$5:$Y$128,"HOUSING AND HOMELESSNESS",'1. ALL DATA'!$H$5:$H$128,"Completed behind schedule")</f>
        <v>0</v>
      </c>
      <c r="D58" s="367">
        <f>C58/C65</f>
        <v>0</v>
      </c>
      <c r="E58" s="464">
        <f>D58+D59</f>
        <v>5.8823529411764705E-2</v>
      </c>
      <c r="F58" s="118">
        <f>C58/C66</f>
        <v>0</v>
      </c>
      <c r="G58" s="480">
        <f>F58+F59</f>
        <v>8.3333333333333329E-2</v>
      </c>
      <c r="I58" s="248" t="s">
        <v>42</v>
      </c>
      <c r="J58" s="257">
        <f>COUNTIFS('1. ALL DATA'!$Y$5:$Y$128,"HOUSING AND HOMELESSNESS",'1. ALL DATA'!$M$5:$M$128,"Completed behind schedule")</f>
        <v>1</v>
      </c>
      <c r="K58" s="118">
        <f>J58/J65</f>
        <v>5.8823529411764705E-2</v>
      </c>
      <c r="L58" s="481">
        <f>K58+K59</f>
        <v>5.8823529411764705E-2</v>
      </c>
      <c r="M58" s="118">
        <f>J58/J66</f>
        <v>6.25E-2</v>
      </c>
      <c r="N58" s="480">
        <f>M58+M59</f>
        <v>6.25E-2</v>
      </c>
      <c r="P58" s="248" t="s">
        <v>42</v>
      </c>
      <c r="Q58" s="257">
        <f>COUNTIFS('1. ALL DATA'!$Y$5:$Y$128,"HOUSING AND HOMELESSNESS",'1. ALL DATA'!$R$5:$R$128,"Completed behind schedule")</f>
        <v>1</v>
      </c>
      <c r="R58" s="118">
        <f>Q58/Q65</f>
        <v>5.8823529411764705E-2</v>
      </c>
      <c r="S58" s="481">
        <f>R58+R59</f>
        <v>5.8823529411764705E-2</v>
      </c>
      <c r="T58" s="118">
        <f>Q58/Q66</f>
        <v>6.25E-2</v>
      </c>
      <c r="U58" s="480">
        <f>T58+T59</f>
        <v>6.25E-2</v>
      </c>
      <c r="W58" s="248" t="s">
        <v>82</v>
      </c>
      <c r="X58" s="257">
        <f>COUNTIFS('1. ALL DATA'!$Y$5:$Y$128,"HOUSING AND HOMELESSNESS",'1. ALL DATA'!$V$5:$V$128,"Completed Significantly After Target Deadline")</f>
        <v>1</v>
      </c>
      <c r="Y58" s="118">
        <f>X58/$X$65</f>
        <v>5.8823529411764705E-2</v>
      </c>
      <c r="Z58" s="481">
        <f>Y58+Y59</f>
        <v>5.8823529411764705E-2</v>
      </c>
      <c r="AA58" s="118">
        <f>X58/$X$66</f>
        <v>5.8823529411764705E-2</v>
      </c>
      <c r="AB58" s="480">
        <f>AA58+AA59</f>
        <v>5.8823529411764705E-2</v>
      </c>
    </row>
    <row r="59" spans="2:28" ht="22.5" customHeight="1" x14ac:dyDescent="0.25">
      <c r="B59" s="248" t="s">
        <v>27</v>
      </c>
      <c r="C59" s="257">
        <f>COUNTIFS('1. ALL DATA'!$Y$5:$Y$128,"HOUSING AND HOMELESSNESS",'1. ALL DATA'!$H$5:$H$128,"Off target")</f>
        <v>1</v>
      </c>
      <c r="D59" s="367">
        <f>C59/C65</f>
        <v>5.8823529411764705E-2</v>
      </c>
      <c r="E59" s="464"/>
      <c r="F59" s="118">
        <f>C59/C66</f>
        <v>8.3333333333333329E-2</v>
      </c>
      <c r="G59" s="480"/>
      <c r="I59" s="248" t="s">
        <v>27</v>
      </c>
      <c r="J59" s="257">
        <f>COUNTIFS('1. ALL DATA'!$Y$5:$Y$128,"HOUSING AND HOMELESSNESS",'1. ALL DATA'!$M$5:$M$128,"Off target")</f>
        <v>0</v>
      </c>
      <c r="K59" s="118">
        <f>J59/J65</f>
        <v>0</v>
      </c>
      <c r="L59" s="481"/>
      <c r="M59" s="118">
        <f>J59/J66</f>
        <v>0</v>
      </c>
      <c r="N59" s="480"/>
      <c r="P59" s="248" t="s">
        <v>27</v>
      </c>
      <c r="Q59" s="257">
        <f>COUNTIFS('1. ALL DATA'!$Y$5:$Y$128,"HOUSING AND HOMELESSNESS",'1. ALL DATA'!$R$5:$R$128,"Off target")</f>
        <v>0</v>
      </c>
      <c r="R59" s="118">
        <f>Q59/Q65</f>
        <v>0</v>
      </c>
      <c r="S59" s="481"/>
      <c r="T59" s="118">
        <f>Q59/Q66</f>
        <v>0</v>
      </c>
      <c r="U59" s="480"/>
      <c r="W59" s="248" t="s">
        <v>27</v>
      </c>
      <c r="X59" s="257">
        <f>COUNTIFS('1. ALL DATA'!$Y$5:$Y$128,"HOUSING AND HOMELESSNESS",'1. ALL DATA'!$V$5:$V$128,"Off target")</f>
        <v>0</v>
      </c>
      <c r="Y59" s="118">
        <f>X59/$X$65</f>
        <v>0</v>
      </c>
      <c r="Z59" s="481"/>
      <c r="AA59" s="118">
        <f>X59/$X$66</f>
        <v>0</v>
      </c>
      <c r="AB59" s="480"/>
    </row>
    <row r="60" spans="2:28" s="61" customFormat="1" ht="6.75" customHeight="1" x14ac:dyDescent="0.25">
      <c r="B60" s="167"/>
      <c r="C60" s="265"/>
      <c r="D60" s="251"/>
      <c r="E60" s="251"/>
      <c r="F60" s="168"/>
      <c r="G60" s="172"/>
      <c r="I60" s="167"/>
      <c r="J60" s="265"/>
      <c r="K60" s="168"/>
      <c r="L60" s="168"/>
      <c r="M60" s="168"/>
      <c r="N60" s="172"/>
      <c r="P60" s="167"/>
      <c r="Q60" s="265"/>
      <c r="R60" s="168"/>
      <c r="S60" s="168"/>
      <c r="T60" s="168"/>
      <c r="U60" s="172"/>
      <c r="W60" s="318"/>
      <c r="X60" s="265"/>
      <c r="Y60" s="173"/>
      <c r="Z60" s="173"/>
      <c r="AA60" s="174"/>
      <c r="AB60" s="233"/>
    </row>
    <row r="61" spans="2:28" ht="15.75" customHeight="1" x14ac:dyDescent="0.25">
      <c r="B61" s="46" t="s">
        <v>1</v>
      </c>
      <c r="C61" s="269">
        <f>COUNTIFS('1. ALL DATA'!$Y$5:$Y$128,"HOUSING AND HOMELESSNESS",'1. ALL DATA'!$H$5:$H$128,"Not yet due")</f>
        <v>5</v>
      </c>
      <c r="D61" s="252">
        <f>C61/C65</f>
        <v>0.29411764705882354</v>
      </c>
      <c r="E61" s="252">
        <f>D61</f>
        <v>0.29411764705882354</v>
      </c>
      <c r="F61" s="74"/>
      <c r="G61" s="45"/>
      <c r="I61" s="46" t="s">
        <v>1</v>
      </c>
      <c r="J61" s="269">
        <f>COUNTIFS('1. ALL DATA'!$Y$5:$Y$128,"HOUSING AND HOMELESSNESS",'1. ALL DATA'!$M$5:$M$128,"Not yet due")</f>
        <v>1</v>
      </c>
      <c r="K61" s="73">
        <f>J61/J65</f>
        <v>5.8823529411764705E-2</v>
      </c>
      <c r="L61" s="73">
        <f>K61</f>
        <v>5.8823529411764705E-2</v>
      </c>
      <c r="M61" s="74"/>
      <c r="N61" s="45"/>
      <c r="P61" s="46" t="s">
        <v>1</v>
      </c>
      <c r="Q61" s="269">
        <f>COUNTIFS('1. ALL DATA'!$Y$5:$Y$128,"HOUSING AND HOMELESSNESS",'1. ALL DATA'!$R$5:$R$128,"Not yet due")</f>
        <v>1</v>
      </c>
      <c r="R61" s="73">
        <f>Q61/Q65</f>
        <v>5.8823529411764705E-2</v>
      </c>
      <c r="S61" s="73">
        <f>R61</f>
        <v>5.8823529411764705E-2</v>
      </c>
      <c r="T61" s="74"/>
      <c r="U61" s="91"/>
      <c r="W61" s="60" t="s">
        <v>1</v>
      </c>
      <c r="X61" s="269">
        <f>COUNTIFS('1. ALL DATA'!$Y$5:$Y$128,"HOUSING AND HOMELESSNESS",'1. ALL DATA'!$V$5:$V$128,"Not yet due")</f>
        <v>0</v>
      </c>
      <c r="Y61" s="73">
        <f>X61/$X$65</f>
        <v>0</v>
      </c>
      <c r="Z61" s="73">
        <f>Y61</f>
        <v>0</v>
      </c>
      <c r="AA61" s="74"/>
      <c r="AB61" s="235"/>
    </row>
    <row r="62" spans="2:28" ht="15.75" customHeight="1" x14ac:dyDescent="0.25">
      <c r="B62" s="46" t="s">
        <v>46</v>
      </c>
      <c r="C62" s="269">
        <f>COUNTIFS('1. ALL DATA'!$Y$5:$Y$128,"HOUSING AND HOMELESSNESS",'1. ALL DATA'!$H$5:$H$128,"Update not provided")</f>
        <v>0</v>
      </c>
      <c r="D62" s="252">
        <f>C62/C65</f>
        <v>0</v>
      </c>
      <c r="E62" s="252">
        <f>D62</f>
        <v>0</v>
      </c>
      <c r="F62" s="74"/>
      <c r="G62" s="96"/>
      <c r="I62" s="46" t="s">
        <v>46</v>
      </c>
      <c r="J62" s="269">
        <f>COUNTIFS('1. ALL DATA'!$Y$5:$Y$128,"HOUSING AND HOMELESSNESS",'1. ALL DATA'!$M$5:$M$128,"Update not provided")</f>
        <v>0</v>
      </c>
      <c r="K62" s="73">
        <f>J62/J65</f>
        <v>0</v>
      </c>
      <c r="L62" s="73">
        <f>K62</f>
        <v>0</v>
      </c>
      <c r="M62" s="74"/>
      <c r="N62" s="96"/>
      <c r="P62" s="46" t="s">
        <v>46</v>
      </c>
      <c r="Q62" s="269">
        <f>COUNTIFS('1. ALL DATA'!$Y$5:$Y$128,"HOUSING AND HOMELESSNESS",'1. ALL DATA'!$R$5:$R$128,"Update not provided")</f>
        <v>0</v>
      </c>
      <c r="R62" s="73">
        <f>Q62/Q65</f>
        <v>0</v>
      </c>
      <c r="S62" s="73">
        <f>R62</f>
        <v>0</v>
      </c>
      <c r="T62" s="74"/>
      <c r="U62" s="92"/>
      <c r="W62" s="62" t="s">
        <v>46</v>
      </c>
      <c r="X62" s="269">
        <f>COUNTIFS('1. ALL DATA'!$Y$5:$Y$128,"HOUSING AND HOMELESSNESS",'1. ALL DATA'!$V$5:$V$128,"Update not provided")</f>
        <v>0</v>
      </c>
      <c r="Y62" s="73">
        <f>X62/$X$65</f>
        <v>0</v>
      </c>
      <c r="Z62" s="73">
        <f>Y62</f>
        <v>0</v>
      </c>
      <c r="AA62" s="74"/>
    </row>
    <row r="63" spans="2:28" ht="15.75" customHeight="1" x14ac:dyDescent="0.25">
      <c r="B63" s="47" t="s">
        <v>22</v>
      </c>
      <c r="C63" s="269">
        <f>COUNTIFS('1. ALL DATA'!$Y$5:$Y$128,"HOUSING AND HOMELESSNESS",'1. ALL DATA'!$H$5:$H$128,"Deferred")</f>
        <v>0</v>
      </c>
      <c r="D63" s="253">
        <f>C63/C65</f>
        <v>0</v>
      </c>
      <c r="E63" s="253">
        <f>D63</f>
        <v>0</v>
      </c>
      <c r="F63" s="75"/>
      <c r="G63" s="45"/>
      <c r="I63" s="47" t="s">
        <v>22</v>
      </c>
      <c r="J63" s="269">
        <f>COUNTIFS('1. ALL DATA'!$Y$5:$Y$128,"HOUSING AND HOMELESSNESS",'1. ALL DATA'!$M$5:$M$128,"Deferred")</f>
        <v>0</v>
      </c>
      <c r="K63" s="76">
        <f>J63/J65</f>
        <v>0</v>
      </c>
      <c r="L63" s="76">
        <f>K63</f>
        <v>0</v>
      </c>
      <c r="M63" s="75"/>
      <c r="N63" s="45"/>
      <c r="P63" s="47" t="s">
        <v>22</v>
      </c>
      <c r="Q63" s="269">
        <f>COUNTIFS('1. ALL DATA'!$Y$5:$Y$128,"HOUSING AND HOMELESSNESS",'1. ALL DATA'!$R$5:$R$128,"Deferred")</f>
        <v>0</v>
      </c>
      <c r="R63" s="76">
        <f>Q63/Q65</f>
        <v>0</v>
      </c>
      <c r="S63" s="76">
        <f>R63</f>
        <v>0</v>
      </c>
      <c r="T63" s="75"/>
      <c r="U63" s="91"/>
      <c r="W63" s="47" t="s">
        <v>22</v>
      </c>
      <c r="X63" s="269">
        <f>COUNTIFS('1. ALL DATA'!$Y$5:$Y$128,"HOUSING AND HOMELESSNESS",'1. ALL DATA'!$V$5:$V$128,"Deferred")</f>
        <v>0</v>
      </c>
      <c r="Y63" s="76">
        <f>X63/$X$65</f>
        <v>0</v>
      </c>
      <c r="Z63" s="76">
        <f>Y63</f>
        <v>0</v>
      </c>
      <c r="AA63" s="75"/>
      <c r="AB63" s="235"/>
    </row>
    <row r="64" spans="2:28" ht="15.75" customHeight="1" x14ac:dyDescent="0.25">
      <c r="B64" s="47" t="s">
        <v>28</v>
      </c>
      <c r="C64" s="269">
        <f>COUNTIFS('1. ALL DATA'!$Y$5:$Y$128,"HOUSING AND HOMELESSNESS",'1. ALL DATA'!$H$5:$H$128,"Deleted")</f>
        <v>0</v>
      </c>
      <c r="D64" s="253">
        <f>C64/C65</f>
        <v>0</v>
      </c>
      <c r="E64" s="253">
        <f>D64</f>
        <v>0</v>
      </c>
      <c r="F64" s="75"/>
      <c r="G64" s="89" t="s">
        <v>62</v>
      </c>
      <c r="I64" s="47" t="s">
        <v>28</v>
      </c>
      <c r="J64" s="269">
        <f>COUNTIFS('1. ALL DATA'!$Y$5:$Y$128,"HOUSING AND HOMELESSNESS",'1. ALL DATA'!$M$5:$M$128,"Deleted")</f>
        <v>0</v>
      </c>
      <c r="K64" s="76">
        <f>J64/J65</f>
        <v>0</v>
      </c>
      <c r="L64" s="76">
        <f>K64</f>
        <v>0</v>
      </c>
      <c r="M64" s="75"/>
      <c r="N64" s="89" t="s">
        <v>62</v>
      </c>
      <c r="P64" s="47" t="s">
        <v>28</v>
      </c>
      <c r="Q64" s="269">
        <f>COUNTIFS('1. ALL DATA'!$Y$5:$Y$128,"HOUSING AND HOMELESSNESS",'1. ALL DATA'!$R$5:$R$128,"Deleted")</f>
        <v>0</v>
      </c>
      <c r="R64" s="76">
        <f>Q64/Q65</f>
        <v>0</v>
      </c>
      <c r="S64" s="76">
        <f>R64</f>
        <v>0</v>
      </c>
      <c r="T64" s="75"/>
      <c r="U64" s="89" t="s">
        <v>62</v>
      </c>
      <c r="W64" s="47" t="s">
        <v>28</v>
      </c>
      <c r="X64" s="269">
        <f>COUNTIFS('1. ALL DATA'!$Y$5:$Y$128,"HOUSING AND HOMELESSNESS",'1. ALL DATA'!$V$5:$V$128,"Deleted")</f>
        <v>0</v>
      </c>
      <c r="Y64" s="76">
        <f>X64/$X$65</f>
        <v>0</v>
      </c>
      <c r="Z64" s="76">
        <f>Y64</f>
        <v>0</v>
      </c>
      <c r="AA64" s="75"/>
      <c r="AB64" s="89" t="s">
        <v>62</v>
      </c>
    </row>
    <row r="65" spans="2:28" ht="15.75" customHeight="1" x14ac:dyDescent="0.25">
      <c r="B65" s="48" t="s">
        <v>30</v>
      </c>
      <c r="C65" s="271">
        <f>SUM(C51:C64)</f>
        <v>17</v>
      </c>
      <c r="D65" s="44"/>
      <c r="E65" s="44"/>
      <c r="F65" s="50"/>
      <c r="G65" s="97"/>
      <c r="I65" s="48" t="s">
        <v>30</v>
      </c>
      <c r="J65" s="271">
        <f>SUM(J51:J64)</f>
        <v>17</v>
      </c>
      <c r="K65" s="75"/>
      <c r="L65" s="75"/>
      <c r="M65" s="50"/>
      <c r="N65" s="45"/>
      <c r="P65" s="48" t="s">
        <v>30</v>
      </c>
      <c r="Q65" s="271">
        <f>SUM(Q51:Q64)</f>
        <v>17</v>
      </c>
      <c r="R65" s="75"/>
      <c r="S65" s="75"/>
      <c r="T65" s="50"/>
      <c r="U65" s="91"/>
      <c r="W65" s="48" t="s">
        <v>30</v>
      </c>
      <c r="X65" s="271">
        <f>SUM(X51:X64)</f>
        <v>17</v>
      </c>
      <c r="Y65" s="75"/>
      <c r="Z65" s="75"/>
      <c r="AA65" s="50"/>
      <c r="AB65" s="235"/>
    </row>
    <row r="66" spans="2:28" ht="15.75" customHeight="1" x14ac:dyDescent="0.25">
      <c r="B66" s="48" t="s">
        <v>31</v>
      </c>
      <c r="C66" s="271">
        <f>C65-C64-C63-C62-C61</f>
        <v>12</v>
      </c>
      <c r="D66" s="45"/>
      <c r="E66" s="45"/>
      <c r="F66" s="50"/>
      <c r="G66" s="45"/>
      <c r="I66" s="48" t="s">
        <v>31</v>
      </c>
      <c r="J66" s="271">
        <f>J65-J64-J63-J62-J61</f>
        <v>16</v>
      </c>
      <c r="K66" s="50"/>
      <c r="L66" s="50"/>
      <c r="M66" s="50"/>
      <c r="N66" s="45"/>
      <c r="P66" s="48" t="s">
        <v>31</v>
      </c>
      <c r="Q66" s="271">
        <f>Q65-Q64-Q63-Q62-Q61</f>
        <v>16</v>
      </c>
      <c r="R66" s="50"/>
      <c r="S66" s="50"/>
      <c r="T66" s="50"/>
      <c r="U66" s="91"/>
      <c r="W66" s="48" t="s">
        <v>31</v>
      </c>
      <c r="X66" s="271">
        <f>X65-X64-X63-X62-X61</f>
        <v>17</v>
      </c>
      <c r="Y66" s="50"/>
      <c r="Z66" s="50"/>
      <c r="AA66" s="50"/>
      <c r="AB66" s="235"/>
    </row>
    <row r="67" spans="2:28" ht="15.75" customHeight="1" x14ac:dyDescent="0.25"/>
    <row r="68" spans="2:28" ht="15.75" customHeight="1" x14ac:dyDescent="0.25"/>
    <row r="69" spans="2:28" ht="15.75" customHeight="1" x14ac:dyDescent="0.25"/>
    <row r="70" spans="2:28" s="61" customFormat="1" ht="15.75" x14ac:dyDescent="0.25">
      <c r="B70" s="317" t="s">
        <v>239</v>
      </c>
      <c r="C70" s="370"/>
      <c r="D70" s="370"/>
      <c r="E70" s="370"/>
      <c r="F70" s="309"/>
      <c r="G70" s="310"/>
      <c r="I70" s="317" t="s">
        <v>239</v>
      </c>
      <c r="J70" s="370"/>
      <c r="K70" s="309"/>
      <c r="L70" s="309"/>
      <c r="M70" s="309"/>
      <c r="N70" s="310"/>
      <c r="P70" s="317" t="s">
        <v>239</v>
      </c>
      <c r="Q70" s="370"/>
      <c r="R70" s="309"/>
      <c r="S70" s="309"/>
      <c r="T70" s="309"/>
      <c r="U70" s="310"/>
      <c r="W70" s="317" t="s">
        <v>239</v>
      </c>
      <c r="X70" s="370"/>
      <c r="Y70" s="309"/>
      <c r="Z70" s="309"/>
      <c r="AA70" s="309"/>
      <c r="AB70" s="310"/>
    </row>
    <row r="71" spans="2:28" ht="41.25" customHeight="1" x14ac:dyDescent="0.25">
      <c r="B71" s="311" t="s">
        <v>23</v>
      </c>
      <c r="C71" s="312" t="s">
        <v>24</v>
      </c>
      <c r="D71" s="312" t="s">
        <v>18</v>
      </c>
      <c r="E71" s="312" t="s">
        <v>48</v>
      </c>
      <c r="F71" s="311" t="s">
        <v>29</v>
      </c>
      <c r="G71" s="312" t="s">
        <v>49</v>
      </c>
      <c r="I71" s="311" t="s">
        <v>23</v>
      </c>
      <c r="J71" s="312" t="s">
        <v>24</v>
      </c>
      <c r="K71" s="311" t="s">
        <v>18</v>
      </c>
      <c r="L71" s="311" t="s">
        <v>48</v>
      </c>
      <c r="M71" s="311" t="s">
        <v>29</v>
      </c>
      <c r="N71" s="312" t="s">
        <v>49</v>
      </c>
      <c r="P71" s="311" t="s">
        <v>23</v>
      </c>
      <c r="Q71" s="312" t="s">
        <v>24</v>
      </c>
      <c r="R71" s="311" t="s">
        <v>18</v>
      </c>
      <c r="S71" s="311" t="s">
        <v>48</v>
      </c>
      <c r="T71" s="311" t="s">
        <v>29</v>
      </c>
      <c r="U71" s="313" t="s">
        <v>49</v>
      </c>
      <c r="W71" s="311" t="s">
        <v>23</v>
      </c>
      <c r="X71" s="312" t="s">
        <v>24</v>
      </c>
      <c r="Y71" s="311" t="s">
        <v>18</v>
      </c>
      <c r="Z71" s="311" t="s">
        <v>48</v>
      </c>
      <c r="AA71" s="311" t="s">
        <v>29</v>
      </c>
      <c r="AB71" s="314" t="s">
        <v>49</v>
      </c>
    </row>
    <row r="72" spans="2:28" ht="6.75" customHeight="1" x14ac:dyDescent="0.25">
      <c r="B72" s="51"/>
      <c r="C72" s="54"/>
      <c r="D72" s="54"/>
      <c r="E72" s="54"/>
      <c r="F72" s="51"/>
      <c r="G72" s="54"/>
      <c r="I72" s="51"/>
      <c r="J72" s="54"/>
      <c r="K72" s="51"/>
      <c r="L72" s="51"/>
      <c r="M72" s="51"/>
      <c r="N72" s="54"/>
      <c r="P72" s="51"/>
      <c r="Q72" s="54"/>
      <c r="R72" s="51"/>
      <c r="S72" s="51"/>
      <c r="T72" s="51"/>
      <c r="U72" s="86"/>
      <c r="W72" s="51"/>
      <c r="X72" s="54"/>
      <c r="Y72" s="51"/>
      <c r="Z72" s="51"/>
      <c r="AA72" s="51"/>
      <c r="AB72" s="237"/>
    </row>
    <row r="73" spans="2:28" ht="27.75" customHeight="1" x14ac:dyDescent="0.25">
      <c r="B73" s="247" t="s">
        <v>45</v>
      </c>
      <c r="C73" s="257">
        <f>COUNTIFS('1. ALL DATA'!$Y$5:$Y$128,"ENVIRONMENT",'1. ALL DATA'!$H$5:$H$128,"Fully Achieved")</f>
        <v>1</v>
      </c>
      <c r="D73" s="367">
        <f>C73/C87</f>
        <v>6.6666666666666666E-2</v>
      </c>
      <c r="E73" s="464">
        <f>D73+D74</f>
        <v>0.46666666666666667</v>
      </c>
      <c r="F73" s="118">
        <f>C73/C88</f>
        <v>0.125</v>
      </c>
      <c r="G73" s="467">
        <f>F73+F74</f>
        <v>0.875</v>
      </c>
      <c r="I73" s="247" t="s">
        <v>45</v>
      </c>
      <c r="J73" s="257">
        <f>COUNTIFS('1. ALL DATA'!$Y$5:$Y$128,"ENVIRONMENT",'1. ALL DATA'!$M$5:$M$128,"Fully Achieved")</f>
        <v>1</v>
      </c>
      <c r="K73" s="118">
        <f>J73/J87</f>
        <v>6.6666666666666666E-2</v>
      </c>
      <c r="L73" s="481">
        <f>K73+K74</f>
        <v>0.73333333333333328</v>
      </c>
      <c r="M73" s="118">
        <f>J73/J88</f>
        <v>8.3333333333333329E-2</v>
      </c>
      <c r="N73" s="467">
        <f>M73+M74</f>
        <v>0.91666666666666674</v>
      </c>
      <c r="P73" s="247" t="s">
        <v>45</v>
      </c>
      <c r="Q73" s="257">
        <f>COUNTIFS('1. ALL DATA'!$Y$5:$Y$128,"ENVIRONMENT",'1. ALL DATA'!$R$5:$R$128,"Fully Achieved")</f>
        <v>3</v>
      </c>
      <c r="R73" s="118">
        <f>Q73/Q87</f>
        <v>0.2</v>
      </c>
      <c r="S73" s="481">
        <f>R73+R74</f>
        <v>0.8666666666666667</v>
      </c>
      <c r="T73" s="118">
        <f>Q73/Q88</f>
        <v>0.2</v>
      </c>
      <c r="U73" s="467">
        <f>T73+T74</f>
        <v>0.8666666666666667</v>
      </c>
      <c r="W73" s="247" t="s">
        <v>40</v>
      </c>
      <c r="X73" s="257">
        <f>COUNTIFS('1. ALL DATA'!$Y$5:$Y$128,"ENVIRONMENT",'1. ALL DATA'!$V$5:$V$128,"Fully Achieved")</f>
        <v>12</v>
      </c>
      <c r="Y73" s="118">
        <f>X73/$X$87</f>
        <v>0.8</v>
      </c>
      <c r="Z73" s="481">
        <f>Y73+Y74</f>
        <v>0.8666666666666667</v>
      </c>
      <c r="AA73" s="118">
        <f>X73/$X$88</f>
        <v>0.8</v>
      </c>
      <c r="AB73" s="467">
        <f>AA73+AA74</f>
        <v>0.8666666666666667</v>
      </c>
    </row>
    <row r="74" spans="2:28" ht="27.75" customHeight="1" x14ac:dyDescent="0.25">
      <c r="B74" s="247" t="s">
        <v>41</v>
      </c>
      <c r="C74" s="257">
        <f>COUNTIFS('1. ALL DATA'!$Y$5:$Y$128,"ENVIRONMENT",'1. ALL DATA'!$H$5:$H$128,"On track to be achieved")</f>
        <v>6</v>
      </c>
      <c r="D74" s="367">
        <f>C74/C87</f>
        <v>0.4</v>
      </c>
      <c r="E74" s="464"/>
      <c r="F74" s="118">
        <f>C74/C88</f>
        <v>0.75</v>
      </c>
      <c r="G74" s="467"/>
      <c r="I74" s="247" t="s">
        <v>41</v>
      </c>
      <c r="J74" s="257">
        <f>COUNTIFS('1. ALL DATA'!$Y$5:$Y$128,"ENVIRONMENT",'1. ALL DATA'!$M$5:$M$128,"On track to be achieved")</f>
        <v>10</v>
      </c>
      <c r="K74" s="118">
        <f>J74/J87</f>
        <v>0.66666666666666663</v>
      </c>
      <c r="L74" s="481"/>
      <c r="M74" s="118">
        <f>J74/J88</f>
        <v>0.83333333333333337</v>
      </c>
      <c r="N74" s="467"/>
      <c r="P74" s="247" t="s">
        <v>41</v>
      </c>
      <c r="Q74" s="257">
        <f>COUNTIFS('1. ALL DATA'!$Y$5:$Y$128,"ENVIRONMENT",'1. ALL DATA'!$R$5:$R$128,"On track to be achieved")</f>
        <v>10</v>
      </c>
      <c r="R74" s="118">
        <f>Q74/Q87</f>
        <v>0.66666666666666663</v>
      </c>
      <c r="S74" s="481"/>
      <c r="T74" s="118">
        <f>Q74/Q88</f>
        <v>0.66666666666666663</v>
      </c>
      <c r="U74" s="467"/>
      <c r="W74" s="247" t="s">
        <v>79</v>
      </c>
      <c r="X74" s="257">
        <f>COUNTIFS('1. ALL DATA'!$Y$5:$Y$128,"ENVIRONMENT",'1. ALL DATA'!$V$5:$V$128,"Numerical Outturn Within 5% Tolerance")</f>
        <v>1</v>
      </c>
      <c r="Y74" s="118">
        <f>X74/$X$87</f>
        <v>6.6666666666666666E-2</v>
      </c>
      <c r="Z74" s="481"/>
      <c r="AA74" s="118">
        <f>X74/$X$88</f>
        <v>6.6666666666666666E-2</v>
      </c>
      <c r="AB74" s="467"/>
    </row>
    <row r="75" spans="2:28" ht="7.5" customHeight="1" x14ac:dyDescent="0.25">
      <c r="B75" s="167"/>
      <c r="C75" s="260"/>
      <c r="D75" s="192"/>
      <c r="E75" s="192"/>
      <c r="F75" s="69"/>
      <c r="G75" s="169"/>
      <c r="I75" s="167"/>
      <c r="J75" s="260"/>
      <c r="K75" s="69"/>
      <c r="L75" s="69"/>
      <c r="M75" s="69"/>
      <c r="N75" s="169"/>
      <c r="P75" s="167"/>
      <c r="Q75" s="260"/>
      <c r="R75" s="69"/>
      <c r="S75" s="69"/>
      <c r="T75" s="69"/>
      <c r="U75" s="169"/>
      <c r="W75" s="170"/>
      <c r="X75" s="260"/>
      <c r="Y75" s="69"/>
      <c r="Z75" s="69"/>
      <c r="AA75" s="69"/>
      <c r="AB75" s="169"/>
    </row>
    <row r="76" spans="2:28" ht="21" customHeight="1" x14ac:dyDescent="0.25">
      <c r="B76" s="462" t="s">
        <v>26</v>
      </c>
      <c r="C76" s="463">
        <f>COUNTIFS('1. ALL DATA'!$Y$5:$Y$128,"ENVIRONMENT",'1. ALL DATA'!$H$5:$H$128,"In danger of falling behind target")</f>
        <v>0</v>
      </c>
      <c r="D76" s="464">
        <f>C76/C87</f>
        <v>0</v>
      </c>
      <c r="E76" s="464">
        <f>D76</f>
        <v>0</v>
      </c>
      <c r="F76" s="481">
        <f>C76/C88</f>
        <v>0</v>
      </c>
      <c r="G76" s="465">
        <f>F76</f>
        <v>0</v>
      </c>
      <c r="I76" s="462" t="s">
        <v>26</v>
      </c>
      <c r="J76" s="463">
        <f>COUNTIFS('1. ALL DATA'!$Y$5:$Y$128,"ENVIRONMENT",'1. ALL DATA'!$M$5:$M$128,"In danger of falling behind target")</f>
        <v>0</v>
      </c>
      <c r="K76" s="481">
        <f>J76/J87</f>
        <v>0</v>
      </c>
      <c r="L76" s="481">
        <f>K76</f>
        <v>0</v>
      </c>
      <c r="M76" s="481">
        <f>J76/J88</f>
        <v>0</v>
      </c>
      <c r="N76" s="465">
        <f>M76</f>
        <v>0</v>
      </c>
      <c r="P76" s="462" t="s">
        <v>26</v>
      </c>
      <c r="Q76" s="463">
        <f>COUNTIFS('1. ALL DATA'!$Y$5:$Y$128,"ENVIRONMENT",'1. ALL DATA'!$R$5:$R$128,"In danger of falling behind target")</f>
        <v>1</v>
      </c>
      <c r="R76" s="481">
        <f>Q76/Q87</f>
        <v>6.6666666666666666E-2</v>
      </c>
      <c r="S76" s="481">
        <f>R76</f>
        <v>6.6666666666666666E-2</v>
      </c>
      <c r="T76" s="481">
        <f>Q76/Q88</f>
        <v>6.6666666666666666E-2</v>
      </c>
      <c r="U76" s="465">
        <f>T76</f>
        <v>6.6666666666666666E-2</v>
      </c>
      <c r="W76" s="249" t="s">
        <v>80</v>
      </c>
      <c r="X76" s="368">
        <f>COUNTIFS('1. ALL DATA'!$Y$5:$Y$128,"ENVIRONMENT",'1. ALL DATA'!$V$5:$V$128,"Numerical Outturn Within 10% Tolerance")</f>
        <v>1</v>
      </c>
      <c r="Y76" s="118">
        <f>X76/$X$87</f>
        <v>6.6666666666666666E-2</v>
      </c>
      <c r="Z76" s="482">
        <f>SUM(Y76:Y79)</f>
        <v>6.6666666666666666E-2</v>
      </c>
      <c r="AA76" s="70">
        <f>X76/$X$88</f>
        <v>6.6666666666666666E-2</v>
      </c>
      <c r="AB76" s="465">
        <f>SUM(AA76:AA79)</f>
        <v>6.6666666666666666E-2</v>
      </c>
    </row>
    <row r="77" spans="2:28" ht="18.75" customHeight="1" x14ac:dyDescent="0.25">
      <c r="B77" s="462"/>
      <c r="C77" s="463"/>
      <c r="D77" s="464"/>
      <c r="E77" s="464"/>
      <c r="F77" s="481"/>
      <c r="G77" s="465"/>
      <c r="I77" s="462"/>
      <c r="J77" s="463"/>
      <c r="K77" s="481"/>
      <c r="L77" s="481"/>
      <c r="M77" s="481"/>
      <c r="N77" s="465"/>
      <c r="P77" s="462"/>
      <c r="Q77" s="463"/>
      <c r="R77" s="481"/>
      <c r="S77" s="481"/>
      <c r="T77" s="481"/>
      <c r="U77" s="465"/>
      <c r="W77" s="249" t="s">
        <v>81</v>
      </c>
      <c r="X77" s="368">
        <f>COUNTIFS('1. ALL DATA'!$Y$5:$Y$128,"ENVIRONMENT",'1. ALL DATA'!$V$5:$V$128,"Target Partially Met")</f>
        <v>0</v>
      </c>
      <c r="Y77" s="118">
        <f>X77/$X$87</f>
        <v>0</v>
      </c>
      <c r="Z77" s="483"/>
      <c r="AA77" s="70">
        <f>X77/$X$88</f>
        <v>0</v>
      </c>
      <c r="AB77" s="465"/>
    </row>
    <row r="78" spans="2:28" ht="20.25" customHeight="1" x14ac:dyDescent="0.25">
      <c r="B78" s="462"/>
      <c r="C78" s="463"/>
      <c r="D78" s="464"/>
      <c r="E78" s="464"/>
      <c r="F78" s="481"/>
      <c r="G78" s="465"/>
      <c r="I78" s="462"/>
      <c r="J78" s="463"/>
      <c r="K78" s="481"/>
      <c r="L78" s="481"/>
      <c r="M78" s="481"/>
      <c r="N78" s="465"/>
      <c r="P78" s="462"/>
      <c r="Q78" s="463"/>
      <c r="R78" s="481"/>
      <c r="S78" s="481"/>
      <c r="T78" s="481"/>
      <c r="U78" s="465"/>
      <c r="W78" s="249" t="s">
        <v>83</v>
      </c>
      <c r="X78" s="368">
        <f>COUNTIFS('1. ALL DATA'!$Y$5:$Y$128,"ENVIRONMENT",'1. ALL DATA'!$V$5:$V$128,"Completion Date Within Reasonable Tolerance")</f>
        <v>0</v>
      </c>
      <c r="Y78" s="118">
        <f>X78/$X$87</f>
        <v>0</v>
      </c>
      <c r="Z78" s="484"/>
      <c r="AA78" s="70">
        <f>X78/$X$88</f>
        <v>0</v>
      </c>
      <c r="AB78" s="465"/>
    </row>
    <row r="79" spans="2:28" ht="6" customHeight="1" x14ac:dyDescent="0.25">
      <c r="B79" s="167"/>
      <c r="C79" s="54"/>
      <c r="D79" s="192"/>
      <c r="E79" s="192"/>
      <c r="F79" s="69"/>
      <c r="G79" s="169"/>
      <c r="I79" s="167"/>
      <c r="J79" s="54"/>
      <c r="K79" s="69"/>
      <c r="L79" s="69"/>
      <c r="M79" s="69"/>
      <c r="N79" s="169"/>
      <c r="P79" s="167"/>
      <c r="Q79" s="54"/>
      <c r="R79" s="69"/>
      <c r="S79" s="69"/>
      <c r="T79" s="69"/>
      <c r="U79" s="169"/>
      <c r="W79" s="170"/>
      <c r="X79" s="54"/>
      <c r="Y79" s="69"/>
      <c r="Z79" s="69"/>
      <c r="AA79" s="69"/>
      <c r="AB79" s="169"/>
    </row>
    <row r="80" spans="2:28" ht="30" customHeight="1" x14ac:dyDescent="0.25">
      <c r="B80" s="248" t="s">
        <v>42</v>
      </c>
      <c r="C80" s="257">
        <f>COUNTIFS('1. ALL DATA'!$Y$5:$Y$128,"ENVIRONMENT",'1. ALL DATA'!$H$5:$H$128,"Completed behind schedule")</f>
        <v>0</v>
      </c>
      <c r="D80" s="367">
        <f>C80/C87</f>
        <v>0</v>
      </c>
      <c r="E80" s="464">
        <f>D80+D81</f>
        <v>6.6666666666666666E-2</v>
      </c>
      <c r="F80" s="118">
        <f>C80/C88</f>
        <v>0</v>
      </c>
      <c r="G80" s="480">
        <f>F80+F81</f>
        <v>0.125</v>
      </c>
      <c r="I80" s="248" t="s">
        <v>42</v>
      </c>
      <c r="J80" s="257">
        <f>COUNTIFS('1. ALL DATA'!$Y$5:$Y$128,"ENVIRONMENT",'1. ALL DATA'!$M$5:$M$128,"Completed behind schedule")</f>
        <v>0</v>
      </c>
      <c r="K80" s="118">
        <f>J80/J87</f>
        <v>0</v>
      </c>
      <c r="L80" s="481">
        <f>K80+K81</f>
        <v>6.6666666666666666E-2</v>
      </c>
      <c r="M80" s="118">
        <f>J80/J88</f>
        <v>0</v>
      </c>
      <c r="N80" s="480">
        <f>M80+M81</f>
        <v>8.3333333333333329E-2</v>
      </c>
      <c r="P80" s="248" t="s">
        <v>42</v>
      </c>
      <c r="Q80" s="257">
        <f>COUNTIFS('1. ALL DATA'!$Y$5:$Y$128,"ENVIRONMENT",'1. ALL DATA'!$R$5:$R$128,"Completed behind schedule")</f>
        <v>0</v>
      </c>
      <c r="R80" s="118">
        <f>Q80/Q87</f>
        <v>0</v>
      </c>
      <c r="S80" s="481">
        <f>R80+R81</f>
        <v>6.6666666666666666E-2</v>
      </c>
      <c r="T80" s="118">
        <f>Q80/Q88</f>
        <v>0</v>
      </c>
      <c r="U80" s="480">
        <f>T80+T81</f>
        <v>6.6666666666666666E-2</v>
      </c>
      <c r="W80" s="248" t="s">
        <v>82</v>
      </c>
      <c r="X80" s="257">
        <f>COUNTIFS('1. ALL DATA'!$Y$5:$Y$128,"ENVIRONMENT",'1. ALL DATA'!$V$5:$V$128,"Completed Significantly After Target Deadline")</f>
        <v>0</v>
      </c>
      <c r="Y80" s="118">
        <f>X80/$X$87</f>
        <v>0</v>
      </c>
      <c r="Z80" s="481">
        <f>Y80+Y81</f>
        <v>6.6666666666666666E-2</v>
      </c>
      <c r="AA80" s="118">
        <f>X80/$X$88</f>
        <v>0</v>
      </c>
      <c r="AB80" s="480">
        <f>AA80+AA81</f>
        <v>6.6666666666666666E-2</v>
      </c>
    </row>
    <row r="81" spans="2:28" ht="30" customHeight="1" x14ac:dyDescent="0.25">
      <c r="B81" s="248" t="s">
        <v>27</v>
      </c>
      <c r="C81" s="257">
        <f>COUNTIFS('1. ALL DATA'!$Y$5:$Y$128,"ENVIRONMENT",'1. ALL DATA'!$H$5:$H$128,"Off target")</f>
        <v>1</v>
      </c>
      <c r="D81" s="367">
        <f>C81/C87</f>
        <v>6.6666666666666666E-2</v>
      </c>
      <c r="E81" s="464"/>
      <c r="F81" s="118">
        <f>C81/C88</f>
        <v>0.125</v>
      </c>
      <c r="G81" s="480"/>
      <c r="I81" s="248" t="s">
        <v>27</v>
      </c>
      <c r="J81" s="257">
        <f>COUNTIFS('1. ALL DATA'!$Y$5:$Y$128,"ENVIRONMENT",'1. ALL DATA'!$M$5:$M$128,"Off target")</f>
        <v>1</v>
      </c>
      <c r="K81" s="118">
        <f>J81/J87</f>
        <v>6.6666666666666666E-2</v>
      </c>
      <c r="L81" s="481"/>
      <c r="M81" s="118">
        <f>J81/J88</f>
        <v>8.3333333333333329E-2</v>
      </c>
      <c r="N81" s="480"/>
      <c r="P81" s="248" t="s">
        <v>27</v>
      </c>
      <c r="Q81" s="257">
        <f>COUNTIFS('1. ALL DATA'!$Y$5:$Y$128,"ENVIRONMENT",'1. ALL DATA'!$R$5:$R$128,"Off target")</f>
        <v>1</v>
      </c>
      <c r="R81" s="118">
        <f>Q81/Q87</f>
        <v>6.6666666666666666E-2</v>
      </c>
      <c r="S81" s="481"/>
      <c r="T81" s="118">
        <f>Q81/Q88</f>
        <v>6.6666666666666666E-2</v>
      </c>
      <c r="U81" s="480"/>
      <c r="W81" s="248" t="s">
        <v>27</v>
      </c>
      <c r="X81" s="257">
        <f>COUNTIFS('1. ALL DATA'!$Y$5:$Y$128,"ENVIRONMENT",'1. ALL DATA'!$V$5:$V$128,"Off target")</f>
        <v>1</v>
      </c>
      <c r="Y81" s="118">
        <f>X81/$X$87</f>
        <v>6.6666666666666666E-2</v>
      </c>
      <c r="Z81" s="481"/>
      <c r="AA81" s="118">
        <f>X81/$X$88</f>
        <v>6.6666666666666666E-2</v>
      </c>
      <c r="AB81" s="480"/>
    </row>
    <row r="82" spans="2:28" ht="5.25" customHeight="1" x14ac:dyDescent="0.25">
      <c r="B82" s="51"/>
      <c r="C82" s="260"/>
      <c r="D82" s="192"/>
      <c r="E82" s="192"/>
      <c r="F82" s="69"/>
      <c r="G82" s="90"/>
      <c r="I82" s="51"/>
      <c r="J82" s="260"/>
      <c r="K82" s="69"/>
      <c r="L82" s="69"/>
      <c r="M82" s="69"/>
      <c r="N82" s="90"/>
      <c r="P82" s="51"/>
      <c r="Q82" s="260"/>
      <c r="R82" s="69"/>
      <c r="S82" s="69"/>
      <c r="T82" s="69"/>
      <c r="U82" s="90"/>
      <c r="W82" s="250"/>
      <c r="X82" s="260"/>
      <c r="Y82" s="71"/>
      <c r="Z82" s="71"/>
      <c r="AA82" s="72"/>
      <c r="AB82" s="238"/>
    </row>
    <row r="83" spans="2:28" ht="15.75" customHeight="1" x14ac:dyDescent="0.25">
      <c r="B83" s="46" t="s">
        <v>1</v>
      </c>
      <c r="C83" s="269">
        <f>COUNTIFS('1. ALL DATA'!$Y$5:$Y$128,"ENVIRONMENT",'1. ALL DATA'!$H$5:$H$128,"Not yet due")</f>
        <v>7</v>
      </c>
      <c r="D83" s="252">
        <f>C83/C87</f>
        <v>0.46666666666666667</v>
      </c>
      <c r="E83" s="252">
        <f>D83</f>
        <v>0.46666666666666667</v>
      </c>
      <c r="F83" s="74"/>
      <c r="G83" s="45"/>
      <c r="I83" s="46" t="s">
        <v>1</v>
      </c>
      <c r="J83" s="269">
        <f>COUNTIFS('1. ALL DATA'!$Y$5:$Y$128,"ENVIRONMENT",'1. ALL DATA'!$M$5:$M$128,"Not yet due")</f>
        <v>3</v>
      </c>
      <c r="K83" s="73">
        <f>J83/J87</f>
        <v>0.2</v>
      </c>
      <c r="L83" s="73">
        <f>K83</f>
        <v>0.2</v>
      </c>
      <c r="M83" s="74"/>
      <c r="N83" s="45"/>
      <c r="P83" s="46" t="s">
        <v>1</v>
      </c>
      <c r="Q83" s="269">
        <f>COUNTIFS('1. ALL DATA'!$Y$5:$Y$128,"ENVIRONMENT",'1. ALL DATA'!$R$5:$R$128,"Not yet due")</f>
        <v>0</v>
      </c>
      <c r="R83" s="73">
        <f>Q83/Q87</f>
        <v>0</v>
      </c>
      <c r="S83" s="73">
        <f>R83</f>
        <v>0</v>
      </c>
      <c r="T83" s="74"/>
      <c r="U83" s="91"/>
      <c r="W83" s="60" t="s">
        <v>1</v>
      </c>
      <c r="X83" s="269">
        <f>COUNTIFS('1. ALL DATA'!$Y$5:$Y$128,"ENVIRONMENT",'1. ALL DATA'!$V$5:$V$128,"Not yet due")</f>
        <v>0</v>
      </c>
      <c r="Y83" s="73">
        <f>X83/$X$87</f>
        <v>0</v>
      </c>
      <c r="Z83" s="73">
        <f>Y83</f>
        <v>0</v>
      </c>
      <c r="AA83" s="74"/>
      <c r="AB83" s="235"/>
    </row>
    <row r="84" spans="2:28" ht="15.75" customHeight="1" x14ac:dyDescent="0.25">
      <c r="B84" s="46" t="s">
        <v>46</v>
      </c>
      <c r="C84" s="269">
        <f>COUNTIFS('1. ALL DATA'!$Y$5:$Y$128,"ENVIRONMENT",'1. ALL DATA'!$H$5:$H$128,"Update not provided")</f>
        <v>0</v>
      </c>
      <c r="D84" s="252">
        <f>C84/C87</f>
        <v>0</v>
      </c>
      <c r="E84" s="252">
        <f>D84</f>
        <v>0</v>
      </c>
      <c r="F84" s="74"/>
      <c r="G84" s="96"/>
      <c r="I84" s="46" t="s">
        <v>46</v>
      </c>
      <c r="J84" s="269">
        <f>COUNTIFS('1. ALL DATA'!$Y$5:$Y$128,"ENVIRONMENT",'1. ALL DATA'!$M$5:$M$128,"Update not provided")</f>
        <v>0</v>
      </c>
      <c r="K84" s="73">
        <f>J84/J87</f>
        <v>0</v>
      </c>
      <c r="L84" s="73">
        <f>K84</f>
        <v>0</v>
      </c>
      <c r="M84" s="74"/>
      <c r="N84" s="96"/>
      <c r="P84" s="46" t="s">
        <v>46</v>
      </c>
      <c r="Q84" s="269">
        <f>COUNTIFS('1. ALL DATA'!$Y$5:$Y$128,"ENVIRONMENT",'1. ALL DATA'!$R$5:$R$128,"Update not provided")</f>
        <v>0</v>
      </c>
      <c r="R84" s="73">
        <f>Q84/Q87</f>
        <v>0</v>
      </c>
      <c r="S84" s="73">
        <f>R84</f>
        <v>0</v>
      </c>
      <c r="T84" s="74"/>
      <c r="U84" s="92"/>
      <c r="W84" s="62" t="s">
        <v>46</v>
      </c>
      <c r="X84" s="269">
        <f>COUNTIFS('1. ALL DATA'!$Y$5:$Y$128,"ENVIRONMENT",'1. ALL DATA'!$V$5:$V$128,"Update not provided")</f>
        <v>0</v>
      </c>
      <c r="Y84" s="73">
        <f>X84/$X$87</f>
        <v>0</v>
      </c>
      <c r="Z84" s="73">
        <f>Y84</f>
        <v>0</v>
      </c>
      <c r="AA84" s="74"/>
    </row>
    <row r="85" spans="2:28" ht="15.75" customHeight="1" x14ac:dyDescent="0.25">
      <c r="B85" s="47" t="s">
        <v>22</v>
      </c>
      <c r="C85" s="269">
        <f>COUNTIFS('1. ALL DATA'!$Y$5:$Y$128,"ENVIRONMENT",'1. ALL DATA'!$H$5:$H$128,"Deferred")</f>
        <v>0</v>
      </c>
      <c r="D85" s="253">
        <f>C85/C87</f>
        <v>0</v>
      </c>
      <c r="E85" s="253">
        <f>D85</f>
        <v>0</v>
      </c>
      <c r="F85" s="75"/>
      <c r="G85" s="45"/>
      <c r="I85" s="47" t="s">
        <v>22</v>
      </c>
      <c r="J85" s="269">
        <f>COUNTIFS('1. ALL DATA'!$Y$5:$Y$128,"ENVIRONMENT",'1. ALL DATA'!$M$5:$M$128,"Deferred")</f>
        <v>0</v>
      </c>
      <c r="K85" s="76">
        <f>J85/J87</f>
        <v>0</v>
      </c>
      <c r="L85" s="76">
        <f>K85</f>
        <v>0</v>
      </c>
      <c r="M85" s="75"/>
      <c r="N85" s="45"/>
      <c r="P85" s="47" t="s">
        <v>22</v>
      </c>
      <c r="Q85" s="269">
        <f>COUNTIFS('1. ALL DATA'!$Y$5:$Y$128,"ENVIRONMENT",'1. ALL DATA'!$R$5:$R$128,"Deferred")</f>
        <v>0</v>
      </c>
      <c r="R85" s="76">
        <f>Q85/Q87</f>
        <v>0</v>
      </c>
      <c r="S85" s="76">
        <f>R85</f>
        <v>0</v>
      </c>
      <c r="T85" s="75"/>
      <c r="U85" s="91"/>
      <c r="W85" s="47" t="s">
        <v>22</v>
      </c>
      <c r="X85" s="269">
        <f>COUNTIFS('1. ALL DATA'!$Y$5:$Y$128,"ENVIRONMENT",'1. ALL DATA'!$V$5:$V$128,"Deferred")</f>
        <v>0</v>
      </c>
      <c r="Y85" s="76">
        <f>X85/$X$87</f>
        <v>0</v>
      </c>
      <c r="Z85" s="76">
        <f>Y85</f>
        <v>0</v>
      </c>
      <c r="AA85" s="75"/>
      <c r="AB85" s="235"/>
    </row>
    <row r="86" spans="2:28" ht="15.75" customHeight="1" x14ac:dyDescent="0.25">
      <c r="B86" s="47" t="s">
        <v>28</v>
      </c>
      <c r="C86" s="269">
        <f>COUNTIFS('1. ALL DATA'!$Y$5:$Y$128,"ENVIRONMENT",'1. ALL DATA'!$H$5:$H$128,"Deleted")</f>
        <v>0</v>
      </c>
      <c r="D86" s="253">
        <f>C86/C87</f>
        <v>0</v>
      </c>
      <c r="E86" s="253">
        <f>D86</f>
        <v>0</v>
      </c>
      <c r="F86" s="75"/>
      <c r="G86" s="89" t="s">
        <v>62</v>
      </c>
      <c r="I86" s="47" t="s">
        <v>28</v>
      </c>
      <c r="J86" s="269">
        <f>COUNTIFS('1. ALL DATA'!$Y$5:$Y$128,"ENVIRONMENT",'1. ALL DATA'!$M$5:$M$128,"Deleted")</f>
        <v>0</v>
      </c>
      <c r="K86" s="76">
        <f>J86/J87</f>
        <v>0</v>
      </c>
      <c r="L86" s="76">
        <f>K86</f>
        <v>0</v>
      </c>
      <c r="M86" s="75"/>
      <c r="N86" s="89" t="s">
        <v>62</v>
      </c>
      <c r="P86" s="47" t="s">
        <v>28</v>
      </c>
      <c r="Q86" s="269">
        <f>COUNTIFS('1. ALL DATA'!$Y$5:$Y$128,"ENVIRONMENT",'1. ALL DATA'!$R$5:$R$128,"Deleted")</f>
        <v>0</v>
      </c>
      <c r="R86" s="76">
        <f>Q86/Q87</f>
        <v>0</v>
      </c>
      <c r="S86" s="76">
        <f>R86</f>
        <v>0</v>
      </c>
      <c r="T86" s="75"/>
      <c r="U86" s="89" t="s">
        <v>62</v>
      </c>
      <c r="W86" s="47" t="s">
        <v>28</v>
      </c>
      <c r="X86" s="269">
        <f>COUNTIFS('1. ALL DATA'!$Y$5:$Y$128,"ENVIRONMENT",'1. ALL DATA'!$V$5:$V$128,"Deleted")</f>
        <v>0</v>
      </c>
      <c r="Y86" s="76">
        <f>X86/$X$87</f>
        <v>0</v>
      </c>
      <c r="Z86" s="76">
        <f>Y86</f>
        <v>0</v>
      </c>
      <c r="AA86" s="75"/>
      <c r="AB86" s="89" t="s">
        <v>62</v>
      </c>
    </row>
    <row r="87" spans="2:28" ht="15.75" customHeight="1" x14ac:dyDescent="0.25">
      <c r="B87" s="48" t="s">
        <v>30</v>
      </c>
      <c r="C87" s="271">
        <f>SUM(C73:C86)</f>
        <v>15</v>
      </c>
      <c r="D87" s="44"/>
      <c r="E87" s="44"/>
      <c r="F87" s="50"/>
      <c r="G87" s="45"/>
      <c r="I87" s="48" t="s">
        <v>30</v>
      </c>
      <c r="J87" s="271">
        <f>SUM(J73:J86)</f>
        <v>15</v>
      </c>
      <c r="K87" s="75"/>
      <c r="L87" s="75"/>
      <c r="M87" s="50"/>
      <c r="N87" s="45"/>
      <c r="P87" s="48" t="s">
        <v>30</v>
      </c>
      <c r="Q87" s="271">
        <f>SUM(Q73:Q86)</f>
        <v>15</v>
      </c>
      <c r="R87" s="75"/>
      <c r="S87" s="75"/>
      <c r="T87" s="50"/>
      <c r="U87" s="91"/>
      <c r="W87" s="48" t="s">
        <v>30</v>
      </c>
      <c r="X87" s="271">
        <f>SUM(X73:X86)</f>
        <v>15</v>
      </c>
      <c r="Y87" s="75"/>
      <c r="Z87" s="75"/>
      <c r="AA87" s="50"/>
      <c r="AB87" s="235"/>
    </row>
    <row r="88" spans="2:28" ht="15.75" customHeight="1" x14ac:dyDescent="0.25">
      <c r="B88" s="48" t="s">
        <v>31</v>
      </c>
      <c r="C88" s="271">
        <f>C87-C86-C85-C84-C83</f>
        <v>8</v>
      </c>
      <c r="D88" s="45"/>
      <c r="E88" s="45"/>
      <c r="F88" s="50"/>
      <c r="G88" s="45"/>
      <c r="I88" s="48" t="s">
        <v>31</v>
      </c>
      <c r="J88" s="271">
        <f>J87-J86-J85-J84-J83</f>
        <v>12</v>
      </c>
      <c r="K88" s="50"/>
      <c r="L88" s="50"/>
      <c r="M88" s="50"/>
      <c r="N88" s="45"/>
      <c r="P88" s="48" t="s">
        <v>31</v>
      </c>
      <c r="Q88" s="271">
        <f>Q87-Q86-Q85-Q84-Q83</f>
        <v>15</v>
      </c>
      <c r="R88" s="50"/>
      <c r="S88" s="50"/>
      <c r="T88" s="50"/>
      <c r="U88" s="91"/>
      <c r="W88" s="48" t="s">
        <v>31</v>
      </c>
      <c r="X88" s="271">
        <f>X87-X86-X85-X84-X83</f>
        <v>15</v>
      </c>
      <c r="Y88" s="50"/>
      <c r="Z88" s="50"/>
      <c r="AA88" s="50"/>
      <c r="AB88" s="235"/>
    </row>
    <row r="89" spans="2:28" ht="15.75" customHeight="1" x14ac:dyDescent="0.25">
      <c r="W89" s="63"/>
      <c r="Y89" s="61"/>
      <c r="Z89" s="61"/>
      <c r="AA89" s="50"/>
      <c r="AB89" s="235"/>
    </row>
    <row r="90" spans="2:28" ht="15.75" customHeight="1" x14ac:dyDescent="0.25"/>
    <row r="91" spans="2:28" s="61" customFormat="1" ht="15.75" customHeight="1" x14ac:dyDescent="0.25">
      <c r="B91" s="63"/>
      <c r="C91" s="1"/>
      <c r="D91" s="1"/>
      <c r="E91" s="1"/>
      <c r="F91" s="50"/>
      <c r="G91" s="1"/>
      <c r="I91" s="63"/>
      <c r="J91" s="1"/>
      <c r="M91" s="50"/>
      <c r="N91" s="1"/>
      <c r="P91" s="63"/>
      <c r="Q91" s="1"/>
      <c r="T91" s="50"/>
      <c r="U91" s="88"/>
      <c r="X91" s="1"/>
      <c r="AB91" s="235"/>
    </row>
    <row r="92" spans="2:28" s="61" customFormat="1" ht="15.75" x14ac:dyDescent="0.25">
      <c r="B92" s="317" t="s">
        <v>240</v>
      </c>
      <c r="C92" s="370"/>
      <c r="D92" s="370"/>
      <c r="E92" s="370"/>
      <c r="F92" s="309"/>
      <c r="G92" s="310"/>
      <c r="I92" s="317" t="s">
        <v>240</v>
      </c>
      <c r="J92" s="370"/>
      <c r="K92" s="309"/>
      <c r="L92" s="309"/>
      <c r="M92" s="309"/>
      <c r="N92" s="310"/>
      <c r="P92" s="317" t="s">
        <v>240</v>
      </c>
      <c r="Q92" s="370"/>
      <c r="R92" s="309"/>
      <c r="S92" s="309"/>
      <c r="T92" s="309"/>
      <c r="U92" s="310"/>
      <c r="W92" s="317" t="s">
        <v>240</v>
      </c>
      <c r="X92" s="370"/>
      <c r="Y92" s="309"/>
      <c r="Z92" s="309"/>
      <c r="AA92" s="309"/>
      <c r="AB92" s="310"/>
    </row>
    <row r="93" spans="2:28" ht="36" customHeight="1" x14ac:dyDescent="0.25">
      <c r="B93" s="311" t="s">
        <v>23</v>
      </c>
      <c r="C93" s="312" t="s">
        <v>24</v>
      </c>
      <c r="D93" s="312" t="s">
        <v>18</v>
      </c>
      <c r="E93" s="312" t="s">
        <v>48</v>
      </c>
      <c r="F93" s="311" t="s">
        <v>29</v>
      </c>
      <c r="G93" s="312" t="s">
        <v>49</v>
      </c>
      <c r="I93" s="311" t="s">
        <v>23</v>
      </c>
      <c r="J93" s="312" t="s">
        <v>24</v>
      </c>
      <c r="K93" s="311" t="s">
        <v>18</v>
      </c>
      <c r="L93" s="311" t="s">
        <v>48</v>
      </c>
      <c r="M93" s="311" t="s">
        <v>29</v>
      </c>
      <c r="N93" s="312" t="s">
        <v>49</v>
      </c>
      <c r="P93" s="311" t="s">
        <v>23</v>
      </c>
      <c r="Q93" s="312" t="s">
        <v>24</v>
      </c>
      <c r="R93" s="311" t="s">
        <v>18</v>
      </c>
      <c r="S93" s="311" t="s">
        <v>48</v>
      </c>
      <c r="T93" s="311" t="s">
        <v>29</v>
      </c>
      <c r="U93" s="313" t="s">
        <v>49</v>
      </c>
      <c r="W93" s="311" t="s">
        <v>23</v>
      </c>
      <c r="X93" s="312" t="s">
        <v>24</v>
      </c>
      <c r="Y93" s="311" t="s">
        <v>18</v>
      </c>
      <c r="Z93" s="311" t="s">
        <v>48</v>
      </c>
      <c r="AA93" s="311" t="s">
        <v>29</v>
      </c>
      <c r="AB93" s="314" t="s">
        <v>49</v>
      </c>
    </row>
    <row r="94" spans="2:28" s="61" customFormat="1" ht="7.5" customHeight="1" x14ac:dyDescent="0.25">
      <c r="B94" s="167"/>
      <c r="C94" s="177"/>
      <c r="D94" s="177"/>
      <c r="E94" s="177"/>
      <c r="F94" s="167"/>
      <c r="G94" s="177"/>
      <c r="I94" s="167"/>
      <c r="J94" s="177"/>
      <c r="K94" s="167"/>
      <c r="L94" s="167"/>
      <c r="M94" s="167"/>
      <c r="N94" s="177"/>
      <c r="P94" s="167"/>
      <c r="Q94" s="177"/>
      <c r="R94" s="167"/>
      <c r="S94" s="167"/>
      <c r="T94" s="167"/>
      <c r="U94" s="178"/>
      <c r="W94" s="167"/>
      <c r="X94" s="177"/>
      <c r="Y94" s="167"/>
      <c r="Z94" s="167"/>
      <c r="AA94" s="167"/>
      <c r="AB94" s="232"/>
    </row>
    <row r="95" spans="2:28" ht="18.75" customHeight="1" x14ac:dyDescent="0.25">
      <c r="B95" s="247" t="s">
        <v>45</v>
      </c>
      <c r="C95" s="257">
        <f>COUNTIFS('1. ALL DATA'!$Y$5:$Y$128,"PLANNING",'1. ALL DATA'!$H$5:$H$128,"Fully Achieved")</f>
        <v>5</v>
      </c>
      <c r="D95" s="367">
        <f>C95/C109</f>
        <v>0.25</v>
      </c>
      <c r="E95" s="464">
        <f>D95+D96</f>
        <v>0.8</v>
      </c>
      <c r="F95" s="118">
        <f>C95/C110</f>
        <v>0.3125</v>
      </c>
      <c r="G95" s="467">
        <f>F95+F96</f>
        <v>1</v>
      </c>
      <c r="I95" s="247" t="s">
        <v>45</v>
      </c>
      <c r="J95" s="257">
        <f>COUNTIFS('1. ALL DATA'!$Y$5:$Y$128,"PLANNING",'1. ALL DATA'!$M$5:$M$128,"Fully Achieved")</f>
        <v>7</v>
      </c>
      <c r="K95" s="118">
        <f>J95/J109</f>
        <v>0.35</v>
      </c>
      <c r="L95" s="481">
        <f>K95+K96</f>
        <v>1</v>
      </c>
      <c r="M95" s="118">
        <f>J95/J110</f>
        <v>0.35</v>
      </c>
      <c r="N95" s="467">
        <f>M95+M96</f>
        <v>1</v>
      </c>
      <c r="P95" s="247" t="s">
        <v>45</v>
      </c>
      <c r="Q95" s="257">
        <f>COUNTIFS('1. ALL DATA'!$Y$5:$Y$128,"PLANNING",'1. ALL DATA'!$R$5:$R$128,"Fully Achieved")</f>
        <v>12</v>
      </c>
      <c r="R95" s="118">
        <f>Q95/Q109</f>
        <v>0.6</v>
      </c>
      <c r="S95" s="481">
        <f>R95+R96</f>
        <v>1</v>
      </c>
      <c r="T95" s="118">
        <f>Q95/Q110</f>
        <v>0.6</v>
      </c>
      <c r="U95" s="467">
        <f>T95+T96</f>
        <v>1</v>
      </c>
      <c r="W95" s="247" t="s">
        <v>40</v>
      </c>
      <c r="X95" s="257">
        <f>COUNTIFS('1. ALL DATA'!$Y$5:$Y$128,"PLANNING",'1. ALL DATA'!$V$5:$V$128,"Fully Achieved")</f>
        <v>20</v>
      </c>
      <c r="Y95" s="118">
        <f>X95/$X$109</f>
        <v>1</v>
      </c>
      <c r="Z95" s="481">
        <f>Y95+Y96</f>
        <v>1</v>
      </c>
      <c r="AA95" s="118">
        <f>X95/$X$110</f>
        <v>1</v>
      </c>
      <c r="AB95" s="467">
        <f>AA95+AA96</f>
        <v>1</v>
      </c>
    </row>
    <row r="96" spans="2:28" ht="18.75" customHeight="1" x14ac:dyDescent="0.25">
      <c r="B96" s="247" t="s">
        <v>41</v>
      </c>
      <c r="C96" s="257">
        <f>COUNTIFS('1. ALL DATA'!$Y$5:$Y$128,"PLANNING",'1. ALL DATA'!$H$5:$H$128,"On track to be achieved")</f>
        <v>11</v>
      </c>
      <c r="D96" s="367">
        <f>C96/C109</f>
        <v>0.55000000000000004</v>
      </c>
      <c r="E96" s="464"/>
      <c r="F96" s="118">
        <f>C96/C110</f>
        <v>0.6875</v>
      </c>
      <c r="G96" s="467"/>
      <c r="I96" s="247" t="s">
        <v>41</v>
      </c>
      <c r="J96" s="257">
        <f>COUNTIFS('1. ALL DATA'!$Y$5:$Y$128,"PLANNING",'1. ALL DATA'!$M$5:$M$128,"On track to be achieved")</f>
        <v>13</v>
      </c>
      <c r="K96" s="118">
        <f>J96/J109</f>
        <v>0.65</v>
      </c>
      <c r="L96" s="481"/>
      <c r="M96" s="118">
        <f>J96/J110</f>
        <v>0.65</v>
      </c>
      <c r="N96" s="467"/>
      <c r="P96" s="247" t="s">
        <v>41</v>
      </c>
      <c r="Q96" s="257">
        <f>COUNTIFS('1. ALL DATA'!$Y$5:$Y$128,"PLANNING",'1. ALL DATA'!$R$5:$R$128,"On track to be achieved")</f>
        <v>8</v>
      </c>
      <c r="R96" s="118">
        <f>Q96/Q109</f>
        <v>0.4</v>
      </c>
      <c r="S96" s="481"/>
      <c r="T96" s="118">
        <f>Q96/Q110</f>
        <v>0.4</v>
      </c>
      <c r="U96" s="467"/>
      <c r="W96" s="247" t="s">
        <v>79</v>
      </c>
      <c r="X96" s="257">
        <f>COUNTIFS('1. ALL DATA'!$Y$5:$Y$128,"PLANNING",'1. ALL DATA'!$V$5:$V$128,"Numerical Outturn Within 5% Tolerance")</f>
        <v>0</v>
      </c>
      <c r="Y96" s="137">
        <f t="shared" ref="Y96:Y108" si="2">X96/$X$109</f>
        <v>0</v>
      </c>
      <c r="Z96" s="481"/>
      <c r="AA96" s="137">
        <f t="shared" ref="AA96:AA103" si="3">X96/$X$110</f>
        <v>0</v>
      </c>
      <c r="AB96" s="467"/>
    </row>
    <row r="97" spans="2:28" s="61" customFormat="1" ht="6.75" customHeight="1" x14ac:dyDescent="0.25">
      <c r="B97" s="167"/>
      <c r="C97" s="265"/>
      <c r="D97" s="251"/>
      <c r="E97" s="251"/>
      <c r="F97" s="168"/>
      <c r="G97" s="169"/>
      <c r="I97" s="167"/>
      <c r="J97" s="265"/>
      <c r="K97" s="168"/>
      <c r="L97" s="168"/>
      <c r="M97" s="168"/>
      <c r="N97" s="169"/>
      <c r="P97" s="167"/>
      <c r="Q97" s="265"/>
      <c r="R97" s="168"/>
      <c r="S97" s="168"/>
      <c r="T97" s="168"/>
      <c r="U97" s="169"/>
      <c r="W97" s="170"/>
      <c r="X97" s="265"/>
      <c r="Y97" s="316"/>
      <c r="Z97" s="168"/>
      <c r="AA97" s="316"/>
      <c r="AB97" s="169"/>
    </row>
    <row r="98" spans="2:28" ht="16.5" customHeight="1" x14ac:dyDescent="0.25">
      <c r="B98" s="462" t="s">
        <v>26</v>
      </c>
      <c r="C98" s="463">
        <f>COUNTIFS('1. ALL DATA'!$Y$5:$Y$128,"PLANNING",'1. ALL DATA'!$H$5:$H$128,"In danger of falling behind target")</f>
        <v>0</v>
      </c>
      <c r="D98" s="464">
        <f>C98/C109</f>
        <v>0</v>
      </c>
      <c r="E98" s="464">
        <f>D98</f>
        <v>0</v>
      </c>
      <c r="F98" s="481">
        <f>C98/C110</f>
        <v>0</v>
      </c>
      <c r="G98" s="465">
        <f>F98</f>
        <v>0</v>
      </c>
      <c r="I98" s="462" t="s">
        <v>26</v>
      </c>
      <c r="J98" s="463">
        <f>COUNTIFS('1. ALL DATA'!$Y$5:$Y$128,"PLANNING",'1. ALL DATA'!$M$5:$M$128,"In danger of falling behind target")</f>
        <v>0</v>
      </c>
      <c r="K98" s="481">
        <f>J98/J109</f>
        <v>0</v>
      </c>
      <c r="L98" s="481">
        <f>K98</f>
        <v>0</v>
      </c>
      <c r="M98" s="481">
        <f>J98/J110</f>
        <v>0</v>
      </c>
      <c r="N98" s="465">
        <f>M98</f>
        <v>0</v>
      </c>
      <c r="P98" s="462" t="s">
        <v>26</v>
      </c>
      <c r="Q98" s="463">
        <f>COUNTIFS('1. ALL DATA'!$Y$5:$Y$128,"PLANNING",'1. ALL DATA'!$R$5:$R$128,"In danger of falling behind target")</f>
        <v>0</v>
      </c>
      <c r="R98" s="481">
        <f>Q98/Q109</f>
        <v>0</v>
      </c>
      <c r="S98" s="481">
        <f>R98</f>
        <v>0</v>
      </c>
      <c r="T98" s="481">
        <f>Q98/Q110</f>
        <v>0</v>
      </c>
      <c r="U98" s="465">
        <f>T98</f>
        <v>0</v>
      </c>
      <c r="W98" s="249" t="s">
        <v>80</v>
      </c>
      <c r="X98" s="368">
        <f>COUNTIFS('1. ALL DATA'!$Y$5:$Y$128,"PLANNING",'1. ALL DATA'!$V$5:$V$128,"Numerical Outturn Within 10% Tolerance")</f>
        <v>0</v>
      </c>
      <c r="Y98" s="137">
        <f t="shared" si="2"/>
        <v>0</v>
      </c>
      <c r="Z98" s="482">
        <f>SUM(Y98:Y100)</f>
        <v>0</v>
      </c>
      <c r="AA98" s="137">
        <f t="shared" si="3"/>
        <v>0</v>
      </c>
      <c r="AB98" s="465">
        <f>SUM(AA98:AA100)</f>
        <v>0</v>
      </c>
    </row>
    <row r="99" spans="2:28" ht="16.5" customHeight="1" x14ac:dyDescent="0.25">
      <c r="B99" s="462"/>
      <c r="C99" s="463"/>
      <c r="D99" s="464"/>
      <c r="E99" s="464"/>
      <c r="F99" s="481"/>
      <c r="G99" s="465"/>
      <c r="I99" s="462"/>
      <c r="J99" s="463"/>
      <c r="K99" s="481"/>
      <c r="L99" s="481"/>
      <c r="M99" s="481"/>
      <c r="N99" s="465"/>
      <c r="P99" s="462"/>
      <c r="Q99" s="463"/>
      <c r="R99" s="481"/>
      <c r="S99" s="481"/>
      <c r="T99" s="481"/>
      <c r="U99" s="465"/>
      <c r="W99" s="249" t="s">
        <v>81</v>
      </c>
      <c r="X99" s="368">
        <f>COUNTIFS('1. ALL DATA'!$Y$5:$Y$128,"PLANNING",'1. ALL DATA'!$V$5:$V$128,"Target Partially Met")</f>
        <v>0</v>
      </c>
      <c r="Y99" s="137">
        <f t="shared" si="2"/>
        <v>0</v>
      </c>
      <c r="Z99" s="483"/>
      <c r="AA99" s="137">
        <f t="shared" si="3"/>
        <v>0</v>
      </c>
      <c r="AB99" s="465"/>
    </row>
    <row r="100" spans="2:28" ht="16.5" customHeight="1" x14ac:dyDescent="0.25">
      <c r="B100" s="462"/>
      <c r="C100" s="463"/>
      <c r="D100" s="464"/>
      <c r="E100" s="464"/>
      <c r="F100" s="481"/>
      <c r="G100" s="465"/>
      <c r="I100" s="462"/>
      <c r="J100" s="463"/>
      <c r="K100" s="481"/>
      <c r="L100" s="481"/>
      <c r="M100" s="481"/>
      <c r="N100" s="465"/>
      <c r="P100" s="462"/>
      <c r="Q100" s="463"/>
      <c r="R100" s="481"/>
      <c r="S100" s="481"/>
      <c r="T100" s="481"/>
      <c r="U100" s="465"/>
      <c r="W100" s="249" t="s">
        <v>83</v>
      </c>
      <c r="X100" s="368">
        <f>COUNTIFS('1. ALL DATA'!$Y$5:$Y$128,"PLANNING",'1. ALL DATA'!$V$5:$V$128,"Completion Date Within Reasonable Tolerance")</f>
        <v>0</v>
      </c>
      <c r="Y100" s="137">
        <f t="shared" si="2"/>
        <v>0</v>
      </c>
      <c r="Z100" s="484"/>
      <c r="AA100" s="137">
        <f t="shared" si="3"/>
        <v>0</v>
      </c>
      <c r="AB100" s="465"/>
    </row>
    <row r="101" spans="2:28" s="61" customFormat="1" ht="6" customHeight="1" x14ac:dyDescent="0.25">
      <c r="B101" s="167"/>
      <c r="C101" s="177"/>
      <c r="D101" s="251"/>
      <c r="E101" s="251"/>
      <c r="F101" s="168"/>
      <c r="G101" s="169"/>
      <c r="I101" s="167"/>
      <c r="J101" s="177"/>
      <c r="K101" s="168"/>
      <c r="L101" s="168"/>
      <c r="M101" s="168"/>
      <c r="N101" s="169"/>
      <c r="P101" s="167"/>
      <c r="Q101" s="177"/>
      <c r="R101" s="168"/>
      <c r="S101" s="168"/>
      <c r="T101" s="168"/>
      <c r="U101" s="169"/>
      <c r="W101" s="170"/>
      <c r="X101" s="177"/>
      <c r="Y101" s="316"/>
      <c r="Z101" s="168"/>
      <c r="AA101" s="316"/>
      <c r="AB101" s="169"/>
    </row>
    <row r="102" spans="2:28" ht="22.5" customHeight="1" x14ac:dyDescent="0.25">
      <c r="B102" s="248" t="s">
        <v>42</v>
      </c>
      <c r="C102" s="257">
        <f>COUNTIFS('1. ALL DATA'!$Y$5:$Y$128,"PLANNING",'1. ALL DATA'!$H$5:$H$128,"Completed behind schedule")</f>
        <v>0</v>
      </c>
      <c r="D102" s="367">
        <f>C102/C109</f>
        <v>0</v>
      </c>
      <c r="E102" s="464">
        <f>D102+D103</f>
        <v>0</v>
      </c>
      <c r="F102" s="118">
        <f>C102/C110</f>
        <v>0</v>
      </c>
      <c r="G102" s="480">
        <f>F102+F103</f>
        <v>0</v>
      </c>
      <c r="I102" s="248" t="s">
        <v>42</v>
      </c>
      <c r="J102" s="257">
        <f>COUNTIFS('1. ALL DATA'!$Y$5:$Y$128,"PLANNING",'1. ALL DATA'!$M$5:$M$128,"Completed behind schedule")</f>
        <v>0</v>
      </c>
      <c r="K102" s="118">
        <f>J102/J109</f>
        <v>0</v>
      </c>
      <c r="L102" s="481">
        <f>K102+K103</f>
        <v>0</v>
      </c>
      <c r="M102" s="118">
        <f>J102/J110</f>
        <v>0</v>
      </c>
      <c r="N102" s="480">
        <f>M102+M103</f>
        <v>0</v>
      </c>
      <c r="P102" s="248" t="s">
        <v>42</v>
      </c>
      <c r="Q102" s="257">
        <f>COUNTIFS('1. ALL DATA'!$Y$5:$Y$128,"PLANNING",'1. ALL DATA'!$R$5:$R$128,"Completed behind schedule")</f>
        <v>0</v>
      </c>
      <c r="R102" s="118">
        <f>Q102/Q109</f>
        <v>0</v>
      </c>
      <c r="S102" s="481">
        <f>R102+R103</f>
        <v>0</v>
      </c>
      <c r="T102" s="118">
        <f>Q102/Q110</f>
        <v>0</v>
      </c>
      <c r="U102" s="480">
        <f>T102+T103</f>
        <v>0</v>
      </c>
      <c r="W102" s="248" t="s">
        <v>82</v>
      </c>
      <c r="X102" s="257">
        <f>COUNTIFS('1. ALL DATA'!$Y$5:$Y$128,"PLANNING",'1. ALL DATA'!$V$5:$V$128,"Completed Significantly After Target Deadline")</f>
        <v>0</v>
      </c>
      <c r="Y102" s="137">
        <f t="shared" si="2"/>
        <v>0</v>
      </c>
      <c r="Z102" s="481">
        <f>Y102+Y103</f>
        <v>0</v>
      </c>
      <c r="AA102" s="137">
        <f t="shared" si="3"/>
        <v>0</v>
      </c>
      <c r="AB102" s="480">
        <f>AA102+AA103</f>
        <v>0</v>
      </c>
    </row>
    <row r="103" spans="2:28" ht="22.5" customHeight="1" x14ac:dyDescent="0.25">
      <c r="B103" s="248" t="s">
        <v>27</v>
      </c>
      <c r="C103" s="257">
        <f>COUNTIFS('1. ALL DATA'!$Y$5:$Y$128,"PLANNING",'1. ALL DATA'!$H$5:$H$128,"Off target")</f>
        <v>0</v>
      </c>
      <c r="D103" s="367">
        <f>C103/C109</f>
        <v>0</v>
      </c>
      <c r="E103" s="464"/>
      <c r="F103" s="118">
        <f>C103/C110</f>
        <v>0</v>
      </c>
      <c r="G103" s="480"/>
      <c r="I103" s="248" t="s">
        <v>27</v>
      </c>
      <c r="J103" s="257">
        <f>COUNTIFS('1. ALL DATA'!$Y$5:$Y$128,"PLANNING",'1. ALL DATA'!$M$5:$M$128,"Off target")</f>
        <v>0</v>
      </c>
      <c r="K103" s="118">
        <f>J103/J109</f>
        <v>0</v>
      </c>
      <c r="L103" s="481"/>
      <c r="M103" s="118">
        <f>J103/J110</f>
        <v>0</v>
      </c>
      <c r="N103" s="480"/>
      <c r="P103" s="248" t="s">
        <v>27</v>
      </c>
      <c r="Q103" s="257">
        <f>COUNTIFS('1. ALL DATA'!$Y$5:$Y$128,"PLANNING",'1. ALL DATA'!$R$5:$R$128,"Off target")</f>
        <v>0</v>
      </c>
      <c r="R103" s="118">
        <f>Q103/Q109</f>
        <v>0</v>
      </c>
      <c r="S103" s="481"/>
      <c r="T103" s="118">
        <f>Q103/Q110</f>
        <v>0</v>
      </c>
      <c r="U103" s="480"/>
      <c r="W103" s="248" t="s">
        <v>27</v>
      </c>
      <c r="X103" s="257">
        <f>COUNTIFS('1. ALL DATA'!$Y$5:$Y$128,"PLANNING",'1. ALL DATA'!$V$5:$V$128,"Off target")</f>
        <v>0</v>
      </c>
      <c r="Y103" s="137">
        <f t="shared" si="2"/>
        <v>0</v>
      </c>
      <c r="Z103" s="481"/>
      <c r="AA103" s="137">
        <f t="shared" si="3"/>
        <v>0</v>
      </c>
      <c r="AB103" s="480"/>
    </row>
    <row r="104" spans="2:28" s="61" customFormat="1" ht="6.75" customHeight="1" x14ac:dyDescent="0.25">
      <c r="B104" s="167"/>
      <c r="C104" s="265"/>
      <c r="D104" s="251"/>
      <c r="E104" s="251"/>
      <c r="F104" s="168"/>
      <c r="G104" s="172"/>
      <c r="I104" s="167"/>
      <c r="J104" s="265"/>
      <c r="K104" s="168"/>
      <c r="L104" s="168"/>
      <c r="M104" s="168"/>
      <c r="N104" s="172"/>
      <c r="P104" s="167"/>
      <c r="Q104" s="265"/>
      <c r="R104" s="168"/>
      <c r="S104" s="168"/>
      <c r="T104" s="168"/>
      <c r="U104" s="172"/>
      <c r="W104" s="318"/>
      <c r="X104" s="265"/>
      <c r="Y104" s="316"/>
      <c r="Z104" s="173"/>
      <c r="AA104" s="174"/>
      <c r="AB104" s="233"/>
    </row>
    <row r="105" spans="2:28" ht="15.75" customHeight="1" x14ac:dyDescent="0.25">
      <c r="B105" s="46" t="s">
        <v>1</v>
      </c>
      <c r="C105" s="269">
        <f>COUNTIFS('1. ALL DATA'!$Y$5:$Y$128,"PLANNING",'1. ALL DATA'!$H$5:$H$128,"Not yet due")</f>
        <v>4</v>
      </c>
      <c r="D105" s="252">
        <f>C105/C109</f>
        <v>0.2</v>
      </c>
      <c r="E105" s="252">
        <f>D105</f>
        <v>0.2</v>
      </c>
      <c r="F105" s="74"/>
      <c r="G105" s="45"/>
      <c r="I105" s="46" t="s">
        <v>1</v>
      </c>
      <c r="J105" s="269">
        <f>COUNTIFS('1. ALL DATA'!$Y$5:$Y$128,"PLANNING",'1. ALL DATA'!$M$5:$M$128,"Not yet due")</f>
        <v>0</v>
      </c>
      <c r="K105" s="73">
        <f>J105/J109</f>
        <v>0</v>
      </c>
      <c r="L105" s="73">
        <f>K105</f>
        <v>0</v>
      </c>
      <c r="M105" s="74"/>
      <c r="N105" s="45"/>
      <c r="P105" s="46" t="s">
        <v>1</v>
      </c>
      <c r="Q105" s="269">
        <f>COUNTIFS('1. ALL DATA'!$Y$5:$Y$128,"PLANNING",'1. ALL DATA'!$R$5:$R$128,"Not yet due")</f>
        <v>0</v>
      </c>
      <c r="R105" s="73">
        <f>Q105/Q109</f>
        <v>0</v>
      </c>
      <c r="S105" s="73">
        <f>R105</f>
        <v>0</v>
      </c>
      <c r="T105" s="74"/>
      <c r="U105" s="91"/>
      <c r="W105" s="60" t="s">
        <v>1</v>
      </c>
      <c r="X105" s="269">
        <f>COUNTIFS('1. ALL DATA'!$Y$5:$Y$128,"PLANNING",'1. ALL DATA'!$V$5:$V$128,"Not yet due")</f>
        <v>0</v>
      </c>
      <c r="Y105" s="137">
        <f t="shared" si="2"/>
        <v>0</v>
      </c>
      <c r="Z105" s="73">
        <f>Y105</f>
        <v>0</v>
      </c>
      <c r="AA105" s="74"/>
      <c r="AB105" s="235"/>
    </row>
    <row r="106" spans="2:28" ht="15.75" customHeight="1" x14ac:dyDescent="0.25">
      <c r="B106" s="46" t="s">
        <v>46</v>
      </c>
      <c r="C106" s="269">
        <f>COUNTIFS('1. ALL DATA'!$Y$5:$Y$128,"PLANNING",'1. ALL DATA'!$H$5:$H$128,"Update not provided")</f>
        <v>0</v>
      </c>
      <c r="D106" s="252">
        <f>C106/C109</f>
        <v>0</v>
      </c>
      <c r="E106" s="252">
        <f>D106</f>
        <v>0</v>
      </c>
      <c r="F106" s="74"/>
      <c r="G106" s="96"/>
      <c r="I106" s="46" t="s">
        <v>46</v>
      </c>
      <c r="J106" s="269">
        <f>COUNTIFS('1. ALL DATA'!$Y$5:$Y$128,"PLANNING",'1. ALL DATA'!$M$5:$M$128,"Update not provided")</f>
        <v>0</v>
      </c>
      <c r="K106" s="73">
        <f>J106/J109</f>
        <v>0</v>
      </c>
      <c r="L106" s="73">
        <f>K106</f>
        <v>0</v>
      </c>
      <c r="M106" s="74"/>
      <c r="N106" s="96"/>
      <c r="P106" s="46" t="s">
        <v>46</v>
      </c>
      <c r="Q106" s="269">
        <f>COUNTIFS('1. ALL DATA'!$Y$5:$Y$128,"PLANNING",'1. ALL DATA'!$R$5:$R$128,"Update not provided")</f>
        <v>0</v>
      </c>
      <c r="R106" s="73">
        <f>Q106/Q109</f>
        <v>0</v>
      </c>
      <c r="S106" s="73">
        <f>R106</f>
        <v>0</v>
      </c>
      <c r="T106" s="74"/>
      <c r="U106" s="92"/>
      <c r="W106" s="62" t="s">
        <v>46</v>
      </c>
      <c r="X106" s="269">
        <f>COUNTIFS('1. ALL DATA'!$Y$5:$Y$128,"PLANNING",'1. ALL DATA'!$V$5:$V$128,"Update not provided")</f>
        <v>0</v>
      </c>
      <c r="Y106" s="137">
        <f t="shared" si="2"/>
        <v>0</v>
      </c>
      <c r="Z106" s="73">
        <f>Y106</f>
        <v>0</v>
      </c>
      <c r="AA106" s="74"/>
    </row>
    <row r="107" spans="2:28" ht="15.75" customHeight="1" x14ac:dyDescent="0.25">
      <c r="B107" s="47" t="s">
        <v>22</v>
      </c>
      <c r="C107" s="269">
        <f>COUNTIFS('1. ALL DATA'!$Y$5:$Y$128,"PLANNING",'1. ALL DATA'!$H$5:$H$128,"Deferred")</f>
        <v>0</v>
      </c>
      <c r="D107" s="253">
        <f>C107/C109</f>
        <v>0</v>
      </c>
      <c r="E107" s="253">
        <f>D107</f>
        <v>0</v>
      </c>
      <c r="F107" s="75"/>
      <c r="G107" s="45"/>
      <c r="I107" s="47" t="s">
        <v>22</v>
      </c>
      <c r="J107" s="269">
        <f>COUNTIFS('1. ALL DATA'!$Y$5:$Y$128,"PLANNING",'1. ALL DATA'!$M$5:$M$128,"Deferred")</f>
        <v>0</v>
      </c>
      <c r="K107" s="76">
        <f>J107/J109</f>
        <v>0</v>
      </c>
      <c r="L107" s="76">
        <f>K107</f>
        <v>0</v>
      </c>
      <c r="M107" s="75"/>
      <c r="N107" s="45"/>
      <c r="P107" s="47" t="s">
        <v>22</v>
      </c>
      <c r="Q107" s="269">
        <f>COUNTIFS('1. ALL DATA'!$Y$5:$Y$128,"PLANNING",'1. ALL DATA'!$R$5:$R$128,"Deferred")</f>
        <v>0</v>
      </c>
      <c r="R107" s="76">
        <f>Q107/Q109</f>
        <v>0</v>
      </c>
      <c r="S107" s="76">
        <f>R107</f>
        <v>0</v>
      </c>
      <c r="T107" s="75"/>
      <c r="U107" s="91"/>
      <c r="W107" s="47" t="s">
        <v>22</v>
      </c>
      <c r="X107" s="269">
        <f>COUNTIFS('1. ALL DATA'!$Y$5:$Y$128,"PLANNING",'1. ALL DATA'!$V$5:$V$128,"Deferred")</f>
        <v>0</v>
      </c>
      <c r="Y107" s="137">
        <f t="shared" si="2"/>
        <v>0</v>
      </c>
      <c r="Z107" s="76">
        <f>Y107</f>
        <v>0</v>
      </c>
      <c r="AA107" s="75"/>
      <c r="AB107" s="235"/>
    </row>
    <row r="108" spans="2:28" ht="15.75" customHeight="1" x14ac:dyDescent="0.25">
      <c r="B108" s="47" t="s">
        <v>28</v>
      </c>
      <c r="C108" s="269">
        <f>COUNTIFS('1. ALL DATA'!$Y$5:$Y$128,"PLANNING",'1. ALL DATA'!$H$5:$H$128,"Deleted")</f>
        <v>0</v>
      </c>
      <c r="D108" s="253">
        <f>C108/C109</f>
        <v>0</v>
      </c>
      <c r="E108" s="253">
        <f>D108</f>
        <v>0</v>
      </c>
      <c r="F108" s="75"/>
      <c r="G108" s="89" t="s">
        <v>62</v>
      </c>
      <c r="I108" s="47" t="s">
        <v>28</v>
      </c>
      <c r="J108" s="269">
        <f>COUNTIFS('1. ALL DATA'!$Y$5:$Y$128,"PLANNING",'1. ALL DATA'!$M$5:$M$128,"Deleted")</f>
        <v>0</v>
      </c>
      <c r="K108" s="76">
        <f>J108/J109</f>
        <v>0</v>
      </c>
      <c r="L108" s="76">
        <f>K108</f>
        <v>0</v>
      </c>
      <c r="M108" s="75"/>
      <c r="N108" s="89" t="s">
        <v>62</v>
      </c>
      <c r="P108" s="47" t="s">
        <v>28</v>
      </c>
      <c r="Q108" s="269">
        <f>COUNTIFS('1. ALL DATA'!$Y$5:$Y$128,"PLANNING",'1. ALL DATA'!$R$5:$R$128,"Deleted")</f>
        <v>0</v>
      </c>
      <c r="R108" s="76">
        <f>Q108/Q109</f>
        <v>0</v>
      </c>
      <c r="S108" s="76">
        <f>R108</f>
        <v>0</v>
      </c>
      <c r="T108" s="75"/>
      <c r="U108" s="89" t="s">
        <v>62</v>
      </c>
      <c r="W108" s="47" t="s">
        <v>28</v>
      </c>
      <c r="X108" s="269">
        <f>COUNTIFS('1. ALL DATA'!$Y$5:$Y$128,"PLANNING",'1. ALL DATA'!$V$5:$V$128,"Deleted")</f>
        <v>0</v>
      </c>
      <c r="Y108" s="137">
        <f t="shared" si="2"/>
        <v>0</v>
      </c>
      <c r="Z108" s="76">
        <f>Y108</f>
        <v>0</v>
      </c>
      <c r="AA108" s="75"/>
      <c r="AB108" s="89" t="s">
        <v>62</v>
      </c>
    </row>
    <row r="109" spans="2:28" ht="15.75" customHeight="1" x14ac:dyDescent="0.25">
      <c r="B109" s="48" t="s">
        <v>30</v>
      </c>
      <c r="C109" s="271">
        <f>SUM(C95:C108)</f>
        <v>20</v>
      </c>
      <c r="D109" s="44"/>
      <c r="E109" s="44"/>
      <c r="F109" s="50"/>
      <c r="G109" s="45"/>
      <c r="I109" s="48" t="s">
        <v>30</v>
      </c>
      <c r="J109" s="271">
        <f>SUM(J95:J108)</f>
        <v>20</v>
      </c>
      <c r="K109" s="75"/>
      <c r="L109" s="75"/>
      <c r="M109" s="50"/>
      <c r="N109" s="45"/>
      <c r="P109" s="48" t="s">
        <v>30</v>
      </c>
      <c r="Q109" s="271">
        <f>SUM(Q95:Q108)</f>
        <v>20</v>
      </c>
      <c r="R109" s="75"/>
      <c r="S109" s="75"/>
      <c r="T109" s="50"/>
      <c r="U109" s="91"/>
      <c r="W109" s="48" t="s">
        <v>30</v>
      </c>
      <c r="X109" s="271">
        <f>SUM(X95:X108)</f>
        <v>20</v>
      </c>
      <c r="Y109" s="75"/>
      <c r="Z109" s="75"/>
      <c r="AA109" s="50"/>
      <c r="AB109" s="235"/>
    </row>
    <row r="110" spans="2:28" ht="15.75" customHeight="1" x14ac:dyDescent="0.25">
      <c r="B110" s="48" t="s">
        <v>31</v>
      </c>
      <c r="C110" s="271">
        <f>C109-C108-C107-C106-C105</f>
        <v>16</v>
      </c>
      <c r="D110" s="45"/>
      <c r="E110" s="45"/>
      <c r="F110" s="50"/>
      <c r="G110" s="45"/>
      <c r="I110" s="48" t="s">
        <v>31</v>
      </c>
      <c r="J110" s="271">
        <f>J109-J108-J107-J106-J105</f>
        <v>20</v>
      </c>
      <c r="K110" s="50"/>
      <c r="L110" s="50"/>
      <c r="M110" s="50"/>
      <c r="N110" s="45"/>
      <c r="P110" s="48" t="s">
        <v>31</v>
      </c>
      <c r="Q110" s="271">
        <f>Q109-Q108-Q107-Q106-Q105</f>
        <v>20</v>
      </c>
      <c r="R110" s="50"/>
      <c r="S110" s="50"/>
      <c r="T110" s="50"/>
      <c r="U110" s="91"/>
      <c r="W110" s="48" t="s">
        <v>31</v>
      </c>
      <c r="X110" s="271">
        <f>X109-X108-X107-X106-X105</f>
        <v>20</v>
      </c>
      <c r="Y110" s="50"/>
      <c r="Z110" s="50"/>
      <c r="AA110" s="50"/>
      <c r="AB110" s="235"/>
    </row>
    <row r="111" spans="2:28" ht="15.75" customHeight="1" x14ac:dyDescent="0.25"/>
    <row r="112" spans="2:28" ht="15.75" customHeight="1" x14ac:dyDescent="0.25"/>
    <row r="113" spans="2:28" ht="15.75" customHeight="1" x14ac:dyDescent="0.25"/>
    <row r="114" spans="2:28" s="61" customFormat="1" ht="15.75" x14ac:dyDescent="0.25">
      <c r="B114" s="315" t="s">
        <v>38</v>
      </c>
      <c r="C114" s="370"/>
      <c r="D114" s="370"/>
      <c r="E114" s="370"/>
      <c r="F114" s="309"/>
      <c r="G114" s="310"/>
      <c r="I114" s="315" t="s">
        <v>38</v>
      </c>
      <c r="J114" s="370"/>
      <c r="K114" s="309"/>
      <c r="L114" s="309"/>
      <c r="M114" s="309"/>
      <c r="N114" s="310"/>
      <c r="P114" s="315" t="s">
        <v>38</v>
      </c>
      <c r="Q114" s="370"/>
      <c r="R114" s="309"/>
      <c r="S114" s="309"/>
      <c r="T114" s="309"/>
      <c r="U114" s="310"/>
      <c r="W114" s="315" t="s">
        <v>38</v>
      </c>
      <c r="X114" s="370"/>
      <c r="Y114" s="309"/>
      <c r="Z114" s="309"/>
      <c r="AA114" s="309"/>
      <c r="AB114" s="310"/>
    </row>
    <row r="115" spans="2:28" ht="41.25" customHeight="1" x14ac:dyDescent="0.25">
      <c r="B115" s="311" t="s">
        <v>23</v>
      </c>
      <c r="C115" s="312" t="s">
        <v>24</v>
      </c>
      <c r="D115" s="312" t="s">
        <v>18</v>
      </c>
      <c r="E115" s="312" t="s">
        <v>48</v>
      </c>
      <c r="F115" s="311" t="s">
        <v>29</v>
      </c>
      <c r="G115" s="312" t="s">
        <v>49</v>
      </c>
      <c r="I115" s="311" t="s">
        <v>23</v>
      </c>
      <c r="J115" s="312" t="s">
        <v>24</v>
      </c>
      <c r="K115" s="311" t="s">
        <v>18</v>
      </c>
      <c r="L115" s="311" t="s">
        <v>48</v>
      </c>
      <c r="M115" s="311" t="s">
        <v>29</v>
      </c>
      <c r="N115" s="312" t="s">
        <v>49</v>
      </c>
      <c r="P115" s="311" t="s">
        <v>23</v>
      </c>
      <c r="Q115" s="312" t="s">
        <v>24</v>
      </c>
      <c r="R115" s="311" t="s">
        <v>18</v>
      </c>
      <c r="S115" s="311" t="s">
        <v>48</v>
      </c>
      <c r="T115" s="311" t="s">
        <v>29</v>
      </c>
      <c r="U115" s="313" t="s">
        <v>49</v>
      </c>
      <c r="W115" s="311" t="s">
        <v>23</v>
      </c>
      <c r="X115" s="312" t="s">
        <v>24</v>
      </c>
      <c r="Y115" s="311" t="s">
        <v>18</v>
      </c>
      <c r="Z115" s="311" t="s">
        <v>48</v>
      </c>
      <c r="AA115" s="311" t="s">
        <v>29</v>
      </c>
      <c r="AB115" s="314" t="s">
        <v>49</v>
      </c>
    </row>
    <row r="116" spans="2:28" ht="6.75" customHeight="1" x14ac:dyDescent="0.25">
      <c r="B116" s="51"/>
      <c r="C116" s="54"/>
      <c r="D116" s="54"/>
      <c r="E116" s="54"/>
      <c r="F116" s="51"/>
      <c r="G116" s="54"/>
      <c r="I116" s="51"/>
      <c r="J116" s="54"/>
      <c r="K116" s="51"/>
      <c r="L116" s="51"/>
      <c r="M116" s="51"/>
      <c r="N116" s="54"/>
      <c r="P116" s="51"/>
      <c r="Q116" s="54"/>
      <c r="R116" s="51"/>
      <c r="S116" s="51"/>
      <c r="T116" s="51"/>
      <c r="U116" s="86"/>
      <c r="W116" s="51"/>
      <c r="X116" s="54"/>
      <c r="Y116" s="51"/>
      <c r="Z116" s="51"/>
      <c r="AA116" s="51"/>
      <c r="AB116" s="237"/>
    </row>
    <row r="117" spans="2:28" ht="27.75" customHeight="1" x14ac:dyDescent="0.25">
      <c r="B117" s="247" t="s">
        <v>45</v>
      </c>
      <c r="C117" s="257">
        <f>COUNTIFS('1. ALL DATA'!$Y$5:$Y$128,"REGULATORY SERVICES",'1. ALL DATA'!$H$5:$H$128,"Fully Achieved")</f>
        <v>3</v>
      </c>
      <c r="D117" s="367">
        <f>C117/C131</f>
        <v>0.21428571428571427</v>
      </c>
      <c r="E117" s="464">
        <f>D117+D118</f>
        <v>0.5714285714285714</v>
      </c>
      <c r="F117" s="118">
        <f>C117/C132</f>
        <v>0.375</v>
      </c>
      <c r="G117" s="467">
        <f>F117+F118</f>
        <v>1</v>
      </c>
      <c r="I117" s="247" t="s">
        <v>45</v>
      </c>
      <c r="J117" s="257">
        <f>COUNTIFS('1. ALL DATA'!$Y$5:$Y$128,"REGULATORY SERVICES",'1. ALL DATA'!$M$5:$M$128,"Fully Achieved")</f>
        <v>6</v>
      </c>
      <c r="K117" s="118">
        <f>J117/J131</f>
        <v>0.42857142857142855</v>
      </c>
      <c r="L117" s="481">
        <f>K117+K118</f>
        <v>0.9285714285714286</v>
      </c>
      <c r="M117" s="118">
        <f>J117/J132</f>
        <v>0.46153846153846156</v>
      </c>
      <c r="N117" s="467">
        <f>M117+M118</f>
        <v>1</v>
      </c>
      <c r="P117" s="247" t="s">
        <v>45</v>
      </c>
      <c r="Q117" s="257">
        <f>COUNTIFS('1. ALL DATA'!$Y$5:$Y$128,"REGULATORY SERVICES",'1. ALL DATA'!$R$5:$R$128,"Fully Achieved")</f>
        <v>10</v>
      </c>
      <c r="R117" s="118">
        <f>Q117/Q131</f>
        <v>0.7142857142857143</v>
      </c>
      <c r="S117" s="481">
        <f>R117+R118</f>
        <v>0.9285714285714286</v>
      </c>
      <c r="T117" s="118">
        <f>Q117/Q132</f>
        <v>0.76923076923076927</v>
      </c>
      <c r="U117" s="467">
        <f>T117+T118</f>
        <v>1</v>
      </c>
      <c r="W117" s="247" t="s">
        <v>40</v>
      </c>
      <c r="X117" s="257">
        <f>COUNTIFS('1. ALL DATA'!$Y$5:$Y$128,"REGULATORY SERVICES",'1. ALL DATA'!$V$5:$V$128,"Fully Achieved")</f>
        <v>14</v>
      </c>
      <c r="Y117" s="118">
        <f>X117/$X$131</f>
        <v>1</v>
      </c>
      <c r="Z117" s="481">
        <f>Y117+Y118</f>
        <v>1</v>
      </c>
      <c r="AA117" s="118">
        <f>X117/$X$132</f>
        <v>1</v>
      </c>
      <c r="AB117" s="467">
        <f>AA117+AA118</f>
        <v>1</v>
      </c>
    </row>
    <row r="118" spans="2:28" ht="27.75" customHeight="1" x14ac:dyDescent="0.25">
      <c r="B118" s="247" t="s">
        <v>41</v>
      </c>
      <c r="C118" s="257">
        <f>COUNTIFS('1. ALL DATA'!$Y$5:$Y$128,"REGULATORY SERVICES",'1. ALL DATA'!$H$5:$H$128,"On track to be achieved")</f>
        <v>5</v>
      </c>
      <c r="D118" s="367">
        <f>C118/C131</f>
        <v>0.35714285714285715</v>
      </c>
      <c r="E118" s="464"/>
      <c r="F118" s="118">
        <f>C118/C132</f>
        <v>0.625</v>
      </c>
      <c r="G118" s="467"/>
      <c r="I118" s="247" t="s">
        <v>41</v>
      </c>
      <c r="J118" s="257">
        <f>COUNTIFS('1. ALL DATA'!$Y$5:$Y$128,"REGULATORY SERVICES",'1. ALL DATA'!$M$5:$M$128,"On track to be achieved")</f>
        <v>7</v>
      </c>
      <c r="K118" s="118">
        <f>J118/J131</f>
        <v>0.5</v>
      </c>
      <c r="L118" s="481"/>
      <c r="M118" s="118">
        <f>J118/J132</f>
        <v>0.53846153846153844</v>
      </c>
      <c r="N118" s="467"/>
      <c r="P118" s="247" t="s">
        <v>41</v>
      </c>
      <c r="Q118" s="257">
        <f>COUNTIFS('1. ALL DATA'!$Y$5:$Y$128,"REGULATORY SERVICES",'1. ALL DATA'!$R$5:$R$128,"On track to be achieved")</f>
        <v>3</v>
      </c>
      <c r="R118" s="118">
        <f>Q118/Q131</f>
        <v>0.21428571428571427</v>
      </c>
      <c r="S118" s="481"/>
      <c r="T118" s="118">
        <f>Q118/Q132</f>
        <v>0.23076923076923078</v>
      </c>
      <c r="U118" s="467"/>
      <c r="W118" s="247" t="s">
        <v>79</v>
      </c>
      <c r="X118" s="257">
        <f>COUNTIFS('1. ALL DATA'!$Y$5:$Y$128,"REGULATORY SERVICES",'1. ALL DATA'!$V$5:$V$128,"Numerical Outturn Within 5% Tolerance")</f>
        <v>0</v>
      </c>
      <c r="Y118" s="137">
        <f t="shared" ref="Y118:Y130" si="4">X118/$X$131</f>
        <v>0</v>
      </c>
      <c r="Z118" s="481"/>
      <c r="AA118" s="137">
        <f t="shared" ref="AA118:AA125" si="5">X118/$X$132</f>
        <v>0</v>
      </c>
      <c r="AB118" s="467"/>
    </row>
    <row r="119" spans="2:28" ht="7.5" customHeight="1" x14ac:dyDescent="0.25">
      <c r="B119" s="167"/>
      <c r="C119" s="260"/>
      <c r="D119" s="192"/>
      <c r="E119" s="192"/>
      <c r="F119" s="69"/>
      <c r="G119" s="169"/>
      <c r="I119" s="167"/>
      <c r="J119" s="260"/>
      <c r="K119" s="69"/>
      <c r="L119" s="69"/>
      <c r="M119" s="69"/>
      <c r="N119" s="169"/>
      <c r="P119" s="167"/>
      <c r="Q119" s="260"/>
      <c r="R119" s="69"/>
      <c r="S119" s="69"/>
      <c r="T119" s="69"/>
      <c r="U119" s="169"/>
      <c r="W119" s="170"/>
      <c r="X119" s="260"/>
      <c r="Y119" s="137"/>
      <c r="Z119" s="69"/>
      <c r="AA119" s="137"/>
      <c r="AB119" s="169"/>
    </row>
    <row r="120" spans="2:28" ht="21" customHeight="1" x14ac:dyDescent="0.25">
      <c r="B120" s="462" t="s">
        <v>26</v>
      </c>
      <c r="C120" s="463">
        <f>COUNTIFS('1. ALL DATA'!$Y$5:$Y$128,"REGULATORY SERVICES",'1. ALL DATA'!$H$5:$H$128,"In danger of falling behind target")</f>
        <v>0</v>
      </c>
      <c r="D120" s="464">
        <f>C120/C131</f>
        <v>0</v>
      </c>
      <c r="E120" s="464">
        <f>D120</f>
        <v>0</v>
      </c>
      <c r="F120" s="481">
        <f>C120/C132</f>
        <v>0</v>
      </c>
      <c r="G120" s="465">
        <f>F120</f>
        <v>0</v>
      </c>
      <c r="I120" s="462" t="s">
        <v>26</v>
      </c>
      <c r="J120" s="463">
        <f>COUNTIFS('1. ALL DATA'!$Y$5:$Y$128,"REGULATORY SERVICES",'1. ALL DATA'!$M$5:$M$128,"In danger of falling behind target")</f>
        <v>0</v>
      </c>
      <c r="K120" s="481">
        <f>J120/J131</f>
        <v>0</v>
      </c>
      <c r="L120" s="481">
        <f>K120</f>
        <v>0</v>
      </c>
      <c r="M120" s="481">
        <f>J120/J132</f>
        <v>0</v>
      </c>
      <c r="N120" s="465">
        <f>M120</f>
        <v>0</v>
      </c>
      <c r="P120" s="462" t="s">
        <v>26</v>
      </c>
      <c r="Q120" s="463">
        <f>COUNTIFS('1. ALL DATA'!$Y$5:$Y$128,"REGULATORY SERVICES",'1. ALL DATA'!$R$5:$R$128,"In danger of falling behind target")</f>
        <v>0</v>
      </c>
      <c r="R120" s="481">
        <f>Q120/Q131</f>
        <v>0</v>
      </c>
      <c r="S120" s="481">
        <f>R120</f>
        <v>0</v>
      </c>
      <c r="T120" s="481">
        <f>Q120/Q132</f>
        <v>0</v>
      </c>
      <c r="U120" s="465">
        <f>T120</f>
        <v>0</v>
      </c>
      <c r="W120" s="249" t="s">
        <v>80</v>
      </c>
      <c r="X120" s="368">
        <f>COUNTIFS('1. ALL DATA'!$Y$5:$Y$128,"REGULATORY SERVICES",'1. ALL DATA'!$V$5:$V$128,"Numerical Outturn Within 10% Tolerance")</f>
        <v>0</v>
      </c>
      <c r="Y120" s="137">
        <f t="shared" si="4"/>
        <v>0</v>
      </c>
      <c r="Z120" s="482">
        <f>SUM(Y120:Y123)</f>
        <v>0</v>
      </c>
      <c r="AA120" s="137">
        <f t="shared" si="5"/>
        <v>0</v>
      </c>
      <c r="AB120" s="465">
        <f>SUM(AA120:AA123)</f>
        <v>0</v>
      </c>
    </row>
    <row r="121" spans="2:28" ht="18.75" customHeight="1" x14ac:dyDescent="0.25">
      <c r="B121" s="462"/>
      <c r="C121" s="463"/>
      <c r="D121" s="464"/>
      <c r="E121" s="464"/>
      <c r="F121" s="481"/>
      <c r="G121" s="465"/>
      <c r="I121" s="462"/>
      <c r="J121" s="463"/>
      <c r="K121" s="481"/>
      <c r="L121" s="481"/>
      <c r="M121" s="481"/>
      <c r="N121" s="465"/>
      <c r="P121" s="462"/>
      <c r="Q121" s="463"/>
      <c r="R121" s="481"/>
      <c r="S121" s="481"/>
      <c r="T121" s="481"/>
      <c r="U121" s="465"/>
      <c r="W121" s="249" t="s">
        <v>81</v>
      </c>
      <c r="X121" s="368">
        <f>COUNTIFS('1. ALL DATA'!$Y$5:$Y$128,"REGULATORY SERVICES",'1. ALL DATA'!$V$5:$V$128,"Target Partially Met")</f>
        <v>0</v>
      </c>
      <c r="Y121" s="137">
        <f t="shared" si="4"/>
        <v>0</v>
      </c>
      <c r="Z121" s="483"/>
      <c r="AA121" s="137">
        <f t="shared" si="5"/>
        <v>0</v>
      </c>
      <c r="AB121" s="465"/>
    </row>
    <row r="122" spans="2:28" ht="20.25" customHeight="1" x14ac:dyDescent="0.25">
      <c r="B122" s="462"/>
      <c r="C122" s="463"/>
      <c r="D122" s="464"/>
      <c r="E122" s="464"/>
      <c r="F122" s="481"/>
      <c r="G122" s="465"/>
      <c r="I122" s="462"/>
      <c r="J122" s="463"/>
      <c r="K122" s="481"/>
      <c r="L122" s="481"/>
      <c r="M122" s="481"/>
      <c r="N122" s="465"/>
      <c r="P122" s="462"/>
      <c r="Q122" s="463"/>
      <c r="R122" s="481"/>
      <c r="S122" s="481"/>
      <c r="T122" s="481"/>
      <c r="U122" s="465"/>
      <c r="W122" s="249" t="s">
        <v>83</v>
      </c>
      <c r="X122" s="368">
        <f>COUNTIFS('1. ALL DATA'!$Y$5:$Y$128,"REGULATORY SERVICES",'1. ALL DATA'!$V$5:$V$128,"Completion Date Within Reasonable Tolerance")</f>
        <v>0</v>
      </c>
      <c r="Y122" s="137">
        <f>X123/$X$131</f>
        <v>0</v>
      </c>
      <c r="Z122" s="484"/>
      <c r="AA122" s="137">
        <f>X123/$X$132</f>
        <v>0</v>
      </c>
      <c r="AB122" s="465"/>
    </row>
    <row r="123" spans="2:28" ht="6" customHeight="1" x14ac:dyDescent="0.25">
      <c r="B123" s="167"/>
      <c r="C123" s="54"/>
      <c r="D123" s="192"/>
      <c r="E123" s="192"/>
      <c r="F123" s="69"/>
      <c r="G123" s="169"/>
      <c r="I123" s="167"/>
      <c r="J123" s="54"/>
      <c r="K123" s="69"/>
      <c r="L123" s="69"/>
      <c r="M123" s="69"/>
      <c r="N123" s="169"/>
      <c r="P123" s="167"/>
      <c r="Q123" s="54"/>
      <c r="R123" s="69"/>
      <c r="S123" s="69"/>
      <c r="T123" s="69"/>
      <c r="U123" s="169"/>
      <c r="W123" s="170"/>
      <c r="X123" s="54"/>
      <c r="Y123" s="137"/>
      <c r="Z123" s="69"/>
      <c r="AA123" s="137"/>
      <c r="AB123" s="169"/>
    </row>
    <row r="124" spans="2:28" ht="30" customHeight="1" x14ac:dyDescent="0.25">
      <c r="B124" s="248" t="s">
        <v>42</v>
      </c>
      <c r="C124" s="257">
        <f>COUNTIFS('1. ALL DATA'!$Y$5:$Y$128,"REGULATORY SERVICES",'1. ALL DATA'!$H$5:$H$128,"Completed behind schedule")</f>
        <v>0</v>
      </c>
      <c r="D124" s="367">
        <f>C124/C131</f>
        <v>0</v>
      </c>
      <c r="E124" s="464">
        <f>D124+D125</f>
        <v>0</v>
      </c>
      <c r="F124" s="118">
        <f>C124/C132</f>
        <v>0</v>
      </c>
      <c r="G124" s="480">
        <f>F124+F125</f>
        <v>0</v>
      </c>
      <c r="I124" s="248" t="s">
        <v>42</v>
      </c>
      <c r="J124" s="257">
        <f>COUNTIFS('1. ALL DATA'!$Y$5:$Y$128,"REGULATORY SERVICES",'1. ALL DATA'!$M$5:$M$128,"Completed behind schedule")</f>
        <v>0</v>
      </c>
      <c r="K124" s="118">
        <f>J124/J131</f>
        <v>0</v>
      </c>
      <c r="L124" s="481">
        <f>K124+K125</f>
        <v>0</v>
      </c>
      <c r="M124" s="118">
        <f>J124/J132</f>
        <v>0</v>
      </c>
      <c r="N124" s="480">
        <f>M124+M125</f>
        <v>0</v>
      </c>
      <c r="P124" s="248" t="s">
        <v>42</v>
      </c>
      <c r="Q124" s="257">
        <f>COUNTIFS('1. ALL DATA'!$Y$5:$Y$128,"REGULATORY SERVICES",'1. ALL DATA'!$R$5:$R$128,"Completed behind schedule")</f>
        <v>0</v>
      </c>
      <c r="R124" s="118">
        <f>Q124/Q131</f>
        <v>0</v>
      </c>
      <c r="S124" s="481">
        <f>R124+R125</f>
        <v>0</v>
      </c>
      <c r="T124" s="118">
        <f>Q124/Q132</f>
        <v>0</v>
      </c>
      <c r="U124" s="480">
        <f>T124+T125</f>
        <v>0</v>
      </c>
      <c r="W124" s="248" t="s">
        <v>82</v>
      </c>
      <c r="X124" s="257">
        <f>COUNTIFS('1. ALL DATA'!$Y$5:$Y$128,"REGULATORY SERVICES",'1. ALL DATA'!$V$5:$V$128,"Completed Significantly After Target Deadline")</f>
        <v>0</v>
      </c>
      <c r="Y124" s="137">
        <f t="shared" si="4"/>
        <v>0</v>
      </c>
      <c r="Z124" s="481">
        <f>Y124+Y125</f>
        <v>0</v>
      </c>
      <c r="AA124" s="137">
        <f t="shared" si="5"/>
        <v>0</v>
      </c>
      <c r="AB124" s="480">
        <f>AA124+AA125</f>
        <v>0</v>
      </c>
    </row>
    <row r="125" spans="2:28" ht="30" customHeight="1" x14ac:dyDescent="0.25">
      <c r="B125" s="248" t="s">
        <v>27</v>
      </c>
      <c r="C125" s="257">
        <f>COUNTIFS('1. ALL DATA'!$Y$5:$Y$128,"REGULATORY SERVICES",'1. ALL DATA'!$H$5:$H$128,"Off target")</f>
        <v>0</v>
      </c>
      <c r="D125" s="367">
        <f>C125/C131</f>
        <v>0</v>
      </c>
      <c r="E125" s="464"/>
      <c r="F125" s="118">
        <f>C125/C132</f>
        <v>0</v>
      </c>
      <c r="G125" s="480"/>
      <c r="I125" s="248" t="s">
        <v>27</v>
      </c>
      <c r="J125" s="257">
        <f>COUNTIFS('1. ALL DATA'!$Y$5:$Y$128,"REGULATORY SERVICES",'1. ALL DATA'!$M$5:$M$128,"Off target")</f>
        <v>0</v>
      </c>
      <c r="K125" s="118">
        <f>J125/J131</f>
        <v>0</v>
      </c>
      <c r="L125" s="481"/>
      <c r="M125" s="118">
        <f>J125/J132</f>
        <v>0</v>
      </c>
      <c r="N125" s="480"/>
      <c r="P125" s="248" t="s">
        <v>27</v>
      </c>
      <c r="Q125" s="257">
        <f>COUNTIFS('1. ALL DATA'!$Y$5:$Y$128,"REGULATORY SERVICES",'1. ALL DATA'!$R$5:$R$128,"Off target")</f>
        <v>0</v>
      </c>
      <c r="R125" s="118">
        <f>Q125/Q131</f>
        <v>0</v>
      </c>
      <c r="S125" s="481"/>
      <c r="T125" s="118">
        <f>Q125/Q132</f>
        <v>0</v>
      </c>
      <c r="U125" s="480"/>
      <c r="W125" s="248" t="s">
        <v>27</v>
      </c>
      <c r="X125" s="257">
        <f>COUNTIFS('1. ALL DATA'!$Y$5:$Y$128,"REGULATORY SERVICES",'1. ALL DATA'!$V$5:$V$128,"Off target")</f>
        <v>0</v>
      </c>
      <c r="Y125" s="137">
        <f t="shared" si="4"/>
        <v>0</v>
      </c>
      <c r="Z125" s="481"/>
      <c r="AA125" s="137">
        <f t="shared" si="5"/>
        <v>0</v>
      </c>
      <c r="AB125" s="480"/>
    </row>
    <row r="126" spans="2:28" ht="5.25" customHeight="1" x14ac:dyDescent="0.25">
      <c r="B126" s="51"/>
      <c r="C126" s="260"/>
      <c r="D126" s="192"/>
      <c r="E126" s="192"/>
      <c r="F126" s="69"/>
      <c r="G126" s="90"/>
      <c r="I126" s="51"/>
      <c r="J126" s="260"/>
      <c r="K126" s="69"/>
      <c r="L126" s="69"/>
      <c r="M126" s="69"/>
      <c r="N126" s="90"/>
      <c r="P126" s="51"/>
      <c r="Q126" s="260"/>
      <c r="R126" s="69"/>
      <c r="S126" s="69"/>
      <c r="T126" s="69"/>
      <c r="U126" s="90"/>
      <c r="W126" s="250"/>
      <c r="X126" s="260"/>
      <c r="Y126" s="137"/>
      <c r="Z126" s="71"/>
      <c r="AA126" s="72"/>
      <c r="AB126" s="238"/>
    </row>
    <row r="127" spans="2:28" ht="15.75" customHeight="1" x14ac:dyDescent="0.25">
      <c r="B127" s="46" t="s">
        <v>1</v>
      </c>
      <c r="C127" s="269">
        <f>COUNTIFS('1. ALL DATA'!$Y$5:$Y$128,"REGULATORY SERVICES",'1. ALL DATA'!$H$5:$H$128,"Not yet due")</f>
        <v>6</v>
      </c>
      <c r="D127" s="252">
        <f>C127/C131</f>
        <v>0.42857142857142855</v>
      </c>
      <c r="E127" s="252">
        <f>D127</f>
        <v>0.42857142857142855</v>
      </c>
      <c r="F127" s="74"/>
      <c r="G127" s="45"/>
      <c r="I127" s="46" t="s">
        <v>1</v>
      </c>
      <c r="J127" s="269">
        <f>COUNTIFS('1. ALL DATA'!$Y$5:$Y$128,"REGULATORY SERVICES",'1. ALL DATA'!$M$5:$M$128,"Not yet due")</f>
        <v>1</v>
      </c>
      <c r="K127" s="73">
        <f>J127/J131</f>
        <v>7.1428571428571425E-2</v>
      </c>
      <c r="L127" s="73">
        <f>K127</f>
        <v>7.1428571428571425E-2</v>
      </c>
      <c r="M127" s="74"/>
      <c r="N127" s="45"/>
      <c r="P127" s="46" t="s">
        <v>1</v>
      </c>
      <c r="Q127" s="269">
        <f>COUNTIFS('1. ALL DATA'!$Y$5:$Y$128,"REGULATORY SERVICES",'1. ALL DATA'!$R$5:$R$128,"Not yet due")</f>
        <v>1</v>
      </c>
      <c r="R127" s="73">
        <f>Q127/Q131</f>
        <v>7.1428571428571425E-2</v>
      </c>
      <c r="S127" s="73">
        <f>R127</f>
        <v>7.1428571428571425E-2</v>
      </c>
      <c r="T127" s="74"/>
      <c r="U127" s="91"/>
      <c r="W127" s="60" t="s">
        <v>1</v>
      </c>
      <c r="X127" s="269">
        <f>COUNTIFS('1. ALL DATA'!$Y$5:$Y$128,"REGULATORY SERVICES",'1. ALL DATA'!$V$5:$V$128,"Not yet due")</f>
        <v>0</v>
      </c>
      <c r="Y127" s="137">
        <f t="shared" si="4"/>
        <v>0</v>
      </c>
      <c r="Z127" s="73">
        <f>Y127</f>
        <v>0</v>
      </c>
      <c r="AA127" s="74"/>
      <c r="AB127" s="235"/>
    </row>
    <row r="128" spans="2:28" ht="15.75" customHeight="1" x14ac:dyDescent="0.25">
      <c r="B128" s="46" t="s">
        <v>46</v>
      </c>
      <c r="C128" s="269">
        <f>COUNTIFS('1. ALL DATA'!$Y$5:$Y$128,"REGULATORY SERVICES",'1. ALL DATA'!$H$5:$H$128,"Update not provided")</f>
        <v>0</v>
      </c>
      <c r="D128" s="252">
        <f>C128/C131</f>
        <v>0</v>
      </c>
      <c r="E128" s="252">
        <f>D128</f>
        <v>0</v>
      </c>
      <c r="F128" s="74"/>
      <c r="G128" s="96"/>
      <c r="I128" s="46" t="s">
        <v>46</v>
      </c>
      <c r="J128" s="269">
        <f>COUNTIFS('1. ALL DATA'!$Y$5:$Y$128,"REGULATORY SERVICES",'1. ALL DATA'!$M$5:$M$128,"Update not provided")</f>
        <v>0</v>
      </c>
      <c r="K128" s="73">
        <f>J128/J131</f>
        <v>0</v>
      </c>
      <c r="L128" s="73">
        <f>K128</f>
        <v>0</v>
      </c>
      <c r="M128" s="74"/>
      <c r="N128" s="96"/>
      <c r="P128" s="46" t="s">
        <v>46</v>
      </c>
      <c r="Q128" s="269">
        <f>COUNTIFS('1. ALL DATA'!$Y$5:$Y$128,"REGULATORY SERVICES",'1. ALL DATA'!$R$5:$R$128,"Update not provided")</f>
        <v>0</v>
      </c>
      <c r="R128" s="73">
        <f>Q128/Q131</f>
        <v>0</v>
      </c>
      <c r="S128" s="73">
        <f>R128</f>
        <v>0</v>
      </c>
      <c r="T128" s="74"/>
      <c r="U128" s="92"/>
      <c r="W128" s="62" t="s">
        <v>46</v>
      </c>
      <c r="X128" s="269">
        <f>COUNTIFS('1. ALL DATA'!$Y$5:$Y$128,"REGULATORY SERVICES",'1. ALL DATA'!$V$5:$V$128,"Update not provided")</f>
        <v>0</v>
      </c>
      <c r="Y128" s="137">
        <f t="shared" si="4"/>
        <v>0</v>
      </c>
      <c r="Z128" s="73">
        <f>Y128</f>
        <v>0</v>
      </c>
      <c r="AA128" s="74"/>
    </row>
    <row r="129" spans="2:28" ht="15.75" customHeight="1" x14ac:dyDescent="0.25">
      <c r="B129" s="47" t="s">
        <v>22</v>
      </c>
      <c r="C129" s="269">
        <f>COUNTIFS('1. ALL DATA'!$Y$5:$Y$128,"REGULATORY SERVICES",'1. ALL DATA'!$H$5:$H$128,"Deferred")</f>
        <v>0</v>
      </c>
      <c r="D129" s="253">
        <f>C129/C131</f>
        <v>0</v>
      </c>
      <c r="E129" s="253">
        <f>D129</f>
        <v>0</v>
      </c>
      <c r="F129" s="75"/>
      <c r="G129" s="45"/>
      <c r="I129" s="47" t="s">
        <v>22</v>
      </c>
      <c r="J129" s="269">
        <f>COUNTIFS('1. ALL DATA'!$Y$5:$Y$128,"REGULATORY SERVICES",'1. ALL DATA'!$M$5:$M$128,"Deferred")</f>
        <v>0</v>
      </c>
      <c r="K129" s="76">
        <f>J129/J131</f>
        <v>0</v>
      </c>
      <c r="L129" s="76">
        <f>K129</f>
        <v>0</v>
      </c>
      <c r="M129" s="75"/>
      <c r="N129" s="45"/>
      <c r="P129" s="47" t="s">
        <v>22</v>
      </c>
      <c r="Q129" s="269">
        <f>COUNTIFS('1. ALL DATA'!$Y$5:$Y$128,"REGULATORY SERVICES",'1. ALL DATA'!$R$5:$R$128,"Deferred")</f>
        <v>0</v>
      </c>
      <c r="R129" s="76">
        <f>Q129/Q131</f>
        <v>0</v>
      </c>
      <c r="S129" s="76">
        <f>R129</f>
        <v>0</v>
      </c>
      <c r="T129" s="75"/>
      <c r="U129" s="91"/>
      <c r="W129" s="47" t="s">
        <v>22</v>
      </c>
      <c r="X129" s="269">
        <f>COUNTIFS('1. ALL DATA'!$Y$5:$Y$128,"REGULATORY SERVICES",'1. ALL DATA'!$V$5:$V$128,"Deferred")</f>
        <v>0</v>
      </c>
      <c r="Y129" s="137">
        <f t="shared" si="4"/>
        <v>0</v>
      </c>
      <c r="Z129" s="76">
        <f>Y129</f>
        <v>0</v>
      </c>
      <c r="AA129" s="75"/>
      <c r="AB129" s="235"/>
    </row>
    <row r="130" spans="2:28" ht="15.75" customHeight="1" x14ac:dyDescent="0.25">
      <c r="B130" s="47" t="s">
        <v>28</v>
      </c>
      <c r="C130" s="269">
        <f>COUNTIFS('1. ALL DATA'!$Y$5:$Y$128,"REGULATORY SERVICES",'1. ALL DATA'!$H$5:$H$128,"Deleted")</f>
        <v>0</v>
      </c>
      <c r="D130" s="253">
        <f>C130/C131</f>
        <v>0</v>
      </c>
      <c r="E130" s="253">
        <f>D130</f>
        <v>0</v>
      </c>
      <c r="F130" s="75"/>
      <c r="G130" s="89" t="s">
        <v>62</v>
      </c>
      <c r="I130" s="47" t="s">
        <v>28</v>
      </c>
      <c r="J130" s="269">
        <f>COUNTIFS('1. ALL DATA'!$Y$5:$Y$128,"REGULATORY SERVICES",'1. ALL DATA'!$M$5:$M$128,"Deleted")</f>
        <v>0</v>
      </c>
      <c r="K130" s="76">
        <f>J130/J131</f>
        <v>0</v>
      </c>
      <c r="L130" s="76">
        <f>K130</f>
        <v>0</v>
      </c>
      <c r="M130" s="75"/>
      <c r="N130" s="89" t="s">
        <v>62</v>
      </c>
      <c r="P130" s="47" t="s">
        <v>28</v>
      </c>
      <c r="Q130" s="269">
        <f>COUNTIFS('1. ALL DATA'!$Y$5:$Y$128,"REGULATORY SERVICES",'1. ALL DATA'!$R$5:$R$128,"Deleted")</f>
        <v>0</v>
      </c>
      <c r="R130" s="76">
        <f>Q130/Q131</f>
        <v>0</v>
      </c>
      <c r="S130" s="76">
        <f>R130</f>
        <v>0</v>
      </c>
      <c r="T130" s="75"/>
      <c r="U130" s="89" t="s">
        <v>62</v>
      </c>
      <c r="W130" s="47" t="s">
        <v>28</v>
      </c>
      <c r="X130" s="269">
        <f>COUNTIFS('1. ALL DATA'!$Y$5:$Y$128,"REGULATORY SERVICES",'1. ALL DATA'!$V$5:$V$128,"Deleted")</f>
        <v>0</v>
      </c>
      <c r="Y130" s="137">
        <f t="shared" si="4"/>
        <v>0</v>
      </c>
      <c r="Z130" s="76">
        <f>Y130</f>
        <v>0</v>
      </c>
      <c r="AA130" s="75"/>
      <c r="AB130" s="89" t="s">
        <v>62</v>
      </c>
    </row>
    <row r="131" spans="2:28" ht="15.75" customHeight="1" x14ac:dyDescent="0.25">
      <c r="B131" s="48" t="s">
        <v>30</v>
      </c>
      <c r="C131" s="271">
        <f>SUM(C117:C130)</f>
        <v>14</v>
      </c>
      <c r="D131" s="44"/>
      <c r="E131" s="44"/>
      <c r="F131" s="50"/>
      <c r="G131" s="45"/>
      <c r="I131" s="48" t="s">
        <v>30</v>
      </c>
      <c r="J131" s="271">
        <f>SUM(J117:J130)</f>
        <v>14</v>
      </c>
      <c r="K131" s="75"/>
      <c r="L131" s="75"/>
      <c r="M131" s="50"/>
      <c r="N131" s="45"/>
      <c r="P131" s="48" t="s">
        <v>30</v>
      </c>
      <c r="Q131" s="271">
        <f>SUM(Q117:Q130)</f>
        <v>14</v>
      </c>
      <c r="R131" s="75"/>
      <c r="S131" s="75"/>
      <c r="T131" s="50"/>
      <c r="U131" s="91"/>
      <c r="W131" s="48" t="s">
        <v>30</v>
      </c>
      <c r="X131" s="271">
        <f>SUM(X117:X130)</f>
        <v>14</v>
      </c>
      <c r="Y131" s="75"/>
      <c r="Z131" s="75"/>
      <c r="AA131" s="50"/>
      <c r="AB131" s="235"/>
    </row>
    <row r="132" spans="2:28" ht="15.75" customHeight="1" x14ac:dyDescent="0.25">
      <c r="B132" s="48" t="s">
        <v>31</v>
      </c>
      <c r="C132" s="271">
        <f>C131-C130-C129-C128-C127</f>
        <v>8</v>
      </c>
      <c r="D132" s="45"/>
      <c r="E132" s="45"/>
      <c r="F132" s="50"/>
      <c r="G132" s="45"/>
      <c r="I132" s="48" t="s">
        <v>31</v>
      </c>
      <c r="J132" s="271">
        <f>J131-J130-J129-J128-J127</f>
        <v>13</v>
      </c>
      <c r="K132" s="50"/>
      <c r="L132" s="50"/>
      <c r="M132" s="50"/>
      <c r="N132" s="45"/>
      <c r="P132" s="48" t="s">
        <v>31</v>
      </c>
      <c r="Q132" s="271">
        <f>Q131-Q130-Q129-Q128-Q127</f>
        <v>13</v>
      </c>
      <c r="R132" s="50"/>
      <c r="S132" s="50"/>
      <c r="T132" s="50"/>
      <c r="U132" s="91"/>
      <c r="W132" s="48" t="s">
        <v>31</v>
      </c>
      <c r="X132" s="271">
        <f>X131-X130-X129-X128-X127</f>
        <v>14</v>
      </c>
      <c r="Y132" s="50"/>
      <c r="Z132" s="50"/>
      <c r="AA132" s="50"/>
      <c r="AB132" s="235"/>
    </row>
    <row r="133" spans="2:28" ht="15.75" customHeight="1" x14ac:dyDescent="0.25">
      <c r="B133" s="63"/>
      <c r="C133" s="372"/>
      <c r="D133" s="45"/>
      <c r="E133" s="45"/>
      <c r="F133" s="50"/>
      <c r="G133" s="45"/>
      <c r="I133" s="63"/>
      <c r="J133" s="372"/>
      <c r="K133" s="50"/>
      <c r="L133" s="50"/>
      <c r="M133" s="50"/>
      <c r="N133" s="45"/>
      <c r="P133" s="63"/>
      <c r="Q133" s="372"/>
      <c r="R133" s="50"/>
      <c r="S133" s="50"/>
      <c r="T133" s="50"/>
      <c r="U133" s="91"/>
      <c r="W133" s="63"/>
      <c r="X133" s="372"/>
      <c r="Y133" s="50"/>
      <c r="Z133" s="50"/>
      <c r="AA133" s="50"/>
      <c r="AB133" s="235"/>
    </row>
    <row r="134" spans="2:28" ht="15.75" customHeight="1" x14ac:dyDescent="0.25">
      <c r="B134" s="63"/>
      <c r="C134" s="372"/>
      <c r="D134" s="45"/>
      <c r="E134" s="45"/>
      <c r="F134" s="50"/>
      <c r="G134" s="45"/>
      <c r="I134" s="63"/>
      <c r="J134" s="372"/>
      <c r="K134" s="50"/>
      <c r="L134" s="50"/>
      <c r="M134" s="50"/>
      <c r="N134" s="45"/>
      <c r="P134" s="63"/>
      <c r="Q134" s="372"/>
      <c r="R134" s="50"/>
      <c r="S134" s="50"/>
      <c r="T134" s="50"/>
      <c r="U134" s="91"/>
      <c r="W134" s="63"/>
      <c r="X134" s="372"/>
      <c r="Y134" s="50"/>
      <c r="Z134" s="50"/>
      <c r="AA134" s="50"/>
      <c r="AB134" s="235"/>
    </row>
    <row r="136" spans="2:28" s="61" customFormat="1" ht="15.75" x14ac:dyDescent="0.25">
      <c r="B136" s="317" t="s">
        <v>266</v>
      </c>
      <c r="C136" s="370"/>
      <c r="D136" s="370"/>
      <c r="E136" s="370"/>
      <c r="F136" s="309"/>
      <c r="G136" s="310"/>
      <c r="I136" s="317" t="s">
        <v>266</v>
      </c>
      <c r="J136" s="370"/>
      <c r="K136" s="309"/>
      <c r="L136" s="309"/>
      <c r="M136" s="309"/>
      <c r="N136" s="310"/>
      <c r="P136" s="317" t="s">
        <v>266</v>
      </c>
      <c r="Q136" s="370"/>
      <c r="R136" s="309"/>
      <c r="S136" s="309"/>
      <c r="T136" s="309"/>
      <c r="U136" s="310"/>
      <c r="W136" s="317" t="s">
        <v>266</v>
      </c>
      <c r="X136" s="370"/>
      <c r="Y136" s="309"/>
      <c r="Z136" s="309"/>
      <c r="AA136" s="309"/>
      <c r="AB136" s="310"/>
    </row>
    <row r="137" spans="2:28" ht="41.25" customHeight="1" x14ac:dyDescent="0.25">
      <c r="B137" s="311" t="s">
        <v>23</v>
      </c>
      <c r="C137" s="312" t="s">
        <v>24</v>
      </c>
      <c r="D137" s="312" t="s">
        <v>18</v>
      </c>
      <c r="E137" s="312" t="s">
        <v>48</v>
      </c>
      <c r="F137" s="311" t="s">
        <v>29</v>
      </c>
      <c r="G137" s="312" t="s">
        <v>49</v>
      </c>
      <c r="I137" s="311" t="s">
        <v>23</v>
      </c>
      <c r="J137" s="312" t="s">
        <v>24</v>
      </c>
      <c r="K137" s="311" t="s">
        <v>18</v>
      </c>
      <c r="L137" s="311" t="s">
        <v>48</v>
      </c>
      <c r="M137" s="311" t="s">
        <v>29</v>
      </c>
      <c r="N137" s="312" t="s">
        <v>49</v>
      </c>
      <c r="P137" s="311" t="s">
        <v>23</v>
      </c>
      <c r="Q137" s="312" t="s">
        <v>24</v>
      </c>
      <c r="R137" s="311" t="s">
        <v>18</v>
      </c>
      <c r="S137" s="311" t="s">
        <v>48</v>
      </c>
      <c r="T137" s="311" t="s">
        <v>29</v>
      </c>
      <c r="U137" s="313" t="s">
        <v>49</v>
      </c>
      <c r="W137" s="311" t="s">
        <v>23</v>
      </c>
      <c r="X137" s="312" t="s">
        <v>24</v>
      </c>
      <c r="Y137" s="311" t="s">
        <v>18</v>
      </c>
      <c r="Z137" s="311" t="s">
        <v>48</v>
      </c>
      <c r="AA137" s="311" t="s">
        <v>29</v>
      </c>
      <c r="AB137" s="314" t="s">
        <v>49</v>
      </c>
    </row>
    <row r="138" spans="2:28" ht="6.75" customHeight="1" x14ac:dyDescent="0.25">
      <c r="B138" s="51"/>
      <c r="C138" s="54"/>
      <c r="D138" s="54"/>
      <c r="E138" s="54"/>
      <c r="F138" s="51"/>
      <c r="G138" s="54"/>
      <c r="I138" s="51"/>
      <c r="J138" s="54"/>
      <c r="K138" s="51"/>
      <c r="L138" s="51"/>
      <c r="M138" s="51"/>
      <c r="N138" s="54"/>
      <c r="P138" s="51"/>
      <c r="Q138" s="54"/>
      <c r="R138" s="51"/>
      <c r="S138" s="51"/>
      <c r="T138" s="51"/>
      <c r="U138" s="86"/>
      <c r="W138" s="51"/>
      <c r="X138" s="54"/>
      <c r="Y138" s="51"/>
      <c r="Z138" s="51"/>
      <c r="AA138" s="51"/>
      <c r="AB138" s="237"/>
    </row>
    <row r="139" spans="2:28" ht="27.75" customHeight="1" x14ac:dyDescent="0.25">
      <c r="B139" s="247" t="s">
        <v>45</v>
      </c>
      <c r="C139" s="257">
        <f>COUNTIFS('1. ALL DATA'!$Y$5:$Y$128,"REGENERATION",'1. ALL DATA'!$H$5:$H$128,"Fully Achieved")</f>
        <v>3</v>
      </c>
      <c r="D139" s="367">
        <f>C139/C153</f>
        <v>0.1875</v>
      </c>
      <c r="E139" s="464">
        <f>D139+D140</f>
        <v>0.625</v>
      </c>
      <c r="F139" s="344">
        <f>C139/C154</f>
        <v>0.27272727272727271</v>
      </c>
      <c r="G139" s="467">
        <f>F139+F140</f>
        <v>0.90909090909090906</v>
      </c>
      <c r="I139" s="247" t="s">
        <v>45</v>
      </c>
      <c r="J139" s="257">
        <f>COUNTIFS('1. ALL DATA'!$Y$5:$Y$128,"REGENERATION",'1. ALL DATA'!$M$5:$M$128,"Fully Achieved")</f>
        <v>8</v>
      </c>
      <c r="K139" s="344">
        <f>J139/J153</f>
        <v>0.5</v>
      </c>
      <c r="L139" s="481">
        <f>K139+K140</f>
        <v>0.75</v>
      </c>
      <c r="M139" s="344">
        <f>J139/J154</f>
        <v>0.61538461538461542</v>
      </c>
      <c r="N139" s="467">
        <f>M139+M140</f>
        <v>0.92307692307692313</v>
      </c>
      <c r="P139" s="247" t="s">
        <v>45</v>
      </c>
      <c r="Q139" s="257">
        <f>COUNTIFS('1. ALL DATA'!$Y$5:$Y$128,"REGENERATION",'1. ALL DATA'!$R$5:$R$128,"Fully Achieved")</f>
        <v>10</v>
      </c>
      <c r="R139" s="344">
        <f>Q139/Q153</f>
        <v>0.625</v>
      </c>
      <c r="S139" s="481">
        <f>R139+R140</f>
        <v>0.8125</v>
      </c>
      <c r="T139" s="344">
        <f>Q139/Q154</f>
        <v>0.7142857142857143</v>
      </c>
      <c r="U139" s="467">
        <f>T139+T140</f>
        <v>0.9285714285714286</v>
      </c>
      <c r="W139" s="247" t="s">
        <v>40</v>
      </c>
      <c r="X139" s="257">
        <f>COUNTIFS('1. ALL DATA'!$Y$5:$Y$128,"REGENERATION",'1. ALL DATA'!$V$5:$V$128,"Fully Achieved")</f>
        <v>15</v>
      </c>
      <c r="Y139" s="344">
        <f>X139/$X$153</f>
        <v>0.9375</v>
      </c>
      <c r="Z139" s="481">
        <f>Y139+Y140</f>
        <v>0.9375</v>
      </c>
      <c r="AA139" s="344">
        <f>X139/$X$154</f>
        <v>0.9375</v>
      </c>
      <c r="AB139" s="467">
        <f>AA139+AA140</f>
        <v>0.9375</v>
      </c>
    </row>
    <row r="140" spans="2:28" ht="27.75" customHeight="1" x14ac:dyDescent="0.25">
      <c r="B140" s="247" t="s">
        <v>41</v>
      </c>
      <c r="C140" s="257">
        <f>COUNTIFS('1. ALL DATA'!$Y$5:$Y$128,"REGENERATION",'1. ALL DATA'!$H$5:$H$128,"On track to be achieved")</f>
        <v>7</v>
      </c>
      <c r="D140" s="367">
        <f>C140/C153</f>
        <v>0.4375</v>
      </c>
      <c r="E140" s="464"/>
      <c r="F140" s="344">
        <f>C140/C154</f>
        <v>0.63636363636363635</v>
      </c>
      <c r="G140" s="467"/>
      <c r="I140" s="247" t="s">
        <v>41</v>
      </c>
      <c r="J140" s="257">
        <f>COUNTIFS('1. ALL DATA'!$Y$5:$Y$128,"REGENERATION",'1. ALL DATA'!$M$5:$M$128,"On track to be achieved")</f>
        <v>4</v>
      </c>
      <c r="K140" s="344">
        <f>J140/J153</f>
        <v>0.25</v>
      </c>
      <c r="L140" s="481"/>
      <c r="M140" s="344">
        <f>J140/J154</f>
        <v>0.30769230769230771</v>
      </c>
      <c r="N140" s="467"/>
      <c r="P140" s="247" t="s">
        <v>41</v>
      </c>
      <c r="Q140" s="257">
        <f>COUNTIFS('1. ALL DATA'!$Y$5:$Y$128,"REGENERATION",'1. ALL DATA'!$R$5:$R$128,"On track to be achieved")</f>
        <v>3</v>
      </c>
      <c r="R140" s="344">
        <f>Q140/Q153</f>
        <v>0.1875</v>
      </c>
      <c r="S140" s="481"/>
      <c r="T140" s="344">
        <f>Q140/Q154</f>
        <v>0.21428571428571427</v>
      </c>
      <c r="U140" s="467"/>
      <c r="W140" s="247" t="s">
        <v>79</v>
      </c>
      <c r="X140" s="257">
        <f>COUNTIFS('1. ALL DATA'!$Y$5:$Y$128,"REGENERATION",'1. ALL DATA'!$V$5:$V$128,"Numerical Outturn Within 5% Tolerance")</f>
        <v>0</v>
      </c>
      <c r="Y140" s="344">
        <f>X140/$X$153</f>
        <v>0</v>
      </c>
      <c r="Z140" s="481"/>
      <c r="AA140" s="344">
        <f>X140/$X$154</f>
        <v>0</v>
      </c>
      <c r="AB140" s="467"/>
    </row>
    <row r="141" spans="2:28" ht="7.5" customHeight="1" x14ac:dyDescent="0.25">
      <c r="B141" s="167"/>
      <c r="C141" s="260"/>
      <c r="D141" s="192"/>
      <c r="E141" s="192"/>
      <c r="F141" s="69"/>
      <c r="G141" s="169"/>
      <c r="I141" s="167"/>
      <c r="J141" s="260"/>
      <c r="K141" s="69"/>
      <c r="L141" s="69"/>
      <c r="M141" s="69"/>
      <c r="N141" s="169"/>
      <c r="P141" s="167"/>
      <c r="Q141" s="260"/>
      <c r="R141" s="69"/>
      <c r="S141" s="69"/>
      <c r="T141" s="69"/>
      <c r="U141" s="169"/>
      <c r="W141" s="170"/>
      <c r="X141" s="260"/>
      <c r="Y141" s="344"/>
      <c r="Z141" s="69"/>
      <c r="AA141" s="344"/>
      <c r="AB141" s="169"/>
    </row>
    <row r="142" spans="2:28" ht="21" customHeight="1" x14ac:dyDescent="0.25">
      <c r="B142" s="462" t="s">
        <v>26</v>
      </c>
      <c r="C142" s="463">
        <f>COUNTIFS('1. ALL DATA'!$Y$5:$Y$128,"REGENERATION",'1. ALL DATA'!$H$5:$H$128,"In danger of falling behind target")</f>
        <v>0</v>
      </c>
      <c r="D142" s="464">
        <f>C142/C153</f>
        <v>0</v>
      </c>
      <c r="E142" s="464">
        <f>D142</f>
        <v>0</v>
      </c>
      <c r="F142" s="481">
        <f>C142/C154</f>
        <v>0</v>
      </c>
      <c r="G142" s="465">
        <f>F142</f>
        <v>0</v>
      </c>
      <c r="I142" s="462" t="s">
        <v>26</v>
      </c>
      <c r="J142" s="463">
        <f>COUNTIFS('1. ALL DATA'!$Y$5:$Y$128,"REGENERATION",'1. ALL DATA'!$M$5:$M$128,"In danger of falling behind target")</f>
        <v>0</v>
      </c>
      <c r="K142" s="481">
        <f>J142/J153</f>
        <v>0</v>
      </c>
      <c r="L142" s="481">
        <f>K142</f>
        <v>0</v>
      </c>
      <c r="M142" s="481">
        <f>J142/J154</f>
        <v>0</v>
      </c>
      <c r="N142" s="465">
        <f>M142</f>
        <v>0</v>
      </c>
      <c r="P142" s="462" t="s">
        <v>26</v>
      </c>
      <c r="Q142" s="463">
        <f>COUNTIFS('1. ALL DATA'!$Y$5:$Y$128,"REGENERATION",'1. ALL DATA'!$R$5:$R$128,"In danger of falling behind target")</f>
        <v>0</v>
      </c>
      <c r="R142" s="481">
        <f>Q142/Q153</f>
        <v>0</v>
      </c>
      <c r="S142" s="481">
        <f>R142</f>
        <v>0</v>
      </c>
      <c r="T142" s="481">
        <f>Q142/Q154</f>
        <v>0</v>
      </c>
      <c r="U142" s="465">
        <f>T142</f>
        <v>0</v>
      </c>
      <c r="W142" s="343" t="s">
        <v>80</v>
      </c>
      <c r="X142" s="368">
        <f>COUNTIFS('1. ALL DATA'!$Y$5:$Y$128,"REGENERATION",'1. ALL DATA'!$V$5:$V$128,"Numerical Outturn Within 10% Tolerance")</f>
        <v>0</v>
      </c>
      <c r="Y142" s="344">
        <f>X142/$X$153</f>
        <v>0</v>
      </c>
      <c r="Z142" s="482">
        <f>SUM(Y142:Y145)</f>
        <v>0</v>
      </c>
      <c r="AA142" s="344">
        <f>X142/$X$154</f>
        <v>0</v>
      </c>
      <c r="AB142" s="465">
        <f>SUM(AA142:AA145)</f>
        <v>0</v>
      </c>
    </row>
    <row r="143" spans="2:28" ht="18.75" customHeight="1" x14ac:dyDescent="0.25">
      <c r="B143" s="462"/>
      <c r="C143" s="463"/>
      <c r="D143" s="464"/>
      <c r="E143" s="464"/>
      <c r="F143" s="481"/>
      <c r="G143" s="465"/>
      <c r="I143" s="462"/>
      <c r="J143" s="463"/>
      <c r="K143" s="481"/>
      <c r="L143" s="481"/>
      <c r="M143" s="481"/>
      <c r="N143" s="465"/>
      <c r="P143" s="462"/>
      <c r="Q143" s="463"/>
      <c r="R143" s="481"/>
      <c r="S143" s="481"/>
      <c r="T143" s="481"/>
      <c r="U143" s="465"/>
      <c r="W143" s="343" t="s">
        <v>81</v>
      </c>
      <c r="X143" s="368">
        <f>COUNTIFS('1. ALL DATA'!$Y$5:$Y$128,"REGENERATION",'1. ALL DATA'!$V$5:$V$128,"Target Partially Met")</f>
        <v>0</v>
      </c>
      <c r="Y143" s="344">
        <f>X143/$X$153</f>
        <v>0</v>
      </c>
      <c r="Z143" s="483"/>
      <c r="AA143" s="344">
        <f>X143/$X$154</f>
        <v>0</v>
      </c>
      <c r="AB143" s="465"/>
    </row>
    <row r="144" spans="2:28" ht="20.25" customHeight="1" x14ac:dyDescent="0.25">
      <c r="B144" s="462"/>
      <c r="C144" s="463"/>
      <c r="D144" s="464"/>
      <c r="E144" s="464"/>
      <c r="F144" s="481"/>
      <c r="G144" s="465"/>
      <c r="I144" s="462"/>
      <c r="J144" s="463"/>
      <c r="K144" s="481"/>
      <c r="L144" s="481"/>
      <c r="M144" s="481"/>
      <c r="N144" s="465"/>
      <c r="P144" s="462"/>
      <c r="Q144" s="463"/>
      <c r="R144" s="481"/>
      <c r="S144" s="481"/>
      <c r="T144" s="481"/>
      <c r="U144" s="465"/>
      <c r="W144" s="343" t="s">
        <v>83</v>
      </c>
      <c r="X144" s="368">
        <f>COUNTIFS('1. ALL DATA'!$Y$5:$Y$128,"REGENERATION",'1. ALL DATA'!$V$5:$V$128,"Completion Date Within Reasonable Tolerance")</f>
        <v>0</v>
      </c>
      <c r="Y144" s="344">
        <f>X144/$X$153</f>
        <v>0</v>
      </c>
      <c r="Z144" s="484"/>
      <c r="AA144" s="344">
        <f>X144/$X$154</f>
        <v>0</v>
      </c>
      <c r="AB144" s="465"/>
    </row>
    <row r="145" spans="2:28" ht="6" customHeight="1" x14ac:dyDescent="0.25">
      <c r="B145" s="167"/>
      <c r="C145" s="54"/>
      <c r="D145" s="192"/>
      <c r="E145" s="192"/>
      <c r="F145" s="69"/>
      <c r="G145" s="169"/>
      <c r="I145" s="167"/>
      <c r="J145" s="54"/>
      <c r="K145" s="69"/>
      <c r="L145" s="69"/>
      <c r="M145" s="69"/>
      <c r="N145" s="169"/>
      <c r="P145" s="167"/>
      <c r="Q145" s="54"/>
      <c r="R145" s="69"/>
      <c r="S145" s="69"/>
      <c r="T145" s="69"/>
      <c r="U145" s="169"/>
      <c r="W145" s="170"/>
      <c r="X145" s="54"/>
      <c r="Y145" s="344"/>
      <c r="Z145" s="69"/>
      <c r="AA145" s="344"/>
      <c r="AB145" s="169"/>
    </row>
    <row r="146" spans="2:28" ht="30" customHeight="1" x14ac:dyDescent="0.25">
      <c r="B146" s="248" t="s">
        <v>42</v>
      </c>
      <c r="C146" s="257">
        <f>COUNTIFS('1. ALL DATA'!$Y$5:$Y$128,"REGENERATION",'1. ALL DATA'!$H$5:$H$128,"Completed behind schedule")</f>
        <v>0</v>
      </c>
      <c r="D146" s="367">
        <f>C146/C153</f>
        <v>0</v>
      </c>
      <c r="E146" s="464">
        <f>D146+D147</f>
        <v>6.25E-2</v>
      </c>
      <c r="F146" s="344">
        <f>C146/C154</f>
        <v>0</v>
      </c>
      <c r="G146" s="480">
        <f>F146+F147</f>
        <v>9.0909090909090912E-2</v>
      </c>
      <c r="I146" s="248" t="s">
        <v>42</v>
      </c>
      <c r="J146" s="257">
        <f>COUNTIFS('1. ALL DATA'!$Y$5:$Y$128,"REGENERATION",'1. ALL DATA'!$M$5:$M$128,"Completed behind schedule")</f>
        <v>0</v>
      </c>
      <c r="K146" s="344">
        <f>J146/J153</f>
        <v>0</v>
      </c>
      <c r="L146" s="481">
        <f>K146+K147</f>
        <v>6.25E-2</v>
      </c>
      <c r="M146" s="344">
        <f>J146/J154</f>
        <v>0</v>
      </c>
      <c r="N146" s="480">
        <f>M146+M147</f>
        <v>7.6923076923076927E-2</v>
      </c>
      <c r="P146" s="248" t="s">
        <v>42</v>
      </c>
      <c r="Q146" s="257">
        <f>COUNTIFS('1. ALL DATA'!$Y$5:$Y$128,"REGENERATION",'1. ALL DATA'!$R$5:$R$128,"Completed behind schedule")</f>
        <v>0</v>
      </c>
      <c r="R146" s="344">
        <f>Q146/Q153</f>
        <v>0</v>
      </c>
      <c r="S146" s="481">
        <f>R146+R147</f>
        <v>6.25E-2</v>
      </c>
      <c r="T146" s="344">
        <f>Q146/Q154</f>
        <v>0</v>
      </c>
      <c r="U146" s="480">
        <f>T146+T147</f>
        <v>7.1428571428571425E-2</v>
      </c>
      <c r="W146" s="248" t="s">
        <v>82</v>
      </c>
      <c r="X146" s="257">
        <f>COUNTIFS('1. ALL DATA'!$Y$5:$Y$128,"REGENERATION",'1. ALL DATA'!$V$5:$V$128,"Completed Significantly After Target Deadline")</f>
        <v>0</v>
      </c>
      <c r="Y146" s="344">
        <f>X146/$X$153</f>
        <v>0</v>
      </c>
      <c r="Z146" s="481">
        <f>Y146+Y147</f>
        <v>6.25E-2</v>
      </c>
      <c r="AA146" s="344">
        <f>X146/$X$154</f>
        <v>0</v>
      </c>
      <c r="AB146" s="480">
        <f>AA146+AA147</f>
        <v>6.25E-2</v>
      </c>
    </row>
    <row r="147" spans="2:28" ht="30" customHeight="1" x14ac:dyDescent="0.25">
      <c r="B147" s="248" t="s">
        <v>27</v>
      </c>
      <c r="C147" s="257">
        <f>COUNTIFS('1. ALL DATA'!$Y$5:$Y$128,"REGENERATION",'1. ALL DATA'!$H$5:$H$128,"Off target")</f>
        <v>1</v>
      </c>
      <c r="D147" s="367">
        <f>C147/C153</f>
        <v>6.25E-2</v>
      </c>
      <c r="E147" s="464"/>
      <c r="F147" s="344">
        <f>C147/C154</f>
        <v>9.0909090909090912E-2</v>
      </c>
      <c r="G147" s="480"/>
      <c r="I147" s="248" t="s">
        <v>27</v>
      </c>
      <c r="J147" s="257">
        <f>COUNTIFS('1. ALL DATA'!$Y$5:$Y$128,"REGENERATION",'1. ALL DATA'!$M$5:$M$128,"Off target")</f>
        <v>1</v>
      </c>
      <c r="K147" s="344">
        <f>J147/J153</f>
        <v>6.25E-2</v>
      </c>
      <c r="L147" s="481"/>
      <c r="M147" s="344">
        <f>J147/J154</f>
        <v>7.6923076923076927E-2</v>
      </c>
      <c r="N147" s="480"/>
      <c r="P147" s="248" t="s">
        <v>27</v>
      </c>
      <c r="Q147" s="257">
        <f>COUNTIFS('1. ALL DATA'!$Y$5:$Y$128,"REGENERATION",'1. ALL DATA'!$R$5:$R$128,"Off target")</f>
        <v>1</v>
      </c>
      <c r="R147" s="344">
        <f>Q147/Q153</f>
        <v>6.25E-2</v>
      </c>
      <c r="S147" s="481"/>
      <c r="T147" s="344">
        <f>Q147/Q154</f>
        <v>7.1428571428571425E-2</v>
      </c>
      <c r="U147" s="480"/>
      <c r="W147" s="248" t="s">
        <v>27</v>
      </c>
      <c r="X147" s="257">
        <f>COUNTIFS('1. ALL DATA'!$Y$5:$Y$128,"REGENERATION",'1. ALL DATA'!$V$5:$V$128,"Off target")</f>
        <v>1</v>
      </c>
      <c r="Y147" s="344">
        <f>X147/$X$153</f>
        <v>6.25E-2</v>
      </c>
      <c r="Z147" s="481"/>
      <c r="AA147" s="344">
        <f>X147/$X$154</f>
        <v>6.25E-2</v>
      </c>
      <c r="AB147" s="480"/>
    </row>
    <row r="148" spans="2:28" ht="5.25" customHeight="1" x14ac:dyDescent="0.25">
      <c r="B148" s="51"/>
      <c r="C148" s="260"/>
      <c r="D148" s="192"/>
      <c r="E148" s="192"/>
      <c r="F148" s="69"/>
      <c r="G148" s="90"/>
      <c r="I148" s="51"/>
      <c r="J148" s="260"/>
      <c r="K148" s="69"/>
      <c r="L148" s="69"/>
      <c r="M148" s="69"/>
      <c r="N148" s="90"/>
      <c r="P148" s="51"/>
      <c r="Q148" s="260"/>
      <c r="R148" s="69"/>
      <c r="S148" s="69"/>
      <c r="T148" s="69"/>
      <c r="U148" s="90"/>
      <c r="W148" s="250"/>
      <c r="X148" s="260"/>
      <c r="Y148" s="344"/>
      <c r="Z148" s="71"/>
      <c r="AA148" s="72"/>
      <c r="AB148" s="238"/>
    </row>
    <row r="149" spans="2:28" ht="15.75" customHeight="1" x14ac:dyDescent="0.25">
      <c r="B149" s="345" t="s">
        <v>1</v>
      </c>
      <c r="C149" s="269">
        <f>COUNTIFS('1. ALL DATA'!$Y$5:$Y$128,"REGENERATION",'1. ALL DATA'!$H$5:$H$128,"Not yet due")</f>
        <v>5</v>
      </c>
      <c r="D149" s="252">
        <f>C149/C153</f>
        <v>0.3125</v>
      </c>
      <c r="E149" s="252">
        <f>D149</f>
        <v>0.3125</v>
      </c>
      <c r="F149" s="74"/>
      <c r="G149" s="45"/>
      <c r="I149" s="345" t="s">
        <v>1</v>
      </c>
      <c r="J149" s="269">
        <f>COUNTIFS('1. ALL DATA'!$Y$5:$Y$128,"REGENERATION",'1. ALL DATA'!$M$5:$M$128,"Not yet due")</f>
        <v>3</v>
      </c>
      <c r="K149" s="73">
        <f>J149/J153</f>
        <v>0.1875</v>
      </c>
      <c r="L149" s="73">
        <f>K149</f>
        <v>0.1875</v>
      </c>
      <c r="M149" s="74"/>
      <c r="N149" s="45"/>
      <c r="P149" s="345" t="s">
        <v>1</v>
      </c>
      <c r="Q149" s="269">
        <f>COUNTIFS('1. ALL DATA'!$Y$5:$Y$128,"REGENERATION",'1. ALL DATA'!$R$5:$R$128,"Not yet due")</f>
        <v>2</v>
      </c>
      <c r="R149" s="73">
        <f>Q149/Q153</f>
        <v>0.125</v>
      </c>
      <c r="S149" s="73">
        <f>R149</f>
        <v>0.125</v>
      </c>
      <c r="T149" s="74"/>
      <c r="U149" s="91"/>
      <c r="W149" s="60" t="s">
        <v>1</v>
      </c>
      <c r="X149" s="269">
        <f>COUNTIFS('1. ALL DATA'!$Y$5:$Y$128,"REGENERATION",'1. ALL DATA'!$V$5:$V$128,"Not yet due")</f>
        <v>0</v>
      </c>
      <c r="Y149" s="344">
        <f>X149/$X$153</f>
        <v>0</v>
      </c>
      <c r="Z149" s="73">
        <f>Y149</f>
        <v>0</v>
      </c>
      <c r="AA149" s="74"/>
      <c r="AB149" s="235"/>
    </row>
    <row r="150" spans="2:28" ht="15.75" customHeight="1" x14ac:dyDescent="0.25">
      <c r="B150" s="345" t="s">
        <v>46</v>
      </c>
      <c r="C150" s="269">
        <f>COUNTIFS('1. ALL DATA'!$Y$5:$Y$128,"REGENERATION",'1. ALL DATA'!$H$5:$H$128,"Update not provided")</f>
        <v>0</v>
      </c>
      <c r="D150" s="252">
        <f>C150/C153</f>
        <v>0</v>
      </c>
      <c r="E150" s="252">
        <f>D150</f>
        <v>0</v>
      </c>
      <c r="F150" s="74"/>
      <c r="G150" s="96"/>
      <c r="I150" s="345" t="s">
        <v>46</v>
      </c>
      <c r="J150" s="269">
        <f>COUNTIFS('1. ALL DATA'!$Y$5:$Y$128,"REGENERATION",'1. ALL DATA'!$M$5:$M$128,"Update not provided")</f>
        <v>0</v>
      </c>
      <c r="K150" s="73">
        <f>J150/J153</f>
        <v>0</v>
      </c>
      <c r="L150" s="73">
        <f>K150</f>
        <v>0</v>
      </c>
      <c r="M150" s="74"/>
      <c r="N150" s="96"/>
      <c r="P150" s="345" t="s">
        <v>46</v>
      </c>
      <c r="Q150" s="269">
        <f>COUNTIFS('1. ALL DATA'!$Y$5:$Y$128,"REGENERATION",'1. ALL DATA'!$R$5:$R$128,"Update not provided")</f>
        <v>0</v>
      </c>
      <c r="R150" s="73">
        <f>Q150/Q153</f>
        <v>0</v>
      </c>
      <c r="S150" s="73">
        <f>R150</f>
        <v>0</v>
      </c>
      <c r="T150" s="74"/>
      <c r="U150" s="92"/>
      <c r="W150" s="62" t="s">
        <v>46</v>
      </c>
      <c r="X150" s="269">
        <f>COUNTIFS('1. ALL DATA'!$Y$5:$Y$128,"REGENERATION",'1. ALL DATA'!$V$5:$V$128,"Update not provided")</f>
        <v>0</v>
      </c>
      <c r="Y150" s="344">
        <f>X150/$X$153</f>
        <v>0</v>
      </c>
      <c r="Z150" s="73">
        <f>Y150</f>
        <v>0</v>
      </c>
      <c r="AA150" s="74"/>
    </row>
    <row r="151" spans="2:28" ht="15.75" customHeight="1" x14ac:dyDescent="0.25">
      <c r="B151" s="47" t="s">
        <v>22</v>
      </c>
      <c r="C151" s="269">
        <f>COUNTIFS('1. ALL DATA'!$Y$5:$Y$128,"REGENERATION",'1. ALL DATA'!$H$5:$H$128,"Deferred")</f>
        <v>0</v>
      </c>
      <c r="D151" s="253">
        <f>C151/C153</f>
        <v>0</v>
      </c>
      <c r="E151" s="253">
        <f>D151</f>
        <v>0</v>
      </c>
      <c r="F151" s="75"/>
      <c r="G151" s="45"/>
      <c r="I151" s="47" t="s">
        <v>22</v>
      </c>
      <c r="J151" s="269">
        <f>COUNTIFS('1. ALL DATA'!$Y$5:$Y$128,"REGENERATION",'1. ALL DATA'!$M$5:$M$128,"Deferred")</f>
        <v>0</v>
      </c>
      <c r="K151" s="76">
        <f>J151/J153</f>
        <v>0</v>
      </c>
      <c r="L151" s="76">
        <f>K151</f>
        <v>0</v>
      </c>
      <c r="M151" s="75"/>
      <c r="N151" s="45"/>
      <c r="P151" s="47" t="s">
        <v>22</v>
      </c>
      <c r="Q151" s="269">
        <f>COUNTIFS('1. ALL DATA'!$Y$5:$Y$128,"REGENERATION",'1. ALL DATA'!$R$5:$R$128,"Deferred")</f>
        <v>0</v>
      </c>
      <c r="R151" s="76">
        <f>Q151/Q153</f>
        <v>0</v>
      </c>
      <c r="S151" s="76">
        <f>R151</f>
        <v>0</v>
      </c>
      <c r="T151" s="75"/>
      <c r="U151" s="91"/>
      <c r="W151" s="47" t="s">
        <v>22</v>
      </c>
      <c r="X151" s="269">
        <f>COUNTIFS('1. ALL DATA'!$Y$5:$Y$128,"REGENERATION",'1. ALL DATA'!$V$5:$V$128,"Deferred")</f>
        <v>0</v>
      </c>
      <c r="Y151" s="344">
        <f>X151/$X$153</f>
        <v>0</v>
      </c>
      <c r="Z151" s="76">
        <f>Y151</f>
        <v>0</v>
      </c>
      <c r="AA151" s="75"/>
      <c r="AB151" s="235"/>
    </row>
    <row r="152" spans="2:28" ht="15.75" customHeight="1" x14ac:dyDescent="0.25">
      <c r="B152" s="47" t="s">
        <v>28</v>
      </c>
      <c r="C152" s="269">
        <f>COUNTIFS('1. ALL DATA'!$Y$5:$Y$128,"REGENERATION",'1. ALL DATA'!$H$5:$H$128,"Deleted")</f>
        <v>0</v>
      </c>
      <c r="D152" s="253">
        <f>C152/C153</f>
        <v>0</v>
      </c>
      <c r="E152" s="253">
        <f>D152</f>
        <v>0</v>
      </c>
      <c r="F152" s="75"/>
      <c r="G152" s="89" t="s">
        <v>62</v>
      </c>
      <c r="I152" s="47" t="s">
        <v>28</v>
      </c>
      <c r="J152" s="269">
        <f>COUNTIFS('1. ALL DATA'!$Y$5:$Y$128,"REGENERATION",'1. ALL DATA'!$M$5:$M$128,"Deleted")</f>
        <v>0</v>
      </c>
      <c r="K152" s="76">
        <f>J152/J153</f>
        <v>0</v>
      </c>
      <c r="L152" s="76">
        <f>K152</f>
        <v>0</v>
      </c>
      <c r="M152" s="75"/>
      <c r="N152" s="89" t="s">
        <v>62</v>
      </c>
      <c r="P152" s="47" t="s">
        <v>28</v>
      </c>
      <c r="Q152" s="269">
        <f>COUNTIFS('1. ALL DATA'!$Y$5:$Y$128,"REGENERATION",'1. ALL DATA'!$R$5:$R$128,"Deleted")</f>
        <v>0</v>
      </c>
      <c r="R152" s="76">
        <f>Q152/Q153</f>
        <v>0</v>
      </c>
      <c r="S152" s="76">
        <f>R152</f>
        <v>0</v>
      </c>
      <c r="T152" s="75"/>
      <c r="U152" s="89" t="s">
        <v>62</v>
      </c>
      <c r="W152" s="47" t="s">
        <v>28</v>
      </c>
      <c r="X152" s="269">
        <f>COUNTIFS('1. ALL DATA'!$Y$5:$Y$128,"REGENERATION",'1. ALL DATA'!$V$5:$V$128,"Deleted")</f>
        <v>0</v>
      </c>
      <c r="Y152" s="344">
        <f>X152/$X$153</f>
        <v>0</v>
      </c>
      <c r="Z152" s="76">
        <f>Y152</f>
        <v>0</v>
      </c>
      <c r="AA152" s="75"/>
      <c r="AB152" s="89" t="s">
        <v>62</v>
      </c>
    </row>
    <row r="153" spans="2:28" ht="15.75" customHeight="1" x14ac:dyDescent="0.25">
      <c r="B153" s="48" t="s">
        <v>30</v>
      </c>
      <c r="C153" s="271">
        <f>SUM(C139:C152)</f>
        <v>16</v>
      </c>
      <c r="D153" s="44"/>
      <c r="E153" s="44"/>
      <c r="F153" s="50"/>
      <c r="G153" s="45"/>
      <c r="I153" s="48" t="s">
        <v>30</v>
      </c>
      <c r="J153" s="271">
        <f>SUM(J139:J152)</f>
        <v>16</v>
      </c>
      <c r="K153" s="75"/>
      <c r="L153" s="75"/>
      <c r="M153" s="50"/>
      <c r="N153" s="45"/>
      <c r="P153" s="48" t="s">
        <v>30</v>
      </c>
      <c r="Q153" s="271">
        <f>SUM(Q139:Q152)</f>
        <v>16</v>
      </c>
      <c r="R153" s="75"/>
      <c r="S153" s="75"/>
      <c r="T153" s="50"/>
      <c r="U153" s="91"/>
      <c r="W153" s="48" t="s">
        <v>30</v>
      </c>
      <c r="X153" s="271">
        <f>SUM(X139:X152)</f>
        <v>16</v>
      </c>
      <c r="Y153" s="75"/>
      <c r="Z153" s="75"/>
      <c r="AA153" s="50"/>
      <c r="AB153" s="235"/>
    </row>
    <row r="154" spans="2:28" ht="15.75" customHeight="1" x14ac:dyDescent="0.25">
      <c r="B154" s="48" t="s">
        <v>31</v>
      </c>
      <c r="C154" s="271">
        <f>C153-C152-C151-C150-C149</f>
        <v>11</v>
      </c>
      <c r="D154" s="45"/>
      <c r="E154" s="45"/>
      <c r="F154" s="50"/>
      <c r="G154" s="45"/>
      <c r="I154" s="48" t="s">
        <v>31</v>
      </c>
      <c r="J154" s="271">
        <f>J153-J152-J151-J150-J149</f>
        <v>13</v>
      </c>
      <c r="K154" s="50"/>
      <c r="L154" s="50"/>
      <c r="M154" s="50"/>
      <c r="N154" s="45"/>
      <c r="P154" s="48" t="s">
        <v>31</v>
      </c>
      <c r="Q154" s="271">
        <f>Q153-Q152-Q151-Q150-Q149</f>
        <v>14</v>
      </c>
      <c r="R154" s="50"/>
      <c r="S154" s="50"/>
      <c r="T154" s="50"/>
      <c r="U154" s="91"/>
      <c r="W154" s="48" t="s">
        <v>31</v>
      </c>
      <c r="X154" s="271">
        <f>X153-X152-X151-X150-X149</f>
        <v>16</v>
      </c>
      <c r="Y154" s="50"/>
      <c r="Z154" s="50"/>
      <c r="AA154" s="50"/>
      <c r="AB154" s="235"/>
    </row>
  </sheetData>
  <mergeCells count="252">
    <mergeCell ref="T142:T144"/>
    <mergeCell ref="U142:U144"/>
    <mergeCell ref="Z142:Z144"/>
    <mergeCell ref="AB142:AB144"/>
    <mergeCell ref="E146:E147"/>
    <mergeCell ref="G146:G147"/>
    <mergeCell ref="L146:L147"/>
    <mergeCell ref="N146:N147"/>
    <mergeCell ref="S146:S147"/>
    <mergeCell ref="U146:U147"/>
    <mergeCell ref="Z146:Z147"/>
    <mergeCell ref="AB146:AB147"/>
    <mergeCell ref="E139:E140"/>
    <mergeCell ref="G139:G140"/>
    <mergeCell ref="L139:L140"/>
    <mergeCell ref="N139:N140"/>
    <mergeCell ref="S139:S140"/>
    <mergeCell ref="U139:U140"/>
    <mergeCell ref="Z139:Z140"/>
    <mergeCell ref="AB139:AB140"/>
    <mergeCell ref="B142:B144"/>
    <mergeCell ref="C142:C144"/>
    <mergeCell ref="D142:D144"/>
    <mergeCell ref="E142:E144"/>
    <mergeCell ref="F142:F144"/>
    <mergeCell ref="G142:G144"/>
    <mergeCell ref="I142:I144"/>
    <mergeCell ref="J142:J144"/>
    <mergeCell ref="K142:K144"/>
    <mergeCell ref="L142:L144"/>
    <mergeCell ref="M142:M144"/>
    <mergeCell ref="N142:N144"/>
    <mergeCell ref="P142:P144"/>
    <mergeCell ref="Q142:Q144"/>
    <mergeCell ref="R142:R144"/>
    <mergeCell ref="S142:S144"/>
    <mergeCell ref="Z124:Z125"/>
    <mergeCell ref="AB124:AB125"/>
    <mergeCell ref="E6:E7"/>
    <mergeCell ref="G6:G7"/>
    <mergeCell ref="L6:L7"/>
    <mergeCell ref="N6:N7"/>
    <mergeCell ref="S6:S7"/>
    <mergeCell ref="E124:E125"/>
    <mergeCell ref="G124:G125"/>
    <mergeCell ref="L124:L125"/>
    <mergeCell ref="N124:N125"/>
    <mergeCell ref="G9:G11"/>
    <mergeCell ref="I9:I11"/>
    <mergeCell ref="J9:J11"/>
    <mergeCell ref="K9:K11"/>
    <mergeCell ref="L9:L11"/>
    <mergeCell ref="M9:M11"/>
    <mergeCell ref="U6:U7"/>
    <mergeCell ref="Z6:Z7"/>
    <mergeCell ref="T9:T11"/>
    <mergeCell ref="U9:U11"/>
    <mergeCell ref="Z9:Z11"/>
    <mergeCell ref="L13:L14"/>
    <mergeCell ref="N13:N14"/>
    <mergeCell ref="Z120:Z122"/>
    <mergeCell ref="AB120:AB122"/>
    <mergeCell ref="AB6:AB7"/>
    <mergeCell ref="AB9:AB11"/>
    <mergeCell ref="Z102:Z103"/>
    <mergeCell ref="B9:B11"/>
    <mergeCell ref="C9:C11"/>
    <mergeCell ref="D9:D11"/>
    <mergeCell ref="E9:E11"/>
    <mergeCell ref="F9:F11"/>
    <mergeCell ref="N9:N11"/>
    <mergeCell ref="P9:P11"/>
    <mergeCell ref="Q9:Q11"/>
    <mergeCell ref="R9:R11"/>
    <mergeCell ref="S9:S11"/>
    <mergeCell ref="S13:S14"/>
    <mergeCell ref="U13:U14"/>
    <mergeCell ref="Z13:Z14"/>
    <mergeCell ref="AB13:AB14"/>
    <mergeCell ref="R120:R122"/>
    <mergeCell ref="G120:G122"/>
    <mergeCell ref="I120:I122"/>
    <mergeCell ref="J120:J122"/>
    <mergeCell ref="K120:K122"/>
    <mergeCell ref="L120:L122"/>
    <mergeCell ref="S124:S125"/>
    <mergeCell ref="U124:U125"/>
    <mergeCell ref="S120:S122"/>
    <mergeCell ref="T120:T122"/>
    <mergeCell ref="U120:U122"/>
    <mergeCell ref="B120:B122"/>
    <mergeCell ref="C120:C122"/>
    <mergeCell ref="D120:D122"/>
    <mergeCell ref="E120:E122"/>
    <mergeCell ref="F120:F122"/>
    <mergeCell ref="M120:M122"/>
    <mergeCell ref="N120:N122"/>
    <mergeCell ref="P120:P122"/>
    <mergeCell ref="Q120:Q122"/>
    <mergeCell ref="AB102:AB103"/>
    <mergeCell ref="E117:E118"/>
    <mergeCell ref="G117:G118"/>
    <mergeCell ref="L117:L118"/>
    <mergeCell ref="N117:N118"/>
    <mergeCell ref="S117:S118"/>
    <mergeCell ref="U117:U118"/>
    <mergeCell ref="Z117:Z118"/>
    <mergeCell ref="AB117:AB118"/>
    <mergeCell ref="E102:E103"/>
    <mergeCell ref="G102:G103"/>
    <mergeCell ref="L102:L103"/>
    <mergeCell ref="N102:N103"/>
    <mergeCell ref="S102:S103"/>
    <mergeCell ref="U102:U103"/>
    <mergeCell ref="S98:S100"/>
    <mergeCell ref="T98:T100"/>
    <mergeCell ref="U98:U100"/>
    <mergeCell ref="M98:M100"/>
    <mergeCell ref="N98:N100"/>
    <mergeCell ref="P98:P100"/>
    <mergeCell ref="Q98:Q100"/>
    <mergeCell ref="R98:R100"/>
    <mergeCell ref="G98:G100"/>
    <mergeCell ref="B98:B100"/>
    <mergeCell ref="C98:C100"/>
    <mergeCell ref="D98:D100"/>
    <mergeCell ref="E98:E100"/>
    <mergeCell ref="F98:F100"/>
    <mergeCell ref="Z80:Z81"/>
    <mergeCell ref="AB80:AB81"/>
    <mergeCell ref="E95:E96"/>
    <mergeCell ref="G95:G96"/>
    <mergeCell ref="L95:L96"/>
    <mergeCell ref="N95:N96"/>
    <mergeCell ref="S95:S96"/>
    <mergeCell ref="I98:I100"/>
    <mergeCell ref="J98:J100"/>
    <mergeCell ref="K98:K100"/>
    <mergeCell ref="L98:L100"/>
    <mergeCell ref="U95:U96"/>
    <mergeCell ref="Z95:Z96"/>
    <mergeCell ref="AB95:AB96"/>
    <mergeCell ref="AB98:AB100"/>
    <mergeCell ref="Z98:Z100"/>
    <mergeCell ref="E80:E81"/>
    <mergeCell ref="G80:G81"/>
    <mergeCell ref="L80:L81"/>
    <mergeCell ref="N80:N81"/>
    <mergeCell ref="S80:S81"/>
    <mergeCell ref="U80:U81"/>
    <mergeCell ref="S76:S78"/>
    <mergeCell ref="T76:T78"/>
    <mergeCell ref="U76:U78"/>
    <mergeCell ref="M76:M78"/>
    <mergeCell ref="N76:N78"/>
    <mergeCell ref="P76:P78"/>
    <mergeCell ref="Q76:Q78"/>
    <mergeCell ref="R76:R78"/>
    <mergeCell ref="G76:G78"/>
    <mergeCell ref="B76:B78"/>
    <mergeCell ref="C76:C78"/>
    <mergeCell ref="D76:D78"/>
    <mergeCell ref="E76:E78"/>
    <mergeCell ref="F76:F78"/>
    <mergeCell ref="Z58:Z59"/>
    <mergeCell ref="AB58:AB59"/>
    <mergeCell ref="E73:E74"/>
    <mergeCell ref="G73:G74"/>
    <mergeCell ref="L73:L74"/>
    <mergeCell ref="N73:N74"/>
    <mergeCell ref="S73:S74"/>
    <mergeCell ref="I76:I78"/>
    <mergeCell ref="J76:J78"/>
    <mergeCell ref="K76:K78"/>
    <mergeCell ref="L76:L78"/>
    <mergeCell ref="U73:U74"/>
    <mergeCell ref="Z73:Z74"/>
    <mergeCell ref="AB73:AB74"/>
    <mergeCell ref="AB76:AB78"/>
    <mergeCell ref="Z76:Z78"/>
    <mergeCell ref="E58:E59"/>
    <mergeCell ref="G58:G59"/>
    <mergeCell ref="Z29:Z30"/>
    <mergeCell ref="G54:G56"/>
    <mergeCell ref="B54:B56"/>
    <mergeCell ref="C54:C56"/>
    <mergeCell ref="D54:D56"/>
    <mergeCell ref="E54:E56"/>
    <mergeCell ref="F54:F56"/>
    <mergeCell ref="Z36:Z37"/>
    <mergeCell ref="AB36:AB37"/>
    <mergeCell ref="E51:E52"/>
    <mergeCell ref="G51:G52"/>
    <mergeCell ref="L51:L52"/>
    <mergeCell ref="N51:N52"/>
    <mergeCell ref="S51:S52"/>
    <mergeCell ref="I54:I56"/>
    <mergeCell ref="J54:J56"/>
    <mergeCell ref="K54:K56"/>
    <mergeCell ref="L54:L56"/>
    <mergeCell ref="U51:U52"/>
    <mergeCell ref="Z51:Z52"/>
    <mergeCell ref="AB51:AB52"/>
    <mergeCell ref="AB54:AB56"/>
    <mergeCell ref="Z54:Z56"/>
    <mergeCell ref="S54:S56"/>
    <mergeCell ref="B32:B34"/>
    <mergeCell ref="C32:C34"/>
    <mergeCell ref="D32:D34"/>
    <mergeCell ref="E32:E34"/>
    <mergeCell ref="F32:F34"/>
    <mergeCell ref="E29:E30"/>
    <mergeCell ref="G29:G30"/>
    <mergeCell ref="G32:G34"/>
    <mergeCell ref="AB29:AB30"/>
    <mergeCell ref="N29:N30"/>
    <mergeCell ref="S29:S30"/>
    <mergeCell ref="AB32:AB34"/>
    <mergeCell ref="S32:S34"/>
    <mergeCell ref="T32:T34"/>
    <mergeCell ref="U32:U34"/>
    <mergeCell ref="Z32:Z34"/>
    <mergeCell ref="M32:M34"/>
    <mergeCell ref="N32:N34"/>
    <mergeCell ref="P32:P34"/>
    <mergeCell ref="L29:L30"/>
    <mergeCell ref="I32:I34"/>
    <mergeCell ref="J32:J34"/>
    <mergeCell ref="K32:K34"/>
    <mergeCell ref="L32:L34"/>
    <mergeCell ref="U36:U37"/>
    <mergeCell ref="U29:U30"/>
    <mergeCell ref="L58:L59"/>
    <mergeCell ref="N58:N59"/>
    <mergeCell ref="S58:S59"/>
    <mergeCell ref="U58:U59"/>
    <mergeCell ref="T54:T56"/>
    <mergeCell ref="U54:U56"/>
    <mergeCell ref="E13:E14"/>
    <mergeCell ref="G13:G14"/>
    <mergeCell ref="Q32:Q34"/>
    <mergeCell ref="R32:R34"/>
    <mergeCell ref="E36:E37"/>
    <mergeCell ref="G36:G37"/>
    <mergeCell ref="L36:L37"/>
    <mergeCell ref="N36:N37"/>
    <mergeCell ref="S36:S37"/>
    <mergeCell ref="M54:M56"/>
    <mergeCell ref="N54:N56"/>
    <mergeCell ref="P54:P56"/>
    <mergeCell ref="Q54:Q56"/>
    <mergeCell ref="R54:R56"/>
  </mergeCells>
  <hyperlinks>
    <hyperlink ref="G19" location="INDEX!A1" display="Back to index"/>
    <hyperlink ref="G42" location="INDEX!A1" display="Back to index"/>
    <hyperlink ref="G64" location="INDEX!A1" display="Back to index"/>
    <hyperlink ref="G86" location="INDEX!A1" display="Back to index"/>
    <hyperlink ref="G108" location="INDEX!A1" display="Back to index"/>
    <hyperlink ref="G130" location="INDEX!A1" display="Back to index"/>
    <hyperlink ref="N130" location="INDEX!A1" display="Back to index"/>
    <hyperlink ref="N108" location="INDEX!A1" display="Back to index"/>
    <hyperlink ref="N86" location="INDEX!A1" display="Back to index"/>
    <hyperlink ref="N64" location="INDEX!A1" display="Back to index"/>
    <hyperlink ref="N43" location="INDEX!A1" display="Back to index"/>
    <hyperlink ref="N19" location="INDEX!A1" display="Back to index"/>
    <hyperlink ref="U19" location="INDEX!A1" display="Back to index"/>
    <hyperlink ref="U42" location="INDEX!A1" display="Back to index"/>
    <hyperlink ref="U64" location="INDEX!A1" display="Back to index"/>
    <hyperlink ref="U86" location="INDEX!A1" display="Back to index"/>
    <hyperlink ref="U108" location="INDEX!A1" display="Back to index"/>
    <hyperlink ref="U130" location="INDEX!A1" display="Back to index"/>
    <hyperlink ref="AB130" location="INDEX!A1" display="Back to index"/>
    <hyperlink ref="AB108" location="INDEX!A1" display="Back to index"/>
    <hyperlink ref="AB86" location="INDEX!A1" display="Back to index"/>
    <hyperlink ref="AB64" location="INDEX!A1" display="Back to index"/>
    <hyperlink ref="AB42" location="INDEX!A1" display="Back to index"/>
    <hyperlink ref="AB19" location="INDEX!A1" display="Back to index"/>
    <hyperlink ref="G152" location="INDEX!A1" display="Back to index"/>
    <hyperlink ref="N152" location="INDEX!A1" display="Back to index"/>
    <hyperlink ref="U152" location="INDEX!A1" display="Back to index"/>
    <hyperlink ref="AB152" location="INDEX!A1" display="Back to index"/>
  </hyperlink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060"/>
  </sheetPr>
  <dimension ref="B1:BD116"/>
  <sheetViews>
    <sheetView zoomScale="70" zoomScaleNormal="70" workbookViewId="0"/>
  </sheetViews>
  <sheetFormatPr defaultColWidth="9.140625" defaultRowHeight="15" x14ac:dyDescent="0.25"/>
  <cols>
    <col min="1" max="1" width="3.42578125" style="209" customWidth="1"/>
    <col min="2" max="9" width="9.140625" style="209"/>
    <col min="10" max="10" width="3.42578125" style="209" customWidth="1"/>
    <col min="11" max="11" width="9.140625" style="210"/>
    <col min="12" max="18" width="9.140625" style="209"/>
    <col min="19" max="19" width="3.42578125" style="209" customWidth="1"/>
    <col min="20" max="27" width="9.140625" style="209" customWidth="1"/>
    <col min="28" max="28" width="3.42578125" style="209" customWidth="1"/>
    <col min="29" max="36" width="9.140625" style="209" customWidth="1"/>
    <col min="37" max="37" width="3.42578125" style="209" customWidth="1"/>
    <col min="38" max="47" width="9.140625" style="209" customWidth="1"/>
    <col min="48" max="51" width="9.140625" style="209"/>
    <col min="52" max="55" width="10" style="209" customWidth="1"/>
    <col min="56" max="16384" width="9.140625" style="209"/>
  </cols>
  <sheetData>
    <row r="1" spans="2:56" s="208" customFormat="1" ht="35.25" customHeight="1" thickTop="1" x14ac:dyDescent="0.5">
      <c r="B1" s="208" t="s">
        <v>39</v>
      </c>
      <c r="K1" s="471" t="s">
        <v>223</v>
      </c>
      <c r="L1" s="472"/>
      <c r="M1" s="472"/>
      <c r="N1" s="472"/>
      <c r="O1" s="472"/>
      <c r="P1" s="472"/>
      <c r="Q1" s="472"/>
      <c r="R1" s="472"/>
      <c r="S1" s="472"/>
      <c r="T1" s="472"/>
      <c r="U1" s="472"/>
      <c r="V1" s="472"/>
      <c r="W1" s="472"/>
      <c r="X1" s="473"/>
    </row>
    <row r="2" spans="2:56" s="208" customFormat="1" ht="35.25" x14ac:dyDescent="0.5">
      <c r="K2" s="474"/>
      <c r="L2" s="475"/>
      <c r="M2" s="475"/>
      <c r="N2" s="475"/>
      <c r="O2" s="475"/>
      <c r="P2" s="475"/>
      <c r="Q2" s="475"/>
      <c r="R2" s="475"/>
      <c r="S2" s="475"/>
      <c r="T2" s="475"/>
      <c r="U2" s="475"/>
      <c r="V2" s="475"/>
      <c r="W2" s="475"/>
      <c r="X2" s="476"/>
    </row>
    <row r="3" spans="2:56" s="208" customFormat="1" ht="36" thickBot="1" x14ac:dyDescent="0.55000000000000004">
      <c r="K3" s="477"/>
      <c r="L3" s="478"/>
      <c r="M3" s="478"/>
      <c r="N3" s="478"/>
      <c r="O3" s="478"/>
      <c r="P3" s="478"/>
      <c r="Q3" s="478"/>
      <c r="R3" s="478"/>
      <c r="S3" s="478"/>
      <c r="T3" s="478"/>
      <c r="U3" s="478"/>
      <c r="V3" s="478"/>
      <c r="W3" s="478"/>
      <c r="X3" s="479"/>
    </row>
    <row r="4" spans="2:56" ht="15.75" thickTop="1" x14ac:dyDescent="0.25">
      <c r="N4" s="211" t="s">
        <v>62</v>
      </c>
      <c r="W4" s="211" t="s">
        <v>62</v>
      </c>
      <c r="AF4" s="211" t="s">
        <v>62</v>
      </c>
      <c r="AO4" s="211" t="s">
        <v>62</v>
      </c>
    </row>
    <row r="5" spans="2:56" x14ac:dyDescent="0.25">
      <c r="AY5" s="212" t="s">
        <v>76</v>
      </c>
      <c r="AZ5" s="210"/>
      <c r="BA5" s="210"/>
      <c r="BB5" s="210"/>
      <c r="BC5" s="210"/>
      <c r="BD5" s="210"/>
    </row>
    <row r="6" spans="2:56" x14ac:dyDescent="0.25">
      <c r="AY6" s="213"/>
      <c r="AZ6" s="214" t="s">
        <v>34</v>
      </c>
      <c r="BA6" s="214" t="s">
        <v>35</v>
      </c>
      <c r="BB6" s="214" t="s">
        <v>36</v>
      </c>
      <c r="BC6" s="214" t="s">
        <v>37</v>
      </c>
      <c r="BD6" s="210"/>
    </row>
    <row r="7" spans="2:56" x14ac:dyDescent="0.25">
      <c r="AY7" s="215" t="s">
        <v>19</v>
      </c>
      <c r="AZ7" s="216">
        <f>'5. % BY PORTFOLIO'!G6</f>
        <v>1</v>
      </c>
      <c r="BA7" s="216">
        <f>'5. % BY PORTFOLIO'!N6</f>
        <v>1</v>
      </c>
      <c r="BB7" s="216">
        <f>'5. % BY PORTFOLIO'!U6</f>
        <v>1</v>
      </c>
      <c r="BC7" s="216">
        <f>'5. % BY PORTFOLIO'!AB6</f>
        <v>1</v>
      </c>
      <c r="BD7" s="210"/>
    </row>
    <row r="8" spans="2:56" x14ac:dyDescent="0.25">
      <c r="L8" s="217"/>
      <c r="M8" s="217"/>
      <c r="AY8" s="215" t="s">
        <v>20</v>
      </c>
      <c r="AZ8" s="216">
        <f>'5. % BY PORTFOLIO'!G9</f>
        <v>0</v>
      </c>
      <c r="BA8" s="216">
        <f>'5. % BY PORTFOLIO'!N9</f>
        <v>0</v>
      </c>
      <c r="BB8" s="216">
        <f>'5. % BY PORTFOLIO'!U9</f>
        <v>0</v>
      </c>
      <c r="BC8" s="216">
        <f>'5. % BY PORTFOLIO'!AB9</f>
        <v>0</v>
      </c>
      <c r="BD8" s="210"/>
    </row>
    <row r="9" spans="2:56" x14ac:dyDescent="0.25">
      <c r="L9" s="217"/>
      <c r="M9" s="217"/>
      <c r="AY9" s="215" t="s">
        <v>21</v>
      </c>
      <c r="AZ9" s="216">
        <f>'5. % BY PORTFOLIO'!G13</f>
        <v>0</v>
      </c>
      <c r="BA9" s="216">
        <f>'5. % BY PORTFOLIO'!N13</f>
        <v>0</v>
      </c>
      <c r="BB9" s="216">
        <f>'5. % BY PORTFOLIO'!U13</f>
        <v>0</v>
      </c>
      <c r="BC9" s="216">
        <f>'5. % BY PORTFOLIO'!AB13</f>
        <v>0</v>
      </c>
      <c r="BD9" s="210"/>
    </row>
    <row r="10" spans="2:56" x14ac:dyDescent="0.25">
      <c r="L10" s="217"/>
      <c r="M10" s="217"/>
      <c r="AY10" s="213"/>
      <c r="AZ10" s="218"/>
      <c r="BA10" s="218"/>
      <c r="BB10" s="218"/>
      <c r="BC10" s="218"/>
      <c r="BD10" s="210"/>
    </row>
    <row r="11" spans="2:56" x14ac:dyDescent="0.25">
      <c r="AY11" s="219"/>
      <c r="AZ11" s="217"/>
      <c r="BA11" s="217"/>
      <c r="BB11" s="217"/>
      <c r="BC11" s="217"/>
      <c r="BD11" s="210"/>
    </row>
    <row r="12" spans="2:56" x14ac:dyDescent="0.25">
      <c r="AY12" s="219"/>
      <c r="AZ12" s="217"/>
      <c r="BA12" s="217"/>
      <c r="BB12" s="217"/>
      <c r="BC12" s="217"/>
      <c r="BD12" s="210"/>
    </row>
    <row r="13" spans="2:56" x14ac:dyDescent="0.25">
      <c r="AY13" s="219"/>
      <c r="AZ13" s="217"/>
      <c r="BA13" s="217"/>
      <c r="BB13" s="217"/>
      <c r="BC13" s="217"/>
      <c r="BD13" s="210"/>
    </row>
    <row r="14" spans="2:56" x14ac:dyDescent="0.25">
      <c r="AY14" s="210"/>
      <c r="AZ14" s="210"/>
      <c r="BA14" s="210"/>
      <c r="BB14" s="210"/>
      <c r="BC14" s="210"/>
      <c r="BD14" s="210"/>
    </row>
    <row r="15" spans="2:56" x14ac:dyDescent="0.25">
      <c r="AY15" s="210"/>
      <c r="AZ15" s="210"/>
      <c r="BA15" s="210"/>
      <c r="BB15" s="210"/>
      <c r="BC15" s="210"/>
      <c r="BD15" s="210"/>
    </row>
    <row r="16" spans="2:56" x14ac:dyDescent="0.25">
      <c r="AY16" s="210"/>
      <c r="AZ16" s="210"/>
      <c r="BA16" s="210"/>
      <c r="BB16" s="210"/>
      <c r="BC16" s="210"/>
      <c r="BD16" s="210"/>
    </row>
    <row r="17" spans="12:56" x14ac:dyDescent="0.25">
      <c r="AY17" s="210"/>
      <c r="AZ17" s="210"/>
      <c r="BA17" s="210"/>
      <c r="BB17" s="210"/>
      <c r="BC17" s="210"/>
      <c r="BD17" s="210"/>
    </row>
    <row r="18" spans="12:56" x14ac:dyDescent="0.25">
      <c r="AY18" s="210"/>
      <c r="AZ18" s="210"/>
      <c r="BA18" s="210"/>
      <c r="BB18" s="210"/>
      <c r="BC18" s="210"/>
      <c r="BD18" s="210"/>
    </row>
    <row r="19" spans="12:56" x14ac:dyDescent="0.25">
      <c r="AY19" s="210"/>
      <c r="AZ19" s="210"/>
      <c r="BA19" s="210"/>
      <c r="BB19" s="210"/>
      <c r="BC19" s="210"/>
      <c r="BD19" s="210"/>
    </row>
    <row r="20" spans="12:56" x14ac:dyDescent="0.25">
      <c r="N20" s="211" t="s">
        <v>62</v>
      </c>
      <c r="W20" s="211" t="s">
        <v>62</v>
      </c>
      <c r="AF20" s="211" t="s">
        <v>62</v>
      </c>
      <c r="AO20" s="211" t="s">
        <v>62</v>
      </c>
      <c r="AY20" s="210"/>
      <c r="AZ20" s="210"/>
      <c r="BA20" s="210"/>
      <c r="BB20" s="210"/>
      <c r="BC20" s="210"/>
      <c r="BD20" s="210"/>
    </row>
    <row r="21" spans="12:56" x14ac:dyDescent="0.25">
      <c r="AY21" s="212" t="s">
        <v>88</v>
      </c>
      <c r="AZ21" s="210"/>
      <c r="BA21" s="210"/>
      <c r="BB21" s="210"/>
      <c r="BC21" s="210"/>
      <c r="BD21" s="210"/>
    </row>
    <row r="22" spans="12:56" x14ac:dyDescent="0.25">
      <c r="AY22" s="213"/>
      <c r="AZ22" s="214" t="s">
        <v>34</v>
      </c>
      <c r="BA22" s="214" t="s">
        <v>35</v>
      </c>
      <c r="BB22" s="214" t="s">
        <v>36</v>
      </c>
      <c r="BC22" s="214" t="s">
        <v>37</v>
      </c>
      <c r="BD22" s="210"/>
    </row>
    <row r="23" spans="12:56" x14ac:dyDescent="0.25">
      <c r="AY23" s="215" t="s">
        <v>19</v>
      </c>
      <c r="AZ23" s="216">
        <f>'5. % BY PORTFOLIO'!G29</f>
        <v>1</v>
      </c>
      <c r="BA23" s="216">
        <f>'5. % BY PORTFOLIO'!N29</f>
        <v>0.94444444444444442</v>
      </c>
      <c r="BB23" s="216">
        <f>'5. % BY PORTFOLIO'!U29</f>
        <v>0.94736842105263164</v>
      </c>
      <c r="BC23" s="216">
        <f>'5. % BY PORTFOLIO'!AB29</f>
        <v>0.94736842105263153</v>
      </c>
      <c r="BD23" s="210"/>
    </row>
    <row r="24" spans="12:56" x14ac:dyDescent="0.25">
      <c r="L24" s="217"/>
      <c r="M24" s="217"/>
      <c r="AY24" s="215" t="s">
        <v>20</v>
      </c>
      <c r="AZ24" s="216">
        <f>'5. % BY PORTFOLIO'!G32</f>
        <v>0</v>
      </c>
      <c r="BA24" s="216">
        <f>'5. % BY PORTFOLIO'!N32</f>
        <v>0</v>
      </c>
      <c r="BB24" s="216">
        <f>'5. % BY PORTFOLIO'!U32</f>
        <v>0</v>
      </c>
      <c r="BC24" s="216">
        <f>'5. % BY PORTFOLIO'!AB32</f>
        <v>0</v>
      </c>
      <c r="BD24" s="210"/>
    </row>
    <row r="25" spans="12:56" x14ac:dyDescent="0.25">
      <c r="L25" s="217"/>
      <c r="M25" s="217"/>
      <c r="AY25" s="215" t="s">
        <v>21</v>
      </c>
      <c r="AZ25" s="216">
        <f>'5. % BY PORTFOLIO'!G36</f>
        <v>0</v>
      </c>
      <c r="BA25" s="216">
        <f>'5. % BY PORTFOLIO'!N36</f>
        <v>5.5555555555555552E-2</v>
      </c>
      <c r="BB25" s="216">
        <f>'5. % BY PORTFOLIO'!U36</f>
        <v>5.2631578947368418E-2</v>
      </c>
      <c r="BC25" s="216">
        <f>'5. % BY PORTFOLIO'!AB36</f>
        <v>5.2631578947368418E-2</v>
      </c>
      <c r="BD25" s="210"/>
    </row>
    <row r="26" spans="12:56" x14ac:dyDescent="0.25">
      <c r="L26" s="217"/>
      <c r="M26" s="217"/>
      <c r="AY26" s="210"/>
      <c r="AZ26" s="210"/>
      <c r="BA26" s="210"/>
      <c r="BB26" s="210"/>
      <c r="BC26" s="210"/>
      <c r="BD26" s="210"/>
    </row>
    <row r="27" spans="12:56" x14ac:dyDescent="0.25">
      <c r="AY27" s="219"/>
      <c r="AZ27" s="210"/>
      <c r="BA27" s="210"/>
      <c r="BB27" s="210"/>
      <c r="BC27" s="210"/>
      <c r="BD27" s="210"/>
    </row>
    <row r="28" spans="12:56" x14ac:dyDescent="0.25">
      <c r="AY28" s="219"/>
      <c r="AZ28" s="210"/>
      <c r="BA28" s="210"/>
      <c r="BB28" s="210"/>
      <c r="BC28" s="210"/>
      <c r="BD28" s="210"/>
    </row>
    <row r="29" spans="12:56" x14ac:dyDescent="0.25">
      <c r="AY29" s="219"/>
      <c r="AZ29" s="210"/>
      <c r="BA29" s="210"/>
      <c r="BB29" s="210"/>
      <c r="BC29" s="210"/>
      <c r="BD29" s="210"/>
    </row>
    <row r="30" spans="12:56" x14ac:dyDescent="0.25">
      <c r="AY30" s="210"/>
      <c r="AZ30" s="210"/>
      <c r="BA30" s="210"/>
      <c r="BB30" s="210"/>
      <c r="BC30" s="210"/>
      <c r="BD30" s="210"/>
    </row>
    <row r="31" spans="12:56" x14ac:dyDescent="0.25">
      <c r="AY31" s="210"/>
      <c r="AZ31" s="210"/>
      <c r="BA31" s="210"/>
      <c r="BB31" s="210"/>
      <c r="BC31" s="210"/>
      <c r="BD31" s="210"/>
    </row>
    <row r="32" spans="12:56" x14ac:dyDescent="0.25">
      <c r="AY32" s="210"/>
      <c r="AZ32" s="210"/>
      <c r="BA32" s="210"/>
      <c r="BB32" s="210"/>
      <c r="BC32" s="210"/>
      <c r="BD32" s="210"/>
    </row>
    <row r="33" spans="11:56" x14ac:dyDescent="0.25">
      <c r="AY33" s="210"/>
      <c r="AZ33" s="210"/>
      <c r="BA33" s="210"/>
      <c r="BB33" s="210"/>
      <c r="BC33" s="210"/>
      <c r="BD33" s="210"/>
    </row>
    <row r="34" spans="11:56" x14ac:dyDescent="0.25">
      <c r="AY34" s="210"/>
      <c r="AZ34" s="210"/>
      <c r="BA34" s="210"/>
      <c r="BB34" s="210"/>
      <c r="BC34" s="210"/>
      <c r="BD34" s="210"/>
    </row>
    <row r="35" spans="11:56" x14ac:dyDescent="0.25">
      <c r="AY35" s="210"/>
      <c r="AZ35" s="210"/>
      <c r="BA35" s="210"/>
      <c r="BB35" s="210"/>
      <c r="BC35" s="210"/>
      <c r="BD35" s="210"/>
    </row>
    <row r="36" spans="11:56" x14ac:dyDescent="0.25">
      <c r="N36" s="211" t="s">
        <v>62</v>
      </c>
      <c r="W36" s="211" t="s">
        <v>62</v>
      </c>
      <c r="AF36" s="211" t="s">
        <v>62</v>
      </c>
      <c r="AO36" s="211" t="s">
        <v>62</v>
      </c>
      <c r="AY36" s="210"/>
      <c r="AZ36" s="210"/>
      <c r="BA36" s="210"/>
      <c r="BB36" s="210"/>
      <c r="BC36" s="210"/>
      <c r="BD36" s="210"/>
    </row>
    <row r="37" spans="11:56" x14ac:dyDescent="0.25">
      <c r="AY37" s="212" t="s">
        <v>238</v>
      </c>
      <c r="AZ37" s="220"/>
      <c r="BA37" s="220"/>
      <c r="BB37" s="220"/>
      <c r="BC37" s="220"/>
      <c r="BD37" s="220"/>
    </row>
    <row r="38" spans="11:56" x14ac:dyDescent="0.25">
      <c r="AY38" s="221"/>
      <c r="AZ38" s="214" t="s">
        <v>34</v>
      </c>
      <c r="BA38" s="214" t="s">
        <v>35</v>
      </c>
      <c r="BB38" s="214" t="s">
        <v>36</v>
      </c>
      <c r="BC38" s="214" t="s">
        <v>37</v>
      </c>
      <c r="BD38" s="220"/>
    </row>
    <row r="39" spans="11:56" x14ac:dyDescent="0.25">
      <c r="AY39" s="215" t="s">
        <v>19</v>
      </c>
      <c r="AZ39" s="216">
        <f>'5. % BY PORTFOLIO'!G51</f>
        <v>0.91666666666666674</v>
      </c>
      <c r="BA39" s="216">
        <f>'5. % BY PORTFOLIO'!N51</f>
        <v>0.9375</v>
      </c>
      <c r="BB39" s="216">
        <f>'5. % BY PORTFOLIO'!U51</f>
        <v>0.9375</v>
      </c>
      <c r="BC39" s="216">
        <f>'5. % BY PORTFOLIO'!AB51</f>
        <v>0.88235294117647056</v>
      </c>
      <c r="BD39" s="220"/>
    </row>
    <row r="40" spans="11:56" x14ac:dyDescent="0.25">
      <c r="K40" s="217"/>
      <c r="L40" s="217"/>
      <c r="AY40" s="215" t="s">
        <v>20</v>
      </c>
      <c r="AZ40" s="216">
        <f>'5. % BY PORTFOLIO'!G54</f>
        <v>0</v>
      </c>
      <c r="BA40" s="216">
        <f>'5. % BY PORTFOLIO'!N54</f>
        <v>0</v>
      </c>
      <c r="BB40" s="216">
        <f>'5. % BY PORTFOLIO'!U54</f>
        <v>0</v>
      </c>
      <c r="BC40" s="216">
        <f>'5. % BY PORTFOLIO'!AB54</f>
        <v>5.8823529411764705E-2</v>
      </c>
      <c r="BD40" s="220"/>
    </row>
    <row r="41" spans="11:56" x14ac:dyDescent="0.25">
      <c r="K41" s="217"/>
      <c r="L41" s="217"/>
      <c r="AY41" s="215" t="s">
        <v>21</v>
      </c>
      <c r="AZ41" s="216">
        <f>'5. % BY PORTFOLIO'!G58</f>
        <v>8.3333333333333329E-2</v>
      </c>
      <c r="BA41" s="216">
        <f>'5. % BY PORTFOLIO'!N58</f>
        <v>6.25E-2</v>
      </c>
      <c r="BB41" s="216">
        <f>'5. % BY PORTFOLIO'!U58</f>
        <v>6.25E-2</v>
      </c>
      <c r="BC41" s="216">
        <f>'5. % BY PORTFOLIO'!AB58</f>
        <v>5.8823529411764705E-2</v>
      </c>
      <c r="BD41" s="220"/>
    </row>
    <row r="42" spans="11:56" x14ac:dyDescent="0.25">
      <c r="K42" s="217"/>
      <c r="L42" s="217"/>
      <c r="AY42" s="210"/>
      <c r="AZ42" s="210"/>
      <c r="BA42" s="210"/>
      <c r="BB42" s="210"/>
      <c r="BC42" s="210"/>
      <c r="BD42" s="210"/>
    </row>
    <row r="43" spans="11:56" x14ac:dyDescent="0.25">
      <c r="AY43" s="219"/>
      <c r="AZ43" s="210"/>
      <c r="BA43" s="210"/>
      <c r="BB43" s="210"/>
      <c r="BC43" s="210"/>
      <c r="BD43" s="210"/>
    </row>
    <row r="44" spans="11:56" x14ac:dyDescent="0.25">
      <c r="AY44" s="219"/>
      <c r="AZ44" s="210"/>
      <c r="BA44" s="210"/>
      <c r="BB44" s="210"/>
      <c r="BC44" s="210"/>
      <c r="BD44" s="210"/>
    </row>
    <row r="45" spans="11:56" x14ac:dyDescent="0.25">
      <c r="AY45" s="219"/>
      <c r="AZ45" s="210"/>
      <c r="BA45" s="210"/>
      <c r="BB45" s="210"/>
      <c r="BC45" s="210"/>
      <c r="BD45" s="210"/>
    </row>
    <row r="46" spans="11:56" x14ac:dyDescent="0.25">
      <c r="AY46" s="210"/>
      <c r="AZ46" s="210"/>
      <c r="BA46" s="210"/>
      <c r="BB46" s="210"/>
      <c r="BC46" s="210"/>
      <c r="BD46" s="210"/>
    </row>
    <row r="47" spans="11:56" x14ac:dyDescent="0.25">
      <c r="AY47" s="210"/>
      <c r="AZ47" s="210"/>
      <c r="BA47" s="210"/>
      <c r="BB47" s="210"/>
      <c r="BC47" s="210"/>
      <c r="BD47" s="210"/>
    </row>
    <row r="48" spans="11:56" x14ac:dyDescent="0.25">
      <c r="AY48" s="210"/>
      <c r="AZ48" s="210"/>
      <c r="BA48" s="210"/>
      <c r="BB48" s="210"/>
      <c r="BC48" s="210"/>
      <c r="BD48" s="210"/>
    </row>
    <row r="49" spans="12:56" x14ac:dyDescent="0.25">
      <c r="AY49" s="210"/>
      <c r="AZ49" s="210"/>
      <c r="BA49" s="210"/>
      <c r="BB49" s="210"/>
      <c r="BC49" s="210"/>
      <c r="BD49" s="210"/>
    </row>
    <row r="50" spans="12:56" x14ac:dyDescent="0.25">
      <c r="AY50" s="210"/>
      <c r="AZ50" s="210"/>
      <c r="BA50" s="210"/>
      <c r="BB50" s="210"/>
      <c r="BC50" s="210"/>
      <c r="BD50" s="210"/>
    </row>
    <row r="51" spans="12:56" x14ac:dyDescent="0.25">
      <c r="AY51" s="210"/>
      <c r="AZ51" s="210"/>
      <c r="BA51" s="210"/>
      <c r="BB51" s="210"/>
      <c r="BC51" s="210"/>
      <c r="BD51" s="210"/>
    </row>
    <row r="52" spans="12:56" x14ac:dyDescent="0.25">
      <c r="N52" s="211" t="s">
        <v>62</v>
      </c>
      <c r="W52" s="211" t="s">
        <v>62</v>
      </c>
      <c r="AF52" s="211" t="s">
        <v>62</v>
      </c>
      <c r="AO52" s="211" t="s">
        <v>62</v>
      </c>
      <c r="AY52" s="210"/>
      <c r="AZ52" s="210"/>
      <c r="BA52" s="210"/>
      <c r="BB52" s="210"/>
      <c r="BC52" s="210"/>
      <c r="BD52" s="210"/>
    </row>
    <row r="53" spans="12:56" x14ac:dyDescent="0.25">
      <c r="AY53" s="212" t="s">
        <v>239</v>
      </c>
      <c r="AZ53" s="220"/>
      <c r="BA53" s="220"/>
      <c r="BB53" s="220"/>
      <c r="BC53" s="220"/>
      <c r="BD53" s="210"/>
    </row>
    <row r="54" spans="12:56" x14ac:dyDescent="0.25">
      <c r="AY54" s="221"/>
      <c r="AZ54" s="214" t="s">
        <v>34</v>
      </c>
      <c r="BA54" s="214" t="s">
        <v>35</v>
      </c>
      <c r="BB54" s="214" t="s">
        <v>36</v>
      </c>
      <c r="BC54" s="214" t="s">
        <v>37</v>
      </c>
      <c r="BD54" s="210"/>
    </row>
    <row r="55" spans="12:56" x14ac:dyDescent="0.25">
      <c r="AY55" s="215" t="s">
        <v>19</v>
      </c>
      <c r="AZ55" s="216">
        <f>'5. % BY PORTFOLIO'!G73</f>
        <v>0.875</v>
      </c>
      <c r="BA55" s="216">
        <f>'5. % BY PORTFOLIO'!N73</f>
        <v>0.91666666666666674</v>
      </c>
      <c r="BB55" s="216">
        <f>'5. % BY PORTFOLIO'!U73</f>
        <v>0.8666666666666667</v>
      </c>
      <c r="BC55" s="216">
        <f>'5. % BY PORTFOLIO'!AB73</f>
        <v>0.8666666666666667</v>
      </c>
      <c r="BD55" s="210"/>
    </row>
    <row r="56" spans="12:56" x14ac:dyDescent="0.25">
      <c r="L56" s="217"/>
      <c r="M56" s="217"/>
      <c r="AY56" s="215" t="s">
        <v>20</v>
      </c>
      <c r="AZ56" s="216">
        <f>'5. % BY PORTFOLIO'!G76</f>
        <v>0</v>
      </c>
      <c r="BA56" s="216">
        <f>'5. % BY PORTFOLIO'!N76</f>
        <v>0</v>
      </c>
      <c r="BB56" s="216">
        <f>'5. % BY PORTFOLIO'!U76</f>
        <v>6.6666666666666666E-2</v>
      </c>
      <c r="BC56" s="216">
        <f>'5. % BY PORTFOLIO'!AB76</f>
        <v>6.6666666666666666E-2</v>
      </c>
      <c r="BD56" s="210"/>
    </row>
    <row r="57" spans="12:56" x14ac:dyDescent="0.25">
      <c r="L57" s="217"/>
      <c r="M57" s="217"/>
      <c r="AY57" s="215" t="s">
        <v>21</v>
      </c>
      <c r="AZ57" s="216">
        <f>'5. % BY PORTFOLIO'!G80</f>
        <v>0.125</v>
      </c>
      <c r="BA57" s="216">
        <f>'5. % BY PORTFOLIO'!N80</f>
        <v>8.3333333333333329E-2</v>
      </c>
      <c r="BB57" s="216">
        <f>'5. % BY PORTFOLIO'!U80</f>
        <v>6.6666666666666666E-2</v>
      </c>
      <c r="BC57" s="216">
        <f>'5. % BY PORTFOLIO'!AB80</f>
        <v>6.6666666666666666E-2</v>
      </c>
      <c r="BD57" s="210"/>
    </row>
    <row r="58" spans="12:56" x14ac:dyDescent="0.25">
      <c r="L58" s="217"/>
      <c r="M58" s="217"/>
      <c r="AY58" s="210"/>
      <c r="AZ58" s="210"/>
      <c r="BA58" s="210"/>
      <c r="BB58" s="210"/>
      <c r="BC58" s="210"/>
      <c r="BD58" s="210"/>
    </row>
    <row r="59" spans="12:56" x14ac:dyDescent="0.25">
      <c r="AY59" s="219"/>
      <c r="AZ59" s="210"/>
      <c r="BA59" s="210"/>
      <c r="BB59" s="210"/>
      <c r="BC59" s="210"/>
      <c r="BD59" s="210"/>
    </row>
    <row r="60" spans="12:56" x14ac:dyDescent="0.25">
      <c r="AY60" s="219"/>
      <c r="AZ60" s="210"/>
      <c r="BA60" s="210"/>
      <c r="BB60" s="210"/>
      <c r="BC60" s="210"/>
      <c r="BD60" s="210"/>
    </row>
    <row r="61" spans="12:56" x14ac:dyDescent="0.25">
      <c r="AY61" s="219"/>
      <c r="AZ61" s="210"/>
      <c r="BA61" s="210"/>
      <c r="BB61" s="210"/>
      <c r="BC61" s="210"/>
      <c r="BD61" s="210"/>
    </row>
    <row r="62" spans="12:56" x14ac:dyDescent="0.25">
      <c r="AY62" s="210"/>
      <c r="AZ62" s="210"/>
      <c r="BA62" s="210"/>
      <c r="BB62" s="210"/>
      <c r="BC62" s="210"/>
      <c r="BD62" s="210"/>
    </row>
    <row r="63" spans="12:56" x14ac:dyDescent="0.25">
      <c r="AY63" s="210"/>
      <c r="AZ63" s="210"/>
      <c r="BA63" s="210"/>
      <c r="BB63" s="210"/>
      <c r="BC63" s="210"/>
      <c r="BD63" s="210"/>
    </row>
    <row r="64" spans="12:56" x14ac:dyDescent="0.25">
      <c r="AY64" s="210"/>
      <c r="AZ64" s="210"/>
      <c r="BA64" s="210"/>
      <c r="BB64" s="210"/>
      <c r="BC64" s="210"/>
      <c r="BD64" s="210"/>
    </row>
    <row r="65" spans="14:56" x14ac:dyDescent="0.25">
      <c r="AY65" s="210"/>
      <c r="AZ65" s="210"/>
      <c r="BA65" s="210"/>
      <c r="BB65" s="210"/>
      <c r="BC65" s="210"/>
      <c r="BD65" s="210"/>
    </row>
    <row r="66" spans="14:56" x14ac:dyDescent="0.25">
      <c r="AY66" s="210"/>
      <c r="AZ66" s="210"/>
      <c r="BA66" s="210"/>
      <c r="BB66" s="210"/>
      <c r="BC66" s="210"/>
      <c r="BD66" s="210"/>
    </row>
    <row r="68" spans="14:56" x14ac:dyDescent="0.25">
      <c r="N68" s="211" t="s">
        <v>62</v>
      </c>
      <c r="W68" s="211" t="s">
        <v>62</v>
      </c>
      <c r="AF68" s="211" t="s">
        <v>62</v>
      </c>
      <c r="AO68" s="211" t="s">
        <v>62</v>
      </c>
      <c r="AY68" s="210"/>
      <c r="AZ68" s="210"/>
      <c r="BA68" s="210"/>
      <c r="BB68" s="210"/>
      <c r="BC68" s="210"/>
      <c r="BD68" s="210"/>
    </row>
    <row r="69" spans="14:56" x14ac:dyDescent="0.25">
      <c r="AY69" s="212" t="s">
        <v>240</v>
      </c>
      <c r="AZ69" s="220"/>
      <c r="BA69" s="220"/>
      <c r="BB69" s="220"/>
      <c r="BC69" s="220"/>
    </row>
    <row r="70" spans="14:56" x14ac:dyDescent="0.25">
      <c r="AY70" s="221"/>
      <c r="AZ70" s="214" t="s">
        <v>34</v>
      </c>
      <c r="BA70" s="214" t="s">
        <v>35</v>
      </c>
      <c r="BB70" s="214" t="s">
        <v>36</v>
      </c>
      <c r="BC70" s="214" t="s">
        <v>37</v>
      </c>
    </row>
    <row r="71" spans="14:56" x14ac:dyDescent="0.25">
      <c r="AY71" s="215" t="s">
        <v>19</v>
      </c>
      <c r="AZ71" s="216">
        <f>'5. % BY PORTFOLIO'!G95</f>
        <v>1</v>
      </c>
      <c r="BA71" s="216">
        <f>'5. % BY PORTFOLIO'!N95</f>
        <v>1</v>
      </c>
      <c r="BB71" s="216">
        <f>'5. % BY PORTFOLIO'!U95</f>
        <v>1</v>
      </c>
      <c r="BC71" s="216">
        <f>'5. % BY PORTFOLIO'!AB95</f>
        <v>1</v>
      </c>
    </row>
    <row r="72" spans="14:56" x14ac:dyDescent="0.25">
      <c r="AY72" s="215" t="s">
        <v>20</v>
      </c>
      <c r="AZ72" s="216">
        <f>'5. % BY PORTFOLIO'!G98</f>
        <v>0</v>
      </c>
      <c r="BA72" s="216">
        <f>'5. % BY PORTFOLIO'!N98</f>
        <v>0</v>
      </c>
      <c r="BB72" s="216">
        <f>'5. % BY PORTFOLIO'!U98</f>
        <v>0</v>
      </c>
      <c r="BC72" s="216">
        <f>'5. % BY PORTFOLIO'!AB98</f>
        <v>0</v>
      </c>
    </row>
    <row r="73" spans="14:56" x14ac:dyDescent="0.25">
      <c r="AY73" s="215" t="s">
        <v>21</v>
      </c>
      <c r="AZ73" s="216">
        <f>'5. % BY PORTFOLIO'!G102</f>
        <v>0</v>
      </c>
      <c r="BA73" s="216">
        <f>'5. % BY PORTFOLIO'!N102</f>
        <v>0</v>
      </c>
      <c r="BB73" s="216">
        <f>'5. % BY PORTFOLIO'!U102</f>
        <v>0</v>
      </c>
      <c r="BC73" s="216">
        <f>'5. % BY PORTFOLIO'!AB102</f>
        <v>0</v>
      </c>
    </row>
    <row r="84" spans="14:55" x14ac:dyDescent="0.25">
      <c r="N84" s="211" t="s">
        <v>62</v>
      </c>
      <c r="W84" s="211" t="s">
        <v>62</v>
      </c>
      <c r="AF84" s="211" t="s">
        <v>62</v>
      </c>
      <c r="AO84" s="211" t="s">
        <v>62</v>
      </c>
    </row>
    <row r="85" spans="14:55" x14ac:dyDescent="0.25">
      <c r="AY85" s="212" t="s">
        <v>38</v>
      </c>
      <c r="AZ85" s="220"/>
      <c r="BA85" s="220"/>
      <c r="BB85" s="220"/>
      <c r="BC85" s="220"/>
    </row>
    <row r="86" spans="14:55" x14ac:dyDescent="0.25">
      <c r="AY86" s="221"/>
      <c r="AZ86" s="214" t="s">
        <v>34</v>
      </c>
      <c r="BA86" s="214" t="s">
        <v>35</v>
      </c>
      <c r="BB86" s="214" t="s">
        <v>36</v>
      </c>
      <c r="BC86" s="214" t="s">
        <v>37</v>
      </c>
    </row>
    <row r="87" spans="14:55" x14ac:dyDescent="0.25">
      <c r="AY87" s="215" t="s">
        <v>19</v>
      </c>
      <c r="AZ87" s="216">
        <f>'5. % BY PORTFOLIO'!G117</f>
        <v>1</v>
      </c>
      <c r="BA87" s="216">
        <f>'5. % BY PORTFOLIO'!N117</f>
        <v>1</v>
      </c>
      <c r="BB87" s="216">
        <f>'5. % BY PORTFOLIO'!U117</f>
        <v>1</v>
      </c>
      <c r="BC87" s="216">
        <f>'5. % BY PORTFOLIO'!AB117</f>
        <v>1</v>
      </c>
    </row>
    <row r="88" spans="14:55" x14ac:dyDescent="0.25">
      <c r="AY88" s="215" t="s">
        <v>20</v>
      </c>
      <c r="AZ88" s="216">
        <f>'5. % BY PORTFOLIO'!G120</f>
        <v>0</v>
      </c>
      <c r="BA88" s="216">
        <f>'5. % BY PORTFOLIO'!N120</f>
        <v>0</v>
      </c>
      <c r="BB88" s="216">
        <f>'5. % BY PORTFOLIO'!U120</f>
        <v>0</v>
      </c>
      <c r="BC88" s="216">
        <f>'5. % BY PORTFOLIO'!AB120</f>
        <v>0</v>
      </c>
    </row>
    <row r="89" spans="14:55" x14ac:dyDescent="0.25">
      <c r="AY89" s="215" t="s">
        <v>21</v>
      </c>
      <c r="AZ89" s="216">
        <f>'5. % BY PORTFOLIO'!G124</f>
        <v>0</v>
      </c>
      <c r="BA89" s="216">
        <f>'5. % BY PORTFOLIO'!N124</f>
        <v>0</v>
      </c>
      <c r="BB89" s="216">
        <f>'5. % BY PORTFOLIO'!U124</f>
        <v>0</v>
      </c>
      <c r="BC89" s="216">
        <f>'5. % BY PORTFOLIO'!AB124</f>
        <v>0</v>
      </c>
    </row>
    <row r="100" spans="14:55" x14ac:dyDescent="0.25">
      <c r="N100" s="211" t="s">
        <v>62</v>
      </c>
      <c r="W100" s="211" t="s">
        <v>62</v>
      </c>
      <c r="AF100" s="211" t="s">
        <v>62</v>
      </c>
      <c r="AO100" s="211" t="s">
        <v>62</v>
      </c>
    </row>
    <row r="101" spans="14:55" x14ac:dyDescent="0.25">
      <c r="AY101" s="212" t="s">
        <v>266</v>
      </c>
      <c r="AZ101" s="220"/>
      <c r="BA101" s="220"/>
      <c r="BB101" s="220"/>
      <c r="BC101" s="220"/>
    </row>
    <row r="102" spans="14:55" x14ac:dyDescent="0.25">
      <c r="AY102" s="221"/>
      <c r="AZ102" s="214" t="s">
        <v>34</v>
      </c>
      <c r="BA102" s="214" t="s">
        <v>35</v>
      </c>
      <c r="BB102" s="214" t="s">
        <v>36</v>
      </c>
      <c r="BC102" s="214" t="s">
        <v>37</v>
      </c>
    </row>
    <row r="103" spans="14:55" x14ac:dyDescent="0.25">
      <c r="AY103" s="215" t="s">
        <v>19</v>
      </c>
      <c r="AZ103" s="216">
        <f>'5. % BY PORTFOLIO'!G139</f>
        <v>0.90909090909090906</v>
      </c>
      <c r="BA103" s="216">
        <f>'5. % BY PORTFOLIO'!N139</f>
        <v>0.92307692307692313</v>
      </c>
      <c r="BB103" s="216">
        <f>'5. % BY PORTFOLIO'!U139</f>
        <v>0.9285714285714286</v>
      </c>
      <c r="BC103" s="216">
        <f>'5. % BY PORTFOLIO'!AB139</f>
        <v>0.9375</v>
      </c>
    </row>
    <row r="104" spans="14:55" x14ac:dyDescent="0.25">
      <c r="AY104" s="215" t="s">
        <v>20</v>
      </c>
      <c r="AZ104" s="216">
        <f>'5. % BY PORTFOLIO'!G142</f>
        <v>0</v>
      </c>
      <c r="BA104" s="216">
        <f>'5. % BY PORTFOLIO'!N142</f>
        <v>0</v>
      </c>
      <c r="BB104" s="216">
        <f>'5. % BY PORTFOLIO'!U142</f>
        <v>0</v>
      </c>
      <c r="BC104" s="216">
        <f>'5. % BY PORTFOLIO'!AB142</f>
        <v>0</v>
      </c>
    </row>
    <row r="105" spans="14:55" x14ac:dyDescent="0.25">
      <c r="AY105" s="215" t="s">
        <v>21</v>
      </c>
      <c r="AZ105" s="216">
        <f>'5. % BY PORTFOLIO'!G146</f>
        <v>9.0909090909090912E-2</v>
      </c>
      <c r="BA105" s="216">
        <f>'5. % BY PORTFOLIO'!N146</f>
        <v>7.6923076923076927E-2</v>
      </c>
      <c r="BB105" s="216">
        <f>'5. % BY PORTFOLIO'!U146</f>
        <v>7.1428571428571425E-2</v>
      </c>
      <c r="BC105" s="216">
        <f>'5. % BY PORTFOLIO'!AB146</f>
        <v>6.25E-2</v>
      </c>
    </row>
    <row r="116" spans="14:41" x14ac:dyDescent="0.25">
      <c r="N116" s="211" t="s">
        <v>62</v>
      </c>
      <c r="W116" s="211" t="s">
        <v>62</v>
      </c>
      <c r="AF116" s="211" t="s">
        <v>62</v>
      </c>
      <c r="AO116" s="211" t="s">
        <v>62</v>
      </c>
    </row>
  </sheetData>
  <mergeCells count="1">
    <mergeCell ref="K1:X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36" location="INDEX!A1" display="Back to index"/>
    <hyperlink ref="W36" location="INDEX!A1" display="Back to index"/>
    <hyperlink ref="W20" location="INDEX!A1" display="Back to index"/>
    <hyperlink ref="AF20" location="INDEX!A1" display="Back to index"/>
    <hyperlink ref="W52" location="INDEX!A1" display="Back to index"/>
    <hyperlink ref="AF52" location="INDEX!A1" display="Back to index"/>
    <hyperlink ref="AO52" location="INDEX!A1" display="Back to index"/>
    <hyperlink ref="W68" location="INDEX!A1" display="Back to index"/>
    <hyperlink ref="AF68" location="INDEX!A1" display="Back to index"/>
    <hyperlink ref="AO68" location="INDEX!A1" display="Back to index"/>
    <hyperlink ref="N4" location="INDEX!A1" display="Back to index"/>
    <hyperlink ref="N20" location="INDEX!A1" display="Back to index"/>
    <hyperlink ref="N36" location="INDEX!A1" display="Back to index"/>
    <hyperlink ref="N52" location="INDEX!A1" display="Back to index"/>
    <hyperlink ref="N68" location="INDEX!A1" display="Back to index"/>
    <hyperlink ref="N84" location="INDEX!A1" display="Back to index"/>
    <hyperlink ref="W84" location="INDEX!A1" display="Back to index"/>
    <hyperlink ref="AF84" location="INDEX!A1" display="Back to index"/>
    <hyperlink ref="AO84" location="INDEX!A1" display="Back to index"/>
    <hyperlink ref="N100" location="INDEX!A1" display="Back to index"/>
    <hyperlink ref="W100" location="INDEX!A1" display="Back to index"/>
    <hyperlink ref="AF100" location="INDEX!A1" display="Back to index"/>
    <hyperlink ref="AO100" location="INDEX!A1" display="Back to index"/>
    <hyperlink ref="N116" location="INDEX!A1" display="Back to index"/>
    <hyperlink ref="W116" location="INDEX!A1" display="Back to index"/>
    <hyperlink ref="AF116" location="INDEX!A1" display="Back to index"/>
    <hyperlink ref="AO116" location="INDEX!A1" display="Back to index"/>
  </hyperlinks>
  <pageMargins left="0.7" right="0.7" top="0.75" bottom="0.75" header="0.3" footer="0.3"/>
  <pageSetup paperSize="9" orientation="portrait" horizontalDpi="300" verticalDpi="0" copies="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sheetPr>
  <dimension ref="A1:AN48"/>
  <sheetViews>
    <sheetView zoomScale="70" zoomScaleNormal="70" workbookViewId="0">
      <selection activeCell="D6" sqref="D6"/>
    </sheetView>
  </sheetViews>
  <sheetFormatPr defaultColWidth="9.140625" defaultRowHeight="15" x14ac:dyDescent="0.25"/>
  <cols>
    <col min="1" max="1" width="9.140625" style="30"/>
    <col min="2" max="2" width="49.5703125" style="23" customWidth="1"/>
    <col min="3" max="3" width="27.140625" style="23" customWidth="1"/>
    <col min="4" max="4" width="27.140625" style="114" customWidth="1"/>
    <col min="5" max="8" width="27.140625" style="23" customWidth="1"/>
    <col min="9" max="40" width="9.140625" style="30"/>
    <col min="41" max="16384" width="9.140625" style="23"/>
  </cols>
  <sheetData>
    <row r="1" spans="1:40" s="30" customFormat="1" ht="33" customHeight="1" thickBot="1" x14ac:dyDescent="0.3">
      <c r="B1" s="33" t="s">
        <v>75</v>
      </c>
      <c r="D1" s="111"/>
    </row>
    <row r="2" spans="1:40" ht="40.5" customHeight="1" thickTop="1" thickBot="1" x14ac:dyDescent="0.3">
      <c r="B2" s="486" t="s">
        <v>429</v>
      </c>
      <c r="C2" s="488" t="s">
        <v>19</v>
      </c>
      <c r="D2" s="489"/>
      <c r="E2" s="490" t="s">
        <v>20</v>
      </c>
      <c r="F2" s="491"/>
      <c r="G2" s="492" t="s">
        <v>21</v>
      </c>
      <c r="H2" s="493"/>
    </row>
    <row r="3" spans="1:40" ht="50.25" customHeight="1" thickTop="1" thickBot="1" x14ac:dyDescent="0.3">
      <c r="B3" s="487"/>
      <c r="C3" s="119" t="s">
        <v>63</v>
      </c>
      <c r="D3" s="113" t="s">
        <v>25</v>
      </c>
      <c r="E3" s="120" t="s">
        <v>63</v>
      </c>
      <c r="F3" s="121" t="s">
        <v>25</v>
      </c>
      <c r="G3" s="122" t="s">
        <v>63</v>
      </c>
      <c r="H3" s="123" t="s">
        <v>25</v>
      </c>
    </row>
    <row r="4" spans="1:40" s="24" customFormat="1" ht="21.75" thickTop="1" thickBot="1" x14ac:dyDescent="0.3">
      <c r="A4" s="31"/>
      <c r="B4" s="109" t="s">
        <v>64</v>
      </c>
      <c r="C4" s="64"/>
      <c r="D4" s="112"/>
      <c r="E4" s="64"/>
      <c r="F4" s="64"/>
      <c r="G4" s="64"/>
      <c r="H4" s="110"/>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07" customFormat="1" ht="37.5" customHeight="1" thickTop="1" thickBot="1" x14ac:dyDescent="0.3">
      <c r="A5" s="106"/>
      <c r="B5" s="115" t="s">
        <v>65</v>
      </c>
      <c r="C5" s="124">
        <f>'3. % BY PRIORITY'!C6+'3. % BY PRIORITY'!C7</f>
        <v>75</v>
      </c>
      <c r="D5" s="164">
        <f>'3. % BY PRIORITY'!G6</f>
        <v>0.96153846153846156</v>
      </c>
      <c r="E5" s="125">
        <f>'3. % BY PRIORITY'!C9</f>
        <v>0</v>
      </c>
      <c r="F5" s="121">
        <f>'3. % BY PRIORITY'!G9</f>
        <v>0</v>
      </c>
      <c r="G5" s="126">
        <f>'3. % BY PRIORITY'!C13+'3. % BY PRIORITY'!C14</f>
        <v>3</v>
      </c>
      <c r="H5" s="123">
        <f>'3. % BY PRIORITY'!G13</f>
        <v>3.8461538461538464E-2</v>
      </c>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row>
    <row r="6" spans="1:40" s="107" customFormat="1" ht="21.75" thickTop="1" thickBot="1" x14ac:dyDescent="0.3">
      <c r="A6" s="106"/>
      <c r="B6" s="117" t="s">
        <v>66</v>
      </c>
      <c r="C6" s="108"/>
      <c r="D6" s="165"/>
      <c r="E6" s="108"/>
      <c r="F6" s="165"/>
      <c r="G6" s="108"/>
      <c r="H6" s="16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row>
    <row r="7" spans="1:40" s="107" customFormat="1" ht="37.5" customHeight="1" thickTop="1" thickBot="1" x14ac:dyDescent="0.3">
      <c r="A7" s="106"/>
      <c r="B7" s="115" t="s">
        <v>189</v>
      </c>
      <c r="C7" s="124">
        <f>'3. % BY PRIORITY'!C28+'3. % BY PRIORITY'!C29</f>
        <v>37</v>
      </c>
      <c r="D7" s="164">
        <f>'3. % BY PRIORITY'!G28</f>
        <v>0.94871794871794879</v>
      </c>
      <c r="E7" s="127">
        <f>'3. % BY PRIORITY'!C31</f>
        <v>0</v>
      </c>
      <c r="F7" s="121">
        <f>'3. % BY PRIORITY'!G31</f>
        <v>0</v>
      </c>
      <c r="G7" s="126">
        <f>'3. % BY PRIORITY'!C35+'3. % BY PRIORITY'!C36</f>
        <v>2</v>
      </c>
      <c r="H7" s="123">
        <f>'3. % BY PRIORITY'!G35</f>
        <v>5.128205128205128E-2</v>
      </c>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row>
    <row r="8" spans="1:40" s="107" customFormat="1" ht="37.5" customHeight="1" thickTop="1" thickBot="1" x14ac:dyDescent="0.3">
      <c r="A8" s="106"/>
      <c r="B8" s="115" t="s">
        <v>190</v>
      </c>
      <c r="C8" s="124">
        <f>'3. % BY PRIORITY'!C50+'3. % BY PRIORITY'!C51</f>
        <v>11</v>
      </c>
      <c r="D8" s="164">
        <f>'3. % BY PRIORITY'!G50</f>
        <v>0.91666666666666663</v>
      </c>
      <c r="E8" s="127">
        <f>'3. % BY PRIORITY'!C53</f>
        <v>0</v>
      </c>
      <c r="F8" s="121">
        <f>'3. % BY PRIORITY'!G53</f>
        <v>0</v>
      </c>
      <c r="G8" s="126">
        <f>'3. % BY PRIORITY'!C57+'3. % BY PRIORITY'!C58</f>
        <v>1</v>
      </c>
      <c r="H8" s="123">
        <f>'3. % BY PRIORITY'!G57</f>
        <v>8.3333333333333329E-2</v>
      </c>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row>
    <row r="9" spans="1:40" s="107" customFormat="1" ht="37.5" customHeight="1" thickTop="1" thickBot="1" x14ac:dyDescent="0.3">
      <c r="A9" s="106"/>
      <c r="B9" s="115" t="s">
        <v>191</v>
      </c>
      <c r="C9" s="124">
        <f>'3. % BY PRIORITY'!C72+'3. % BY PRIORITY'!C73</f>
        <v>27</v>
      </c>
      <c r="D9" s="164">
        <f>'3. % BY PRIORITY'!G72</f>
        <v>1</v>
      </c>
      <c r="E9" s="127">
        <f>'3. % BY PRIORITY'!C75</f>
        <v>0</v>
      </c>
      <c r="F9" s="121">
        <f>'3. % BY PRIORITY'!G75</f>
        <v>0</v>
      </c>
      <c r="G9" s="126">
        <f>'3. % BY PRIORITY'!C79+'3. % BY PRIORITY'!C80</f>
        <v>0</v>
      </c>
      <c r="H9" s="123">
        <f>'3. % BY PRIORITY'!G79</f>
        <v>0</v>
      </c>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row>
    <row r="10" spans="1:40" s="107" customFormat="1" ht="21.75" thickTop="1" thickBot="1" x14ac:dyDescent="0.3">
      <c r="A10" s="106"/>
      <c r="B10" s="117" t="s">
        <v>67</v>
      </c>
      <c r="C10" s="108"/>
      <c r="D10" s="165"/>
      <c r="E10" s="108"/>
      <c r="F10" s="165"/>
      <c r="G10" s="108"/>
      <c r="H10" s="16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row>
    <row r="11" spans="1:40" s="107" customFormat="1" ht="37.5" customHeight="1" thickTop="1" thickBot="1" x14ac:dyDescent="0.3">
      <c r="A11" s="106"/>
      <c r="B11" s="116" t="s">
        <v>77</v>
      </c>
      <c r="C11" s="124">
        <f>'5. % BY PORTFOLIO'!C6+'5. % BY PORTFOLIO'!C7</f>
        <v>13</v>
      </c>
      <c r="D11" s="164">
        <f>'5. % BY PORTFOLIO'!G6</f>
        <v>1</v>
      </c>
      <c r="E11" s="127">
        <f>'5. % BY PORTFOLIO'!C9</f>
        <v>0</v>
      </c>
      <c r="F11" s="121">
        <f>'5. % BY PORTFOLIO'!G9</f>
        <v>0</v>
      </c>
      <c r="G11" s="126">
        <f>'5. % BY PORTFOLIO'!C13+'5. % BY PORTFOLIO'!C14</f>
        <v>0</v>
      </c>
      <c r="H11" s="123">
        <f>'5. % BY PORTFOLIO'!G13</f>
        <v>0</v>
      </c>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row>
    <row r="12" spans="1:40" s="107" customFormat="1" ht="37.5" customHeight="1" thickTop="1" thickBot="1" x14ac:dyDescent="0.3">
      <c r="A12" s="106"/>
      <c r="B12" s="116" t="s">
        <v>85</v>
      </c>
      <c r="C12" s="124">
        <f>'5. % BY PORTFOLIO'!C29+'5. % BY PORTFOLIO'!C30</f>
        <v>10</v>
      </c>
      <c r="D12" s="164">
        <f>'5. % BY PORTFOLIO'!G29</f>
        <v>1</v>
      </c>
      <c r="E12" s="128">
        <f>'5. % BY PORTFOLIO'!C32</f>
        <v>0</v>
      </c>
      <c r="F12" s="121">
        <f>'5. % BY PORTFOLIO'!G32</f>
        <v>0</v>
      </c>
      <c r="G12" s="126">
        <f>'5. % BY PORTFOLIO'!C13+'5. % BY PORTFOLIO'!C14</f>
        <v>0</v>
      </c>
      <c r="H12" s="123">
        <f>'5. % BY PORTFOLIO'!G36</f>
        <v>0</v>
      </c>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row>
    <row r="13" spans="1:40" s="107" customFormat="1" ht="37.5" customHeight="1" thickTop="1" thickBot="1" x14ac:dyDescent="0.3">
      <c r="A13" s="106"/>
      <c r="B13" s="116" t="s">
        <v>268</v>
      </c>
      <c r="C13" s="124">
        <f>'5. % BY PORTFOLIO'!C51+'5. % BY PORTFOLIO'!C52</f>
        <v>11</v>
      </c>
      <c r="D13" s="164">
        <f>'5. % BY PORTFOLIO'!G51</f>
        <v>0.91666666666666674</v>
      </c>
      <c r="E13" s="128">
        <f>'5. % BY PORTFOLIO'!C54</f>
        <v>0</v>
      </c>
      <c r="F13" s="121">
        <f>'5. % BY PORTFOLIO'!G54</f>
        <v>0</v>
      </c>
      <c r="G13" s="126">
        <f>'5. % BY PORTFOLIO'!C58+'5. % BY PORTFOLIO'!C59</f>
        <v>1</v>
      </c>
      <c r="H13" s="123">
        <f>'5. % BY PORTFOLIO'!G58</f>
        <v>8.3333333333333329E-2</v>
      </c>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row>
    <row r="14" spans="1:40" s="107" customFormat="1" ht="37.5" customHeight="1" thickTop="1" thickBot="1" x14ac:dyDescent="0.3">
      <c r="A14" s="106"/>
      <c r="B14" s="116" t="s">
        <v>90</v>
      </c>
      <c r="C14" s="124">
        <f>'5. % BY PORTFOLIO'!C73+'5. % BY PORTFOLIO'!C74</f>
        <v>7</v>
      </c>
      <c r="D14" s="164">
        <f>'5. % BY PORTFOLIO'!G73</f>
        <v>0.875</v>
      </c>
      <c r="E14" s="128">
        <f>'5. % BY PORTFOLIO'!C76</f>
        <v>0</v>
      </c>
      <c r="F14" s="121">
        <f>'5. % BY PORTFOLIO'!G76</f>
        <v>0</v>
      </c>
      <c r="G14" s="126">
        <f>'5. % BY PORTFOLIO'!C80+'5. % BY PORTFOLIO'!C81</f>
        <v>1</v>
      </c>
      <c r="H14" s="123">
        <f>'5. % BY PORTFOLIO'!G80</f>
        <v>0.125</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row>
    <row r="15" spans="1:40" s="107" customFormat="1" ht="37.5" customHeight="1" thickTop="1" thickBot="1" x14ac:dyDescent="0.3">
      <c r="A15" s="106"/>
      <c r="B15" s="116" t="s">
        <v>92</v>
      </c>
      <c r="C15" s="124">
        <f>'5. % BY PORTFOLIO'!C95+'5. % BY PORTFOLIO'!C96</f>
        <v>16</v>
      </c>
      <c r="D15" s="164">
        <f>'5. % BY PORTFOLIO'!G95</f>
        <v>1</v>
      </c>
      <c r="E15" s="128">
        <f>'5. % BY PORTFOLIO'!C98</f>
        <v>0</v>
      </c>
      <c r="F15" s="121">
        <f>'5. % BY PORTFOLIO'!G98</f>
        <v>0</v>
      </c>
      <c r="G15" s="126">
        <f>'5. % BY PORTFOLIO'!C102+'5. % BY PORTFOLIO'!C103</f>
        <v>0</v>
      </c>
      <c r="H15" s="123">
        <f>'5. % BY PORTFOLIO'!G102</f>
        <v>0</v>
      </c>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row>
    <row r="16" spans="1:40" s="107" customFormat="1" ht="37.5" customHeight="1" thickTop="1" thickBot="1" x14ac:dyDescent="0.3">
      <c r="A16" s="106"/>
      <c r="B16" s="116" t="s">
        <v>5</v>
      </c>
      <c r="C16" s="124">
        <f>'5. % BY PORTFOLIO'!C117+'5. % BY PORTFOLIO'!C118</f>
        <v>8</v>
      </c>
      <c r="D16" s="164">
        <f>'5. % BY PORTFOLIO'!G117</f>
        <v>1</v>
      </c>
      <c r="E16" s="128">
        <f>'5. % BY PORTFOLIO'!C120</f>
        <v>0</v>
      </c>
      <c r="F16" s="121">
        <f>'5. % BY PORTFOLIO'!G120</f>
        <v>0</v>
      </c>
      <c r="G16" s="126">
        <f>'5. % BY PORTFOLIO'!C124+'5. % BY PORTFOLIO'!C125</f>
        <v>0</v>
      </c>
      <c r="H16" s="123">
        <f>'5. % BY PORTFOLIO'!G124</f>
        <v>0</v>
      </c>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row>
    <row r="17" spans="1:40" s="107" customFormat="1" ht="37.5" customHeight="1" thickTop="1" thickBot="1" x14ac:dyDescent="0.3">
      <c r="A17" s="106"/>
      <c r="B17" s="116" t="s">
        <v>267</v>
      </c>
      <c r="C17" s="124">
        <f>'5. % BY PORTFOLIO'!C139+'5. % BY PORTFOLIO'!C140</f>
        <v>10</v>
      </c>
      <c r="D17" s="164">
        <f>'5. % BY PORTFOLIO'!G139</f>
        <v>0.90909090909090906</v>
      </c>
      <c r="E17" s="128">
        <f>'5. % BY PORTFOLIO'!C142</f>
        <v>0</v>
      </c>
      <c r="F17" s="121">
        <f>'5. % BY PORTFOLIO'!G142</f>
        <v>0</v>
      </c>
      <c r="G17" s="126">
        <f>'5. % BY PORTFOLIO'!C146+'5. % BY PORTFOLIO'!C147</f>
        <v>1</v>
      </c>
      <c r="H17" s="123">
        <f>'5. % BY PORTFOLIO'!G146</f>
        <v>9.0909090909090912E-2</v>
      </c>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row>
    <row r="18" spans="1:40" s="30" customFormat="1" ht="15.75" thickTop="1" x14ac:dyDescent="0.25">
      <c r="D18" s="111"/>
    </row>
    <row r="19" spans="1:40" s="30" customFormat="1" x14ac:dyDescent="0.25">
      <c r="D19" s="111"/>
    </row>
    <row r="20" spans="1:40" s="30" customFormat="1" x14ac:dyDescent="0.25">
      <c r="D20" s="111"/>
    </row>
    <row r="21" spans="1:40" s="30" customFormat="1" x14ac:dyDescent="0.25">
      <c r="D21" s="111"/>
    </row>
    <row r="22" spans="1:40" s="30" customFormat="1" x14ac:dyDescent="0.25">
      <c r="D22" s="111"/>
    </row>
    <row r="23" spans="1:40" s="30" customFormat="1" x14ac:dyDescent="0.25">
      <c r="D23" s="111"/>
    </row>
    <row r="24" spans="1:40" s="30" customFormat="1" x14ac:dyDescent="0.25">
      <c r="D24" s="111"/>
    </row>
    <row r="25" spans="1:40" s="30" customFormat="1" x14ac:dyDescent="0.25">
      <c r="D25" s="111"/>
    </row>
    <row r="26" spans="1:40" s="30" customFormat="1" x14ac:dyDescent="0.25">
      <c r="D26" s="111"/>
    </row>
    <row r="27" spans="1:40" s="30" customFormat="1" x14ac:dyDescent="0.25">
      <c r="D27" s="111"/>
    </row>
    <row r="28" spans="1:40" s="30" customFormat="1" x14ac:dyDescent="0.25">
      <c r="D28" s="111"/>
    </row>
    <row r="29" spans="1:40" s="30" customFormat="1" x14ac:dyDescent="0.25">
      <c r="D29" s="111"/>
    </row>
    <row r="30" spans="1:40" s="30" customFormat="1" x14ac:dyDescent="0.25">
      <c r="D30" s="111"/>
    </row>
    <row r="31" spans="1:40" s="30" customFormat="1" x14ac:dyDescent="0.25">
      <c r="D31" s="111"/>
    </row>
    <row r="32" spans="1:40" s="30" customFormat="1" x14ac:dyDescent="0.25">
      <c r="D32" s="111"/>
    </row>
    <row r="33" spans="4:4" s="30" customFormat="1" x14ac:dyDescent="0.25">
      <c r="D33" s="111"/>
    </row>
    <row r="34" spans="4:4" s="30" customFormat="1" x14ac:dyDescent="0.25">
      <c r="D34" s="111"/>
    </row>
    <row r="35" spans="4:4" s="30" customFormat="1" x14ac:dyDescent="0.25">
      <c r="D35" s="111"/>
    </row>
    <row r="36" spans="4:4" s="30" customFormat="1" x14ac:dyDescent="0.25">
      <c r="D36" s="111"/>
    </row>
    <row r="37" spans="4:4" s="30" customFormat="1" x14ac:dyDescent="0.25">
      <c r="D37" s="111"/>
    </row>
    <row r="38" spans="4:4" s="30" customFormat="1" x14ac:dyDescent="0.25">
      <c r="D38" s="111"/>
    </row>
    <row r="39" spans="4:4" s="30" customFormat="1" x14ac:dyDescent="0.25">
      <c r="D39" s="111"/>
    </row>
    <row r="40" spans="4:4" s="30" customFormat="1" x14ac:dyDescent="0.25">
      <c r="D40" s="111"/>
    </row>
    <row r="41" spans="4:4" s="30" customFormat="1" x14ac:dyDescent="0.25">
      <c r="D41" s="111"/>
    </row>
    <row r="42" spans="4:4" s="30" customFormat="1" x14ac:dyDescent="0.25">
      <c r="D42" s="111"/>
    </row>
    <row r="43" spans="4:4" s="30" customFormat="1" x14ac:dyDescent="0.25">
      <c r="D43" s="111"/>
    </row>
    <row r="44" spans="4:4" s="30" customFormat="1" x14ac:dyDescent="0.25">
      <c r="D44" s="111"/>
    </row>
    <row r="45" spans="4:4" s="30" customFormat="1" x14ac:dyDescent="0.25">
      <c r="D45" s="111"/>
    </row>
    <row r="46" spans="4:4" s="30" customFormat="1" x14ac:dyDescent="0.25">
      <c r="D46" s="111"/>
    </row>
    <row r="47" spans="4:4" s="30" customFormat="1" x14ac:dyDescent="0.25">
      <c r="D47" s="111"/>
    </row>
    <row r="48" spans="4:4" s="30" customFormat="1" x14ac:dyDescent="0.25">
      <c r="D48" s="111"/>
    </row>
  </sheetData>
  <mergeCells count="4">
    <mergeCell ref="B2:B3"/>
    <mergeCell ref="C2:D2"/>
    <mergeCell ref="E2:F2"/>
    <mergeCell ref="G2:H2"/>
  </mergeCells>
  <hyperlinks>
    <hyperlink ref="B1" location="INDEX!A1" display="Back to index"/>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000"/>
  </sheetPr>
  <dimension ref="A1:AN48"/>
  <sheetViews>
    <sheetView zoomScale="70" zoomScaleNormal="70" workbookViewId="0">
      <selection activeCell="K15" sqref="K15"/>
    </sheetView>
  </sheetViews>
  <sheetFormatPr defaultColWidth="9.140625" defaultRowHeight="15" x14ac:dyDescent="0.25"/>
  <cols>
    <col min="1" max="1" width="9.140625" style="30"/>
    <col min="2" max="2" width="49.5703125" style="23" customWidth="1"/>
    <col min="3" max="3" width="27.140625" style="23" customWidth="1"/>
    <col min="4" max="4" width="27.140625" style="114" customWidth="1"/>
    <col min="5" max="8" width="27.140625" style="23" customWidth="1"/>
    <col min="9" max="40" width="9.140625" style="30"/>
    <col min="41" max="16384" width="9.140625" style="23"/>
  </cols>
  <sheetData>
    <row r="1" spans="1:40" s="30" customFormat="1" ht="33" customHeight="1" thickBot="1" x14ac:dyDescent="0.3">
      <c r="B1" s="33" t="s">
        <v>75</v>
      </c>
      <c r="D1" s="111"/>
    </row>
    <row r="2" spans="1:40" ht="40.5" customHeight="1" thickTop="1" thickBot="1" x14ac:dyDescent="0.3">
      <c r="B2" s="486" t="s">
        <v>430</v>
      </c>
      <c r="C2" s="488" t="s">
        <v>19</v>
      </c>
      <c r="D2" s="489"/>
      <c r="E2" s="490" t="s">
        <v>20</v>
      </c>
      <c r="F2" s="491"/>
      <c r="G2" s="492" t="s">
        <v>21</v>
      </c>
      <c r="H2" s="493"/>
    </row>
    <row r="3" spans="1:40" ht="50.25" customHeight="1" thickTop="1" thickBot="1" x14ac:dyDescent="0.3">
      <c r="B3" s="487"/>
      <c r="C3" s="119" t="s">
        <v>63</v>
      </c>
      <c r="D3" s="113" t="s">
        <v>25</v>
      </c>
      <c r="E3" s="120" t="s">
        <v>63</v>
      </c>
      <c r="F3" s="121" t="s">
        <v>25</v>
      </c>
      <c r="G3" s="122" t="s">
        <v>63</v>
      </c>
      <c r="H3" s="123" t="s">
        <v>25</v>
      </c>
    </row>
    <row r="4" spans="1:40" s="24" customFormat="1" ht="21.75" thickTop="1" thickBot="1" x14ac:dyDescent="0.3">
      <c r="A4" s="31"/>
      <c r="B4" s="109" t="s">
        <v>64</v>
      </c>
      <c r="C4" s="64"/>
      <c r="D4" s="112"/>
      <c r="E4" s="64"/>
      <c r="F4" s="64"/>
      <c r="G4" s="64"/>
      <c r="H4" s="110"/>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07" customFormat="1" ht="37.5" customHeight="1" thickTop="1" thickBot="1" x14ac:dyDescent="0.3">
      <c r="A5" s="106"/>
      <c r="B5" s="115" t="s">
        <v>65</v>
      </c>
      <c r="C5" s="124">
        <f>'3. % BY PRIORITY'!J6+'3. % BY PRIORITY'!J7</f>
        <v>103</v>
      </c>
      <c r="D5" s="164">
        <f>'3. % BY PRIORITY'!N6</f>
        <v>0.96261682242990654</v>
      </c>
      <c r="E5" s="125">
        <f>'3. % BY PRIORITY'!J9</f>
        <v>0</v>
      </c>
      <c r="F5" s="121">
        <f>'3. % BY PRIORITY'!N9</f>
        <v>0</v>
      </c>
      <c r="G5" s="126">
        <f>'3. % BY PRIORITY'!J13+'3. % BY PRIORITY'!J14</f>
        <v>4</v>
      </c>
      <c r="H5" s="123">
        <f>'3. % BY PRIORITY'!N13</f>
        <v>3.7383177570093455E-2</v>
      </c>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row>
    <row r="6" spans="1:40" s="107" customFormat="1" ht="21.75" thickTop="1" thickBot="1" x14ac:dyDescent="0.3">
      <c r="A6" s="106"/>
      <c r="B6" s="117" t="s">
        <v>66</v>
      </c>
      <c r="C6" s="108"/>
      <c r="D6" s="165"/>
      <c r="E6" s="108"/>
      <c r="F6" s="165"/>
      <c r="G6" s="108"/>
      <c r="H6" s="16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row>
    <row r="7" spans="1:40" s="107" customFormat="1" ht="37.5" customHeight="1" thickTop="1" thickBot="1" x14ac:dyDescent="0.3">
      <c r="A7" s="106"/>
      <c r="B7" s="115" t="s">
        <v>189</v>
      </c>
      <c r="C7" s="124">
        <f>'3. % BY PRIORITY'!J28+'3. % BY PRIORITY'!J29</f>
        <v>47</v>
      </c>
      <c r="D7" s="164">
        <f>'3. % BY PRIORITY'!N28</f>
        <v>0.94000000000000006</v>
      </c>
      <c r="E7" s="127">
        <f>'3. % BY PRIORITY'!J31</f>
        <v>0</v>
      </c>
      <c r="F7" s="121">
        <f>'3. % BY PRIORITY'!N31</f>
        <v>0</v>
      </c>
      <c r="G7" s="126">
        <f>'3. % BY PRIORITY'!J35+'3. % BY PRIORITY'!J36</f>
        <v>3</v>
      </c>
      <c r="H7" s="123">
        <f>'3. % BY PRIORITY'!N35</f>
        <v>0.06</v>
      </c>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row>
    <row r="8" spans="1:40" s="107" customFormat="1" ht="37.5" customHeight="1" thickTop="1" thickBot="1" x14ac:dyDescent="0.3">
      <c r="A8" s="106"/>
      <c r="B8" s="115" t="s">
        <v>190</v>
      </c>
      <c r="C8" s="124">
        <f>'3. % BY PRIORITY'!J50+'3. % BY PRIORITY'!J51</f>
        <v>11</v>
      </c>
      <c r="D8" s="164">
        <f>'3. % BY PRIORITY'!N50</f>
        <v>0.91666666666666663</v>
      </c>
      <c r="E8" s="127">
        <f>'3. % BY PRIORITY'!J53</f>
        <v>0</v>
      </c>
      <c r="F8" s="121">
        <f>'3. % BY PRIORITY'!N53</f>
        <v>0</v>
      </c>
      <c r="G8" s="126">
        <f>'3. % BY PRIORITY'!J57+'3. % BY PRIORITY'!J58</f>
        <v>1</v>
      </c>
      <c r="H8" s="123">
        <f>'3. % BY PRIORITY'!N57</f>
        <v>8.3333333333333329E-2</v>
      </c>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row>
    <row r="9" spans="1:40" s="107" customFormat="1" ht="37.5" customHeight="1" thickTop="1" thickBot="1" x14ac:dyDescent="0.3">
      <c r="A9" s="106"/>
      <c r="B9" s="115" t="s">
        <v>191</v>
      </c>
      <c r="C9" s="124">
        <f>'3. % BY PRIORITY'!J72+'3. % BY PRIORITY'!J73</f>
        <v>45</v>
      </c>
      <c r="D9" s="164">
        <f>'3. % BY PRIORITY'!N72</f>
        <v>1</v>
      </c>
      <c r="E9" s="127">
        <f>'3. % BY PRIORITY'!J75</f>
        <v>0</v>
      </c>
      <c r="F9" s="121">
        <f>'3. % BY PRIORITY'!N75</f>
        <v>0</v>
      </c>
      <c r="G9" s="126">
        <f>'3. % BY PRIORITY'!J79+'3. % BY PRIORITY'!J80</f>
        <v>0</v>
      </c>
      <c r="H9" s="123">
        <f>'3. % BY PRIORITY'!N79</f>
        <v>0</v>
      </c>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row>
    <row r="10" spans="1:40" s="107" customFormat="1" ht="21.75" thickTop="1" thickBot="1" x14ac:dyDescent="0.3">
      <c r="A10" s="106"/>
      <c r="B10" s="117" t="s">
        <v>67</v>
      </c>
      <c r="C10" s="108"/>
      <c r="D10" s="165"/>
      <c r="E10" s="108"/>
      <c r="F10" s="165"/>
      <c r="G10" s="108"/>
      <c r="H10" s="16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row>
    <row r="11" spans="1:40" s="107" customFormat="1" ht="37.5" customHeight="1" thickTop="1" thickBot="1" x14ac:dyDescent="0.3">
      <c r="A11" s="106"/>
      <c r="B11" s="116" t="s">
        <v>77</v>
      </c>
      <c r="C11" s="124">
        <f>'5. % BY PORTFOLIO'!J6+'5. % BY PORTFOLIO'!J7</f>
        <v>15</v>
      </c>
      <c r="D11" s="164">
        <f>'5. % BY PORTFOLIO'!N6</f>
        <v>1</v>
      </c>
      <c r="E11" s="127">
        <f>'5. % BY PORTFOLIO'!J9</f>
        <v>0</v>
      </c>
      <c r="F11" s="121">
        <f>'5. % BY PORTFOLIO'!N9</f>
        <v>0</v>
      </c>
      <c r="G11" s="126">
        <f>'5. % BY PORTFOLIO'!J13+'5. % BY PORTFOLIO'!J14</f>
        <v>0</v>
      </c>
      <c r="H11" s="123">
        <f>'5. % BY PORTFOLIO'!N13</f>
        <v>0</v>
      </c>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row>
    <row r="12" spans="1:40" s="107" customFormat="1" ht="37.5" customHeight="1" thickTop="1" thickBot="1" x14ac:dyDescent="0.3">
      <c r="A12" s="106"/>
      <c r="B12" s="116" t="s">
        <v>85</v>
      </c>
      <c r="C12" s="124">
        <f>'5. % BY PORTFOLIO'!J29+'5. % BY PORTFOLIO'!J30</f>
        <v>17</v>
      </c>
      <c r="D12" s="164">
        <f>'5. % BY PORTFOLIO'!N29</f>
        <v>0.94444444444444442</v>
      </c>
      <c r="E12" s="128">
        <f>'5. % BY PORTFOLIO'!J32</f>
        <v>0</v>
      </c>
      <c r="F12" s="121">
        <f>'5. % BY PORTFOLIO'!N32</f>
        <v>0</v>
      </c>
      <c r="G12" s="126">
        <f>'5. % BY PORTFOLIO'!J36+'5. % BY PORTFOLIO'!J37</f>
        <v>1</v>
      </c>
      <c r="H12" s="123">
        <f>'5. % BY PORTFOLIO'!N36</f>
        <v>5.5555555555555552E-2</v>
      </c>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row>
    <row r="13" spans="1:40" s="107" customFormat="1" ht="37.5" customHeight="1" thickTop="1" thickBot="1" x14ac:dyDescent="0.3">
      <c r="A13" s="106"/>
      <c r="B13" s="116" t="s">
        <v>268</v>
      </c>
      <c r="C13" s="124">
        <f>'5. % BY PORTFOLIO'!J51+'5. % BY PORTFOLIO'!J52</f>
        <v>15</v>
      </c>
      <c r="D13" s="164">
        <f>'5. % BY PORTFOLIO'!N51</f>
        <v>0.9375</v>
      </c>
      <c r="E13" s="128">
        <f>'5. % BY PORTFOLIO'!J54</f>
        <v>0</v>
      </c>
      <c r="F13" s="121">
        <f>'5. % BY PORTFOLIO'!N54</f>
        <v>0</v>
      </c>
      <c r="G13" s="126">
        <f>'5. % BY PORTFOLIO'!J58+'5. % BY PORTFOLIO'!J59</f>
        <v>1</v>
      </c>
      <c r="H13" s="123">
        <f>'5. % BY PORTFOLIO'!N58</f>
        <v>6.25E-2</v>
      </c>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row>
    <row r="14" spans="1:40" s="107" customFormat="1" ht="37.5" customHeight="1" thickTop="1" thickBot="1" x14ac:dyDescent="0.3">
      <c r="A14" s="106"/>
      <c r="B14" s="116" t="s">
        <v>90</v>
      </c>
      <c r="C14" s="124">
        <f>'5. % BY PORTFOLIO'!J73+'5. % BY PORTFOLIO'!J74</f>
        <v>11</v>
      </c>
      <c r="D14" s="164">
        <f>'5. % BY PORTFOLIO'!N73</f>
        <v>0.91666666666666674</v>
      </c>
      <c r="E14" s="128">
        <f>'5. % BY PORTFOLIO'!J76</f>
        <v>0</v>
      </c>
      <c r="F14" s="121">
        <f>'5. % BY PORTFOLIO'!N76</f>
        <v>0</v>
      </c>
      <c r="G14" s="126">
        <f>'5. % BY PORTFOLIO'!J80+'5. % BY PORTFOLIO'!J81</f>
        <v>1</v>
      </c>
      <c r="H14" s="123">
        <f>'5. % BY PORTFOLIO'!N80</f>
        <v>8.3333333333333329E-2</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row>
    <row r="15" spans="1:40" s="107" customFormat="1" ht="37.5" customHeight="1" thickTop="1" thickBot="1" x14ac:dyDescent="0.3">
      <c r="A15" s="106"/>
      <c r="B15" s="116" t="s">
        <v>92</v>
      </c>
      <c r="C15" s="124">
        <f>'5. % BY PORTFOLIO'!J95+'5. % BY PORTFOLIO'!J96</f>
        <v>20</v>
      </c>
      <c r="D15" s="164">
        <f>'5. % BY PORTFOLIO'!N95</f>
        <v>1</v>
      </c>
      <c r="E15" s="128">
        <f>'5. % BY PORTFOLIO'!J98</f>
        <v>0</v>
      </c>
      <c r="F15" s="121">
        <f>'5. % BY PORTFOLIO'!N98</f>
        <v>0</v>
      </c>
      <c r="G15" s="126">
        <f>'5. % BY PORTFOLIO'!J102+'5. % BY PORTFOLIO'!J103</f>
        <v>0</v>
      </c>
      <c r="H15" s="123">
        <f>'5. % BY PORTFOLIO'!N102</f>
        <v>0</v>
      </c>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row>
    <row r="16" spans="1:40" s="107" customFormat="1" ht="37.5" customHeight="1" thickTop="1" thickBot="1" x14ac:dyDescent="0.3">
      <c r="A16" s="106"/>
      <c r="B16" s="116" t="s">
        <v>5</v>
      </c>
      <c r="C16" s="124">
        <f>'5. % BY PORTFOLIO'!J117+'5. % BY PORTFOLIO'!J118</f>
        <v>13</v>
      </c>
      <c r="D16" s="164">
        <f>'5. % BY PORTFOLIO'!N117</f>
        <v>1</v>
      </c>
      <c r="E16" s="128">
        <f>'5. % BY PORTFOLIO'!J120</f>
        <v>0</v>
      </c>
      <c r="F16" s="121">
        <f>'5. % BY PORTFOLIO'!N120</f>
        <v>0</v>
      </c>
      <c r="G16" s="126">
        <f>'5. % BY PORTFOLIO'!J124+'5. % BY PORTFOLIO'!J125</f>
        <v>0</v>
      </c>
      <c r="H16" s="123">
        <f>'5. % BY PORTFOLIO'!N124</f>
        <v>0</v>
      </c>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row>
    <row r="17" spans="1:40" s="107" customFormat="1" ht="37.5" customHeight="1" thickTop="1" thickBot="1" x14ac:dyDescent="0.3">
      <c r="A17" s="106"/>
      <c r="B17" s="116" t="s">
        <v>267</v>
      </c>
      <c r="C17" s="124">
        <f>'5. % BY PORTFOLIO'!J139+'5. % BY PORTFOLIO'!J140</f>
        <v>12</v>
      </c>
      <c r="D17" s="164">
        <f>'5. % BY PORTFOLIO'!N139</f>
        <v>0.92307692307692313</v>
      </c>
      <c r="E17" s="128">
        <f>'5. % BY PORTFOLIO'!J142</f>
        <v>0</v>
      </c>
      <c r="F17" s="121">
        <f>'5. % BY PORTFOLIO'!N142</f>
        <v>0</v>
      </c>
      <c r="G17" s="126">
        <f>'5. % BY PORTFOLIO'!J146+'5. % BY PORTFOLIO'!J147</f>
        <v>1</v>
      </c>
      <c r="H17" s="123">
        <f>'5. % BY PORTFOLIO'!N146</f>
        <v>7.6923076923076927E-2</v>
      </c>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row>
    <row r="18" spans="1:40" s="30" customFormat="1" ht="15.75" thickTop="1" x14ac:dyDescent="0.25">
      <c r="D18" s="111"/>
    </row>
    <row r="19" spans="1:40" s="30" customFormat="1" x14ac:dyDescent="0.25">
      <c r="D19" s="111"/>
    </row>
    <row r="20" spans="1:40" s="30" customFormat="1" x14ac:dyDescent="0.25">
      <c r="D20" s="111"/>
    </row>
    <row r="21" spans="1:40" s="30" customFormat="1" x14ac:dyDescent="0.25">
      <c r="D21" s="111"/>
    </row>
    <row r="22" spans="1:40" s="30" customFormat="1" x14ac:dyDescent="0.25">
      <c r="D22" s="111"/>
    </row>
    <row r="23" spans="1:40" s="30" customFormat="1" x14ac:dyDescent="0.25">
      <c r="D23" s="111"/>
    </row>
    <row r="24" spans="1:40" s="30" customFormat="1" x14ac:dyDescent="0.25">
      <c r="D24" s="111"/>
    </row>
    <row r="25" spans="1:40" s="30" customFormat="1" x14ac:dyDescent="0.25">
      <c r="D25" s="111"/>
    </row>
    <row r="26" spans="1:40" s="30" customFormat="1" x14ac:dyDescent="0.25">
      <c r="D26" s="111"/>
    </row>
    <row r="27" spans="1:40" s="30" customFormat="1" x14ac:dyDescent="0.25">
      <c r="D27" s="111"/>
    </row>
    <row r="28" spans="1:40" s="30" customFormat="1" x14ac:dyDescent="0.25">
      <c r="D28" s="111"/>
    </row>
    <row r="29" spans="1:40" s="30" customFormat="1" x14ac:dyDescent="0.25">
      <c r="D29" s="111"/>
    </row>
    <row r="30" spans="1:40" s="30" customFormat="1" x14ac:dyDescent="0.25">
      <c r="D30" s="111"/>
    </row>
    <row r="31" spans="1:40" s="30" customFormat="1" x14ac:dyDescent="0.25">
      <c r="D31" s="111"/>
    </row>
    <row r="32" spans="1:40" s="30" customFormat="1" x14ac:dyDescent="0.25">
      <c r="D32" s="111"/>
    </row>
    <row r="33" spans="4:4" s="30" customFormat="1" x14ac:dyDescent="0.25">
      <c r="D33" s="111"/>
    </row>
    <row r="34" spans="4:4" s="30" customFormat="1" x14ac:dyDescent="0.25">
      <c r="D34" s="111"/>
    </row>
    <row r="35" spans="4:4" s="30" customFormat="1" x14ac:dyDescent="0.25">
      <c r="D35" s="111"/>
    </row>
    <row r="36" spans="4:4" s="30" customFormat="1" x14ac:dyDescent="0.25">
      <c r="D36" s="111"/>
    </row>
    <row r="37" spans="4:4" s="30" customFormat="1" x14ac:dyDescent="0.25">
      <c r="D37" s="111"/>
    </row>
    <row r="38" spans="4:4" s="30" customFormat="1" x14ac:dyDescent="0.25">
      <c r="D38" s="111"/>
    </row>
    <row r="39" spans="4:4" s="30" customFormat="1" x14ac:dyDescent="0.25">
      <c r="D39" s="111"/>
    </row>
    <row r="40" spans="4:4" s="30" customFormat="1" x14ac:dyDescent="0.25">
      <c r="D40" s="111"/>
    </row>
    <row r="41" spans="4:4" s="30" customFormat="1" x14ac:dyDescent="0.25">
      <c r="D41" s="111"/>
    </row>
    <row r="42" spans="4:4" s="30" customFormat="1" x14ac:dyDescent="0.25">
      <c r="D42" s="111"/>
    </row>
    <row r="43" spans="4:4" s="30" customFormat="1" x14ac:dyDescent="0.25">
      <c r="D43" s="111"/>
    </row>
    <row r="44" spans="4:4" s="30" customFormat="1" x14ac:dyDescent="0.25">
      <c r="D44" s="111"/>
    </row>
    <row r="45" spans="4:4" s="30" customFormat="1" x14ac:dyDescent="0.25">
      <c r="D45" s="111"/>
    </row>
    <row r="46" spans="4:4" s="30" customFormat="1" x14ac:dyDescent="0.25">
      <c r="D46" s="111"/>
    </row>
    <row r="47" spans="4:4" s="30" customFormat="1" x14ac:dyDescent="0.25">
      <c r="D47" s="111"/>
    </row>
    <row r="48" spans="4:4" s="30" customFormat="1" x14ac:dyDescent="0.25">
      <c r="D48" s="111"/>
    </row>
  </sheetData>
  <mergeCells count="4">
    <mergeCell ref="B2:B3"/>
    <mergeCell ref="C2:D2"/>
    <mergeCell ref="E2:F2"/>
    <mergeCell ref="G2:H2"/>
  </mergeCells>
  <hyperlinks>
    <hyperlink ref="B1" location="INDEX!A1" display="Back to inde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135</vt:i4>
      </vt:variant>
    </vt:vector>
  </HeadingPairs>
  <TitlesOfParts>
    <vt:vector size="148" baseType="lpstr">
      <vt:lpstr>INDEX</vt:lpstr>
      <vt:lpstr>1. ALL DATA</vt:lpstr>
      <vt:lpstr>2. STATUS TRACKING</vt:lpstr>
      <vt:lpstr>3. % BY PRIORITY</vt:lpstr>
      <vt:lpstr>4. CHARTS BY PRIORITY</vt:lpstr>
      <vt:lpstr>5. % BY PORTFOLIO</vt:lpstr>
      <vt:lpstr>6. CHARTS BY PORTFOLIO</vt:lpstr>
      <vt:lpstr>Q1. SUMMARY</vt:lpstr>
      <vt:lpstr>Q2. SUMMARY</vt:lpstr>
      <vt:lpstr>Q3. SUMMARY</vt:lpstr>
      <vt:lpstr>Q4. SUMMARY</vt:lpstr>
      <vt:lpstr>CUSTOM PIVOT</vt:lpstr>
      <vt:lpstr>Sheet1</vt:lpstr>
      <vt:lpstr>ALL_TARGETS_Q1</vt:lpstr>
      <vt:lpstr>ALL_TARGETS_Q2</vt:lpstr>
      <vt:lpstr>ALL_TARGETS_Q3</vt:lpstr>
      <vt:lpstr>ALL_TARGETS_Q4</vt:lpstr>
      <vt:lpstr>ALLQ1</vt:lpstr>
      <vt:lpstr>ALLQ2</vt:lpstr>
      <vt:lpstr>ALLQ3</vt:lpstr>
      <vt:lpstr>ALLQ4</vt:lpstr>
      <vt:lpstr>BECQ1</vt:lpstr>
      <vt:lpstr>BECQ2</vt:lpstr>
      <vt:lpstr>BECQ3</vt:lpstr>
      <vt:lpstr>BECQ4</vt:lpstr>
      <vt:lpstr>CSCQ1</vt:lpstr>
      <vt:lpstr>CSCQ2</vt:lpstr>
      <vt:lpstr>CSCQ3</vt:lpstr>
      <vt:lpstr>CSCQ4</vt:lpstr>
      <vt:lpstr>CULT1</vt:lpstr>
      <vt:lpstr>CULT2</vt:lpstr>
      <vt:lpstr>CULT3</vt:lpstr>
      <vt:lpstr>CULT4</vt:lpstr>
      <vt:lpstr>CULTUR0</vt:lpstr>
      <vt:lpstr>CULTUR1</vt:lpstr>
      <vt:lpstr>CULTUR2</vt:lpstr>
      <vt:lpstr>CULTUR3</vt:lpstr>
      <vt:lpstr>CULTUR4</vt:lpstr>
      <vt:lpstr>CustomPivot</vt:lpstr>
      <vt:lpstr>'5. % BY PORTFOLIO'!ELE_Q1</vt:lpstr>
      <vt:lpstr>ELE_Q1</vt:lpstr>
      <vt:lpstr>'5. % BY PORTFOLIO'!ELE_Q2</vt:lpstr>
      <vt:lpstr>ELE_Q2</vt:lpstr>
      <vt:lpstr>'5. % BY PORTFOLIO'!ELE_Q3</vt:lpstr>
      <vt:lpstr>ELE_Q3</vt:lpstr>
      <vt:lpstr>'5. % BY PORTFOLIO'!ELE_Q4</vt:lpstr>
      <vt:lpstr>ELE_Q4</vt:lpstr>
      <vt:lpstr>ELEQ1</vt:lpstr>
      <vt:lpstr>ELEQ2</vt:lpstr>
      <vt:lpstr>ELEQ3</vt:lpstr>
      <vt:lpstr>ELEQ4</vt:lpstr>
      <vt:lpstr>'5. % BY PORTFOLIO'!ELTB_Q1</vt:lpstr>
      <vt:lpstr>ELTB_Q1</vt:lpstr>
      <vt:lpstr>'5. % BY PORTFOLIO'!ELTB_Q2</vt:lpstr>
      <vt:lpstr>ELTB_Q2</vt:lpstr>
      <vt:lpstr>'5. % BY PORTFOLIO'!ELTB_Q3</vt:lpstr>
      <vt:lpstr>ELTB_Q3</vt:lpstr>
      <vt:lpstr>'5. % BY PORTFOLIO'!ELTB_Q4</vt:lpstr>
      <vt:lpstr>ELTB_Q4</vt:lpstr>
      <vt:lpstr>ELTBQ1</vt:lpstr>
      <vt:lpstr>ELTBQ2</vt:lpstr>
      <vt:lpstr>ELTBQ3</vt:lpstr>
      <vt:lpstr>ELTBQ4</vt:lpstr>
      <vt:lpstr>ENT_1</vt:lpstr>
      <vt:lpstr>ENTER1</vt:lpstr>
      <vt:lpstr>ENTER2</vt:lpstr>
      <vt:lpstr>ENTER3</vt:lpstr>
      <vt:lpstr>ENTER4</vt:lpstr>
      <vt:lpstr>ENTERP1</vt:lpstr>
      <vt:lpstr>ENTERP2</vt:lpstr>
      <vt:lpstr>ENTERP3</vt:lpstr>
      <vt:lpstr>ENTERP4</vt:lpstr>
      <vt:lpstr>FINANC0</vt:lpstr>
      <vt:lpstr>FINANC1</vt:lpstr>
      <vt:lpstr>FINANC2</vt:lpstr>
      <vt:lpstr>FINANC3</vt:lpstr>
      <vt:lpstr>FINANC4</vt:lpstr>
      <vt:lpstr>FINANCE1</vt:lpstr>
      <vt:lpstr>FINANCE2</vt:lpstr>
      <vt:lpstr>FINANCE3</vt:lpstr>
      <vt:lpstr>FINANCE4</vt:lpstr>
      <vt:lpstr>LEADER0</vt:lpstr>
      <vt:lpstr>LEADER1</vt:lpstr>
      <vt:lpstr>LEADER2</vt:lpstr>
      <vt:lpstr>LEADER3</vt:lpstr>
      <vt:lpstr>LEADER4</vt:lpstr>
      <vt:lpstr>'1. ALL DATA'!OLE_LINK3</vt:lpstr>
      <vt:lpstr>PARTC1</vt:lpstr>
      <vt:lpstr>PARTC2</vt:lpstr>
      <vt:lpstr>PARTC3</vt:lpstr>
      <vt:lpstr>PARTC4</vt:lpstr>
      <vt:lpstr>PLAN1</vt:lpstr>
      <vt:lpstr>PLAN2</vt:lpstr>
      <vt:lpstr>PLAN3</vt:lpstr>
      <vt:lpstr>PLAN4</vt:lpstr>
      <vt:lpstr>PLANNING0</vt:lpstr>
      <vt:lpstr>PLANNING1</vt:lpstr>
      <vt:lpstr>PLANNING2</vt:lpstr>
      <vt:lpstr>PLANNING3</vt:lpstr>
      <vt:lpstr>PLANNING4</vt:lpstr>
      <vt:lpstr>PLEG_1617</vt:lpstr>
      <vt:lpstr>'1. ALL DATA'!Print_Area</vt:lpstr>
      <vt:lpstr>'1. ALL DATA'!Print_Titles</vt:lpstr>
      <vt:lpstr>PSC_1617</vt:lpstr>
      <vt:lpstr>PWBQ1</vt:lpstr>
      <vt:lpstr>Q1_Leader</vt:lpstr>
      <vt:lpstr>Q2_Leader</vt:lpstr>
      <vt:lpstr>Q3LEADER</vt:lpstr>
      <vt:lpstr>Q4_Leader</vt:lpstr>
      <vt:lpstr>'5. % BY PORTFOLIO'!RBV_Q1</vt:lpstr>
      <vt:lpstr>RBV_Q1</vt:lpstr>
      <vt:lpstr>'5. % BY PORTFOLIO'!RBV_Q2</vt:lpstr>
      <vt:lpstr>RBV_Q2</vt:lpstr>
      <vt:lpstr>'5. % BY PORTFOLIO'!RBV_Q3</vt:lpstr>
      <vt:lpstr>RBV_Q3</vt:lpstr>
      <vt:lpstr>'5. % BY PORTFOLIO'!RBV_Q4</vt:lpstr>
      <vt:lpstr>RBV_Q4</vt:lpstr>
      <vt:lpstr>RBVQ1</vt:lpstr>
      <vt:lpstr>RBVQ2</vt:lpstr>
      <vt:lpstr>RBVQ3</vt:lpstr>
      <vt:lpstr>RBVQ4</vt:lpstr>
      <vt:lpstr>REGUL1</vt:lpstr>
      <vt:lpstr>REGUL2</vt:lpstr>
      <vt:lpstr>REGUL3</vt:lpstr>
      <vt:lpstr>REGUL4</vt:lpstr>
      <vt:lpstr>REGULATE1</vt:lpstr>
      <vt:lpstr>REGULATE2</vt:lpstr>
      <vt:lpstr>REGULATE3</vt:lpstr>
      <vt:lpstr>REGULATE4</vt:lpstr>
      <vt:lpstr>RSCQ1</vt:lpstr>
      <vt:lpstr>RSCQ2</vt:lpstr>
      <vt:lpstr>RSCQ3</vt:lpstr>
      <vt:lpstr>RSCQ4</vt:lpstr>
      <vt:lpstr>SCCQ1</vt:lpstr>
      <vt:lpstr>SCCQ2</vt:lpstr>
      <vt:lpstr>SCCQ3</vt:lpstr>
      <vt:lpstr>SCCQ4</vt:lpstr>
      <vt:lpstr>TCN_C_O</vt:lpstr>
      <vt:lpstr>TCN_C_Q1</vt:lpstr>
      <vt:lpstr>TCN_C_Q2</vt:lpstr>
      <vt:lpstr>TCN_C_Q3</vt:lpstr>
      <vt:lpstr>TCN_C_Q4</vt:lpstr>
      <vt:lpstr>TCN_C_Q5</vt:lpstr>
      <vt:lpstr>TCN_T_Q1</vt:lpstr>
      <vt:lpstr>TCN_T_Q2</vt:lpstr>
      <vt:lpstr>TCN_T_Q3</vt:lpstr>
      <vt:lpstr>TCN_T_Q4</vt:lpstr>
      <vt:lpstr>VFM_1617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jennifer.norman</dc:creator>
  <cp:lastModifiedBy>Monica Henchcliffe</cp:lastModifiedBy>
  <cp:lastPrinted>2017-03-03T16:00:08Z</cp:lastPrinted>
  <dcterms:created xsi:type="dcterms:W3CDTF">2011-03-30T14:03:44Z</dcterms:created>
  <dcterms:modified xsi:type="dcterms:W3CDTF">2019-06-12T11:18:09Z</dcterms:modified>
</cp:coreProperties>
</file>