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819\Quarter 3\1. CMT\"/>
    </mc:Choice>
  </mc:AlternateContent>
  <bookViews>
    <workbookView xWindow="-15" yWindow="4260" windowWidth="12510" windowHeight="3495" tabRatio="774" activeTab="1"/>
  </bookViews>
  <sheets>
    <sheet name="INDEX" sheetId="8" r:id="rId1"/>
    <sheet name="1. ALL DATA" sheetId="1" r:id="rId2"/>
    <sheet name="2. STATUS TRACKING" sheetId="2" r:id="rId3"/>
    <sheet name="3. % BY PRIORITY" sheetId="4" r:id="rId4"/>
    <sheet name="4. CHARTS BY PRIORITY" sheetId="5" r:id="rId5"/>
    <sheet name="5. % BY PORTFOLIO" sheetId="22" r:id="rId6"/>
    <sheet name="6. CHARTS BY PORTFOLIO" sheetId="7" r:id="rId7"/>
    <sheet name="Q1. SUMMARY" sheetId="9" r:id="rId8"/>
    <sheet name="Q2. SUMMARY" sheetId="10" r:id="rId9"/>
    <sheet name="Q3. SUMMARY" sheetId="11" r:id="rId10"/>
    <sheet name="Q4. SUMMARY" sheetId="12" state="hidden" r:id="rId11"/>
    <sheet name="CUSTOM PIVOT" sheetId="23" state="hidden" r:id="rId12"/>
    <sheet name="Sheet1" sheetId="24"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C13" i="12" s="1"/>
  <c r="X42" i="22"/>
  <c r="X41" i="22"/>
  <c r="X40" i="22"/>
  <c r="X39" i="22"/>
  <c r="X37" i="22"/>
  <c r="X29" i="22"/>
  <c r="X19" i="22"/>
  <c r="X18" i="22"/>
  <c r="X17" i="22"/>
  <c r="X16" i="22"/>
  <c r="X14" i="22"/>
  <c r="X9" i="22"/>
  <c r="X6" i="22"/>
  <c r="Q152" i="22"/>
  <c r="Q151" i="22"/>
  <c r="Q150" i="22"/>
  <c r="Q149" i="22"/>
  <c r="Q147" i="22"/>
  <c r="Q146" i="22"/>
  <c r="Q142" i="22"/>
  <c r="Q140" i="22"/>
  <c r="Q139" i="22"/>
  <c r="Q130" i="22"/>
  <c r="Q129" i="22"/>
  <c r="Q128" i="22"/>
  <c r="Q127" i="22"/>
  <c r="Q125" i="22"/>
  <c r="Q124" i="22"/>
  <c r="Q120" i="22"/>
  <c r="E16" i="11" s="1"/>
  <c r="Q118" i="22"/>
  <c r="Q117" i="22"/>
  <c r="Q108" i="22"/>
  <c r="Q107" i="22"/>
  <c r="Q106" i="22"/>
  <c r="Q105" i="22"/>
  <c r="Q103" i="22"/>
  <c r="Q102" i="22"/>
  <c r="Q98" i="22"/>
  <c r="E15" i="11" s="1"/>
  <c r="Q96" i="22"/>
  <c r="Q95" i="22"/>
  <c r="Q86" i="22"/>
  <c r="Q85" i="22"/>
  <c r="Q84" i="22"/>
  <c r="Q83" i="22"/>
  <c r="Q81" i="22"/>
  <c r="Q80" i="22"/>
  <c r="Q76" i="22"/>
  <c r="E14" i="11" s="1"/>
  <c r="Q74" i="22"/>
  <c r="Q73" i="22"/>
  <c r="Q64" i="22"/>
  <c r="Q63" i="22"/>
  <c r="Q62" i="22"/>
  <c r="Q61" i="22"/>
  <c r="Q59" i="22"/>
  <c r="Q58" i="22"/>
  <c r="Q54" i="22"/>
  <c r="E13" i="11" s="1"/>
  <c r="Q52" i="22"/>
  <c r="Q51" i="22"/>
  <c r="Q42" i="22"/>
  <c r="Q41" i="22"/>
  <c r="Q40" i="22"/>
  <c r="Q39" i="22"/>
  <c r="Q37" i="22"/>
  <c r="Q36" i="22"/>
  <c r="Q32" i="22"/>
  <c r="E12" i="11" s="1"/>
  <c r="Q30" i="22"/>
  <c r="Q29" i="22"/>
  <c r="Q19" i="22"/>
  <c r="Q18" i="22"/>
  <c r="Q17" i="22"/>
  <c r="Q16" i="22"/>
  <c r="Q14" i="22"/>
  <c r="Q13" i="22"/>
  <c r="Q9" i="22"/>
  <c r="E11" i="11" s="1"/>
  <c r="Q7" i="22"/>
  <c r="Q6" i="22"/>
  <c r="J152" i="22"/>
  <c r="J151" i="22"/>
  <c r="J150" i="22"/>
  <c r="J149" i="22"/>
  <c r="J147" i="22"/>
  <c r="J146" i="22"/>
  <c r="J142" i="22"/>
  <c r="J140" i="22"/>
  <c r="J139" i="22"/>
  <c r="J130" i="22"/>
  <c r="J129" i="22"/>
  <c r="J128" i="22"/>
  <c r="J127" i="22"/>
  <c r="J125" i="22"/>
  <c r="J124" i="22"/>
  <c r="J120" i="22"/>
  <c r="J118" i="22"/>
  <c r="J117" i="22"/>
  <c r="J108" i="22"/>
  <c r="J107" i="22"/>
  <c r="J106" i="22"/>
  <c r="J105" i="22"/>
  <c r="J103" i="22"/>
  <c r="J102" i="22"/>
  <c r="J98" i="22"/>
  <c r="E15" i="10" s="1"/>
  <c r="J96" i="22"/>
  <c r="J95" i="22"/>
  <c r="J86" i="22"/>
  <c r="J85" i="22"/>
  <c r="J84" i="22"/>
  <c r="J83" i="22"/>
  <c r="J81" i="22"/>
  <c r="J80" i="22"/>
  <c r="J76" i="22"/>
  <c r="J74" i="22"/>
  <c r="J73" i="22"/>
  <c r="J64" i="22"/>
  <c r="J63" i="22"/>
  <c r="J62" i="22"/>
  <c r="J61" i="22"/>
  <c r="J59" i="22"/>
  <c r="J58" i="22"/>
  <c r="J54" i="22"/>
  <c r="E13" i="10" s="1"/>
  <c r="C152" i="22"/>
  <c r="C151" i="22"/>
  <c r="C150" i="22"/>
  <c r="C149" i="22"/>
  <c r="C147" i="22"/>
  <c r="C146" i="22"/>
  <c r="C142" i="22"/>
  <c r="E17" i="9" s="1"/>
  <c r="C140" i="22"/>
  <c r="C139" i="22"/>
  <c r="C130" i="22"/>
  <c r="C129" i="22"/>
  <c r="C128" i="22"/>
  <c r="C127" i="22"/>
  <c r="C125" i="22"/>
  <c r="C124" i="22"/>
  <c r="C120" i="22"/>
  <c r="E16" i="9" s="1"/>
  <c r="C118" i="22"/>
  <c r="C117" i="22"/>
  <c r="C108" i="22"/>
  <c r="C107" i="22"/>
  <c r="C106" i="22"/>
  <c r="C105" i="22"/>
  <c r="C103" i="22"/>
  <c r="C102" i="22"/>
  <c r="C98" i="22"/>
  <c r="C96" i="22"/>
  <c r="C95" i="22"/>
  <c r="C86" i="22"/>
  <c r="C85" i="22"/>
  <c r="C84" i="22"/>
  <c r="C83" i="22"/>
  <c r="C81" i="22"/>
  <c r="C80" i="22"/>
  <c r="C76" i="22"/>
  <c r="E14" i="9" s="1"/>
  <c r="C74" i="22"/>
  <c r="C73" i="22"/>
  <c r="C64" i="22"/>
  <c r="C63" i="22"/>
  <c r="C62" i="22"/>
  <c r="C61" i="22"/>
  <c r="C59" i="22"/>
  <c r="C58" i="22"/>
  <c r="C54" i="22"/>
  <c r="E13" i="9" s="1"/>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E12" i="10" s="1"/>
  <c r="J30" i="22"/>
  <c r="J29" i="22"/>
  <c r="J19" i="22"/>
  <c r="J18" i="22"/>
  <c r="J17" i="22"/>
  <c r="J16" i="22"/>
  <c r="J14" i="22"/>
  <c r="J13" i="22"/>
  <c r="J9" i="22"/>
  <c r="J7" i="22"/>
  <c r="J6" i="22"/>
  <c r="J85" i="4"/>
  <c r="J84" i="4"/>
  <c r="J83" i="4"/>
  <c r="J82" i="4"/>
  <c r="J80" i="4"/>
  <c r="J79" i="4"/>
  <c r="J75" i="4"/>
  <c r="E9" i="10" s="1"/>
  <c r="J73" i="4"/>
  <c r="J72" i="4"/>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E9" i="11" s="1"/>
  <c r="Q73" i="4"/>
  <c r="Q72" i="4"/>
  <c r="Q63" i="4"/>
  <c r="Q62" i="4"/>
  <c r="Q61" i="4"/>
  <c r="Q60" i="4"/>
  <c r="Q58" i="4"/>
  <c r="Q57" i="4"/>
  <c r="Q53" i="4"/>
  <c r="E8" i="11" s="1"/>
  <c r="Q51" i="4"/>
  <c r="Q50" i="4"/>
  <c r="Q41" i="4"/>
  <c r="Q40" i="4"/>
  <c r="Q39" i="4"/>
  <c r="Q38" i="4"/>
  <c r="Q36" i="4"/>
  <c r="Q35" i="4"/>
  <c r="Q31" i="4"/>
  <c r="E7" i="11" s="1"/>
  <c r="Q29" i="4"/>
  <c r="Q28" i="4"/>
  <c r="Q19" i="4"/>
  <c r="Q18" i="4"/>
  <c r="Q17" i="4"/>
  <c r="Q16" i="4"/>
  <c r="Q14" i="4"/>
  <c r="Q13" i="4"/>
  <c r="Q9" i="4"/>
  <c r="Q7" i="4"/>
  <c r="Q6" i="4"/>
  <c r="J63" i="4"/>
  <c r="J62" i="4"/>
  <c r="J61" i="4"/>
  <c r="J60" i="4"/>
  <c r="J58" i="4"/>
  <c r="J57" i="4"/>
  <c r="J53" i="4"/>
  <c r="E8" i="10" s="1"/>
  <c r="J51" i="4"/>
  <c r="J50" i="4"/>
  <c r="J41" i="4"/>
  <c r="J40" i="4"/>
  <c r="J39" i="4"/>
  <c r="J38" i="4"/>
  <c r="J36" i="4"/>
  <c r="J35" i="4"/>
  <c r="J31" i="4"/>
  <c r="E7" i="10" s="1"/>
  <c r="J29" i="4"/>
  <c r="J28" i="4"/>
  <c r="J19" i="4"/>
  <c r="J18" i="4"/>
  <c r="J17" i="4"/>
  <c r="J16" i="4"/>
  <c r="J14" i="4"/>
  <c r="J13" i="4"/>
  <c r="J9" i="4"/>
  <c r="E5" i="10" s="1"/>
  <c r="J7" i="4"/>
  <c r="J6" i="4"/>
  <c r="C85" i="4"/>
  <c r="C84" i="4"/>
  <c r="C83" i="4"/>
  <c r="C82" i="4"/>
  <c r="C80" i="4"/>
  <c r="C79" i="4"/>
  <c r="C75" i="4"/>
  <c r="E9" i="9" s="1"/>
  <c r="C73" i="4"/>
  <c r="C72" i="4"/>
  <c r="C63" i="4"/>
  <c r="C62" i="4"/>
  <c r="C61" i="4"/>
  <c r="C60" i="4"/>
  <c r="C58" i="4"/>
  <c r="C57" i="4"/>
  <c r="C53" i="4"/>
  <c r="E8" i="9" s="1"/>
  <c r="C51" i="4"/>
  <c r="C50" i="4"/>
  <c r="C41" i="4"/>
  <c r="C40" i="4"/>
  <c r="C39" i="4"/>
  <c r="C38" i="4"/>
  <c r="C36" i="4"/>
  <c r="C35" i="4"/>
  <c r="C31" i="4"/>
  <c r="E7" i="9" s="1"/>
  <c r="C29" i="4"/>
  <c r="C28" i="4"/>
  <c r="C19" i="4"/>
  <c r="C18" i="4"/>
  <c r="C17" i="4"/>
  <c r="C16" i="4"/>
  <c r="C14" i="4"/>
  <c r="C13" i="4"/>
  <c r="C9" i="4"/>
  <c r="E5" i="9" s="1"/>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E17" i="10"/>
  <c r="E14" i="10"/>
  <c r="J4" i="2"/>
  <c r="H4" i="2"/>
  <c r="F4" i="2"/>
  <c r="D4" i="2"/>
  <c r="G16" i="12"/>
  <c r="G15" i="12" l="1"/>
  <c r="G16" i="10"/>
  <c r="C13" i="11"/>
  <c r="C14" i="12"/>
  <c r="C15" i="9"/>
  <c r="G14" i="11"/>
  <c r="G11" i="10"/>
  <c r="G11" i="9"/>
  <c r="C15" i="10"/>
  <c r="G13" i="12"/>
  <c r="G17" i="12"/>
  <c r="C14" i="9"/>
  <c r="G15" i="9"/>
  <c r="C16" i="11"/>
  <c r="G17" i="11"/>
  <c r="G16" i="9"/>
  <c r="G13" i="10"/>
  <c r="C16" i="10"/>
  <c r="G17" i="10"/>
  <c r="C11" i="12"/>
  <c r="G12" i="12"/>
  <c r="G14" i="12"/>
  <c r="C11" i="10"/>
  <c r="G12" i="10"/>
  <c r="C11" i="9"/>
  <c r="G9" i="12"/>
  <c r="C12" i="12"/>
  <c r="C16" i="12"/>
  <c r="G11" i="12"/>
  <c r="X65" i="22"/>
  <c r="Y61" i="22" s="1"/>
  <c r="Z61" i="22" s="1"/>
  <c r="C17" i="11"/>
  <c r="C17" i="9"/>
  <c r="G14" i="10"/>
  <c r="C11" i="11"/>
  <c r="C12" i="11"/>
  <c r="G13" i="11"/>
  <c r="G5" i="9"/>
  <c r="C86" i="4"/>
  <c r="D80" i="4" s="1"/>
  <c r="G5" i="10"/>
  <c r="C8" i="10"/>
  <c r="C5" i="11"/>
  <c r="G7" i="11"/>
  <c r="C5" i="12"/>
  <c r="E5" i="12"/>
  <c r="C7" i="12"/>
  <c r="G7" i="12"/>
  <c r="E8" i="12"/>
  <c r="G8" i="12"/>
  <c r="X86" i="4"/>
  <c r="Y84" i="4" s="1"/>
  <c r="Z84" i="4" s="1"/>
  <c r="G11" i="11"/>
  <c r="Q87" i="22"/>
  <c r="R85" i="22" s="1"/>
  <c r="S85" i="22" s="1"/>
  <c r="G15" i="11"/>
  <c r="Q153" i="22"/>
  <c r="R146" i="22" s="1"/>
  <c r="E13" i="12"/>
  <c r="Q109" i="22"/>
  <c r="R108" i="22" s="1"/>
  <c r="S108" i="22" s="1"/>
  <c r="C9" i="10"/>
  <c r="G12" i="9"/>
  <c r="C8" i="12"/>
  <c r="G8" i="10"/>
  <c r="C5" i="10"/>
  <c r="C153" i="22"/>
  <c r="D151" i="22" s="1"/>
  <c r="E151" i="22" s="1"/>
  <c r="E9" i="12"/>
  <c r="C5" i="9"/>
  <c r="J42" i="4"/>
  <c r="K35" i="4" s="1"/>
  <c r="C7" i="9"/>
  <c r="G7" i="9"/>
  <c r="J20" i="4"/>
  <c r="K18" i="4" s="1"/>
  <c r="L18" i="4" s="1"/>
  <c r="G7" i="10"/>
  <c r="C64" i="4"/>
  <c r="D60" i="4" s="1"/>
  <c r="E60" i="4" s="1"/>
  <c r="G9" i="9"/>
  <c r="C8" i="9"/>
  <c r="C9" i="9"/>
  <c r="X64" i="4"/>
  <c r="Y61" i="4" s="1"/>
  <c r="Z61" i="4" s="1"/>
  <c r="X42" i="4"/>
  <c r="Y31" i="4" s="1"/>
  <c r="C42" i="4"/>
  <c r="G8" i="9"/>
  <c r="C7" i="10"/>
  <c r="J64" i="4"/>
  <c r="K60" i="4" s="1"/>
  <c r="L60" i="4" s="1"/>
  <c r="Q64" i="4"/>
  <c r="R62" i="4" s="1"/>
  <c r="S62" i="4" s="1"/>
  <c r="G9" i="11"/>
  <c r="X20" i="4"/>
  <c r="Y7" i="4" s="1"/>
  <c r="G5" i="12"/>
  <c r="E7" i="12"/>
  <c r="C9" i="12"/>
  <c r="G13" i="9"/>
  <c r="C17" i="10"/>
  <c r="J153" i="22"/>
  <c r="K140" i="22" s="1"/>
  <c r="X20" i="22"/>
  <c r="E11" i="12"/>
  <c r="E16" i="12"/>
  <c r="X131" i="22"/>
  <c r="Y127" i="22" s="1"/>
  <c r="Z127" i="22" s="1"/>
  <c r="G9" i="10"/>
  <c r="J86" i="4"/>
  <c r="K79" i="4" s="1"/>
  <c r="J20" i="22"/>
  <c r="K9" i="22" s="1"/>
  <c r="L9" i="22" s="1"/>
  <c r="E11" i="10"/>
  <c r="J43" i="22"/>
  <c r="K30" i="22" s="1"/>
  <c r="C12" i="10"/>
  <c r="C13" i="10"/>
  <c r="J65" i="22"/>
  <c r="K51" i="22" s="1"/>
  <c r="E11" i="9"/>
  <c r="C20" i="22"/>
  <c r="D9" i="22" s="1"/>
  <c r="E9" i="22" s="1"/>
  <c r="C12" i="9"/>
  <c r="C43" i="22"/>
  <c r="C65" i="22"/>
  <c r="D51" i="22" s="1"/>
  <c r="C13" i="9"/>
  <c r="G14" i="9"/>
  <c r="C87" i="22"/>
  <c r="D85" i="22" s="1"/>
  <c r="E85" i="22" s="1"/>
  <c r="C109" i="22"/>
  <c r="D98" i="22" s="1"/>
  <c r="E98" i="22" s="1"/>
  <c r="E15" i="9"/>
  <c r="C16" i="9"/>
  <c r="C131" i="22"/>
  <c r="D125" i="22" s="1"/>
  <c r="G17" i="9"/>
  <c r="J87" i="22"/>
  <c r="K86" i="22" s="1"/>
  <c r="L86" i="22" s="1"/>
  <c r="C14" i="10"/>
  <c r="J109" i="22"/>
  <c r="K102" i="22" s="1"/>
  <c r="G15" i="10"/>
  <c r="J131" i="22"/>
  <c r="K120" i="22" s="1"/>
  <c r="L120" i="22" s="1"/>
  <c r="E16" i="10"/>
  <c r="X109" i="22"/>
  <c r="Y99" i="22" s="1"/>
  <c r="C15" i="12"/>
  <c r="X153" i="22"/>
  <c r="Y139" i="22" s="1"/>
  <c r="C17" i="12"/>
  <c r="E12" i="12"/>
  <c r="X43" i="22"/>
  <c r="Y39" i="22" s="1"/>
  <c r="Z39" i="22" s="1"/>
  <c r="X87" i="22"/>
  <c r="E14" i="12"/>
  <c r="E15" i="12"/>
  <c r="E17" i="12"/>
  <c r="Y77" i="4"/>
  <c r="C20" i="4"/>
  <c r="C8" i="11"/>
  <c r="G5" i="11"/>
  <c r="C9" i="11"/>
  <c r="C14" i="11"/>
  <c r="Q65" i="22"/>
  <c r="R52" i="22" s="1"/>
  <c r="Q20" i="4"/>
  <c r="Q21" i="4" s="1"/>
  <c r="Q43" i="22"/>
  <c r="R29" i="22" s="1"/>
  <c r="Q42" i="4"/>
  <c r="R29" i="4" s="1"/>
  <c r="Q86" i="4"/>
  <c r="C7" i="11"/>
  <c r="C15" i="11"/>
  <c r="E17" i="11"/>
  <c r="Q131" i="22"/>
  <c r="R129" i="22" s="1"/>
  <c r="S129" i="22" s="1"/>
  <c r="Q20" i="22"/>
  <c r="G16" i="11"/>
  <c r="G12" i="11"/>
  <c r="G8" i="11"/>
  <c r="E5" i="11"/>
  <c r="Y79" i="4"/>
  <c r="Y75" i="4" l="1"/>
  <c r="Y82" i="4"/>
  <c r="Z82" i="4" s="1"/>
  <c r="Y85" i="4"/>
  <c r="Z85" i="4" s="1"/>
  <c r="Y51" i="22"/>
  <c r="X87" i="4"/>
  <c r="AA80" i="4" s="1"/>
  <c r="Y72" i="4"/>
  <c r="Y59" i="22"/>
  <c r="Q88" i="22"/>
  <c r="T74" i="22" s="1"/>
  <c r="D84" i="4"/>
  <c r="E84" i="4" s="1"/>
  <c r="Y56" i="22"/>
  <c r="X66" i="22"/>
  <c r="AA59" i="22" s="1"/>
  <c r="C87" i="4"/>
  <c r="F73" i="4" s="1"/>
  <c r="Y58" i="22"/>
  <c r="D75" i="4"/>
  <c r="E75" i="4" s="1"/>
  <c r="Y63" i="22"/>
  <c r="Z63" i="22" s="1"/>
  <c r="D79" i="4"/>
  <c r="E79" i="4" s="1"/>
  <c r="Y54" i="22"/>
  <c r="Y55" i="22"/>
  <c r="D85" i="4"/>
  <c r="E85" i="4" s="1"/>
  <c r="D73" i="4"/>
  <c r="E72" i="4" s="1"/>
  <c r="Y64" i="22"/>
  <c r="Z64" i="22" s="1"/>
  <c r="Y52" i="22"/>
  <c r="Y62" i="22"/>
  <c r="Z62" i="22" s="1"/>
  <c r="Y73" i="4"/>
  <c r="R151" i="22"/>
  <c r="S151" i="22" s="1"/>
  <c r="R142" i="22"/>
  <c r="S142" i="22" s="1"/>
  <c r="R140" i="22"/>
  <c r="Q65" i="4"/>
  <c r="T53" i="4" s="1"/>
  <c r="U53" i="4" s="1"/>
  <c r="R152" i="22"/>
  <c r="S152" i="22" s="1"/>
  <c r="R147" i="22"/>
  <c r="S146" i="22" s="1"/>
  <c r="R150" i="22"/>
  <c r="S150" i="22" s="1"/>
  <c r="R139" i="22"/>
  <c r="Q154" i="22"/>
  <c r="T142" i="22" s="1"/>
  <c r="U142" i="22" s="1"/>
  <c r="BB104" i="7" s="1"/>
  <c r="Y83" i="4"/>
  <c r="Z83" i="4" s="1"/>
  <c r="Y76" i="4"/>
  <c r="R149" i="22"/>
  <c r="S149" i="22" s="1"/>
  <c r="Y80" i="4"/>
  <c r="Z79" i="4" s="1"/>
  <c r="D83" i="4"/>
  <c r="E83" i="4" s="1"/>
  <c r="D72" i="4"/>
  <c r="R73" i="22"/>
  <c r="R74" i="22"/>
  <c r="R86" i="22"/>
  <c r="S86" i="22" s="1"/>
  <c r="D82" i="4"/>
  <c r="E82" i="4" s="1"/>
  <c r="R105" i="22"/>
  <c r="S105" i="22" s="1"/>
  <c r="R84" i="22"/>
  <c r="S84" i="22" s="1"/>
  <c r="R83" i="22"/>
  <c r="S83" i="22" s="1"/>
  <c r="R80" i="22"/>
  <c r="R95" i="22"/>
  <c r="R76" i="22"/>
  <c r="S76" i="22" s="1"/>
  <c r="R81" i="22"/>
  <c r="R96" i="22"/>
  <c r="R102" i="22"/>
  <c r="R106" i="22"/>
  <c r="S106" i="22" s="1"/>
  <c r="R107" i="22"/>
  <c r="S107" i="22" s="1"/>
  <c r="R103" i="22"/>
  <c r="Q110" i="22"/>
  <c r="T98" i="22" s="1"/>
  <c r="U98" i="22" s="1"/>
  <c r="BB72" i="7" s="1"/>
  <c r="R98" i="22"/>
  <c r="S98" i="22" s="1"/>
  <c r="K9" i="4"/>
  <c r="L9" i="4" s="1"/>
  <c r="K62" i="4"/>
  <c r="L62" i="4" s="1"/>
  <c r="C21" i="22"/>
  <c r="F6" i="22" s="1"/>
  <c r="R57" i="4"/>
  <c r="D16" i="22"/>
  <c r="E16" i="22" s="1"/>
  <c r="AA56" i="22"/>
  <c r="R50" i="4"/>
  <c r="R53" i="4"/>
  <c r="S53" i="4" s="1"/>
  <c r="D139" i="22"/>
  <c r="C154" i="22"/>
  <c r="F147" i="22" s="1"/>
  <c r="D142" i="22"/>
  <c r="E142" i="22" s="1"/>
  <c r="D6" i="22"/>
  <c r="D147" i="22"/>
  <c r="D140" i="22"/>
  <c r="Y40" i="4"/>
  <c r="Z40" i="4" s="1"/>
  <c r="D152" i="22"/>
  <c r="E152" i="22" s="1"/>
  <c r="D150" i="22"/>
  <c r="E150" i="22" s="1"/>
  <c r="Y35" i="4"/>
  <c r="D149" i="22"/>
  <c r="E149" i="22" s="1"/>
  <c r="R39" i="22"/>
  <c r="S39" i="22" s="1"/>
  <c r="D146" i="22"/>
  <c r="E146" i="22" s="1"/>
  <c r="R37" i="22"/>
  <c r="R58" i="22"/>
  <c r="R32" i="22"/>
  <c r="S32" i="22" s="1"/>
  <c r="Y13" i="4"/>
  <c r="J21" i="4"/>
  <c r="M7" i="4" s="1"/>
  <c r="Y33" i="4"/>
  <c r="K16" i="4"/>
  <c r="L16" i="4" s="1"/>
  <c r="R40" i="22"/>
  <c r="S40" i="22" s="1"/>
  <c r="Y10" i="4"/>
  <c r="R42" i="22"/>
  <c r="S42" i="22" s="1"/>
  <c r="D80" i="22"/>
  <c r="D51" i="4"/>
  <c r="K38" i="4"/>
  <c r="L38" i="4" s="1"/>
  <c r="D61" i="4"/>
  <c r="E61" i="4" s="1"/>
  <c r="K40" i="4"/>
  <c r="L40" i="4" s="1"/>
  <c r="D58" i="4"/>
  <c r="R6" i="4"/>
  <c r="D57" i="4"/>
  <c r="C65" i="4"/>
  <c r="K36" i="4"/>
  <c r="L35" i="4" s="1"/>
  <c r="Y19" i="4"/>
  <c r="Z19" i="4" s="1"/>
  <c r="K31" i="4"/>
  <c r="L31" i="4" s="1"/>
  <c r="D63" i="4"/>
  <c r="E63" i="4" s="1"/>
  <c r="D50" i="4"/>
  <c r="E50" i="4" s="1"/>
  <c r="K63" i="4"/>
  <c r="L63" i="4" s="1"/>
  <c r="K29" i="4"/>
  <c r="Y18" i="4"/>
  <c r="Z18" i="4" s="1"/>
  <c r="K41" i="4"/>
  <c r="L41" i="4" s="1"/>
  <c r="K39" i="4"/>
  <c r="L39" i="4" s="1"/>
  <c r="K28" i="4"/>
  <c r="D19" i="22"/>
  <c r="E19" i="22" s="1"/>
  <c r="J43" i="4"/>
  <c r="M36" i="4" s="1"/>
  <c r="Y39" i="4"/>
  <c r="Z39" i="4" s="1"/>
  <c r="D53" i="4"/>
  <c r="E53" i="4" s="1"/>
  <c r="K128" i="22"/>
  <c r="L128" i="22" s="1"/>
  <c r="K7" i="4"/>
  <c r="Z75" i="4"/>
  <c r="R19" i="4"/>
  <c r="S19" i="4" s="1"/>
  <c r="R63" i="22"/>
  <c r="S63" i="22" s="1"/>
  <c r="R61" i="4"/>
  <c r="S61" i="4" s="1"/>
  <c r="R51" i="4"/>
  <c r="K19" i="4"/>
  <c r="L19" i="4" s="1"/>
  <c r="Y38" i="4"/>
  <c r="Z38" i="4" s="1"/>
  <c r="Y36" i="4"/>
  <c r="K58" i="4"/>
  <c r="K6" i="4"/>
  <c r="K17" i="4"/>
  <c r="L17" i="4" s="1"/>
  <c r="R9" i="4"/>
  <c r="S9" i="4" s="1"/>
  <c r="K13" i="4"/>
  <c r="K14" i="4"/>
  <c r="R63" i="4"/>
  <c r="S63" i="4" s="1"/>
  <c r="R60" i="4"/>
  <c r="S60" i="4" s="1"/>
  <c r="R14" i="4"/>
  <c r="R58" i="4"/>
  <c r="R36" i="22"/>
  <c r="Y29" i="4"/>
  <c r="K84" i="4"/>
  <c r="L84" i="4" s="1"/>
  <c r="D62" i="4"/>
  <c r="E62" i="4" s="1"/>
  <c r="Y60" i="4"/>
  <c r="Z60" i="4" s="1"/>
  <c r="X65" i="4"/>
  <c r="Y50" i="4"/>
  <c r="Y57" i="4"/>
  <c r="Y54" i="4"/>
  <c r="Y51" i="4"/>
  <c r="Y9" i="4"/>
  <c r="Y16" i="4"/>
  <c r="Z16" i="4" s="1"/>
  <c r="Y6" i="4"/>
  <c r="Z6" i="4" s="1"/>
  <c r="D39" i="4"/>
  <c r="E39" i="4" s="1"/>
  <c r="D29" i="4"/>
  <c r="D35" i="4"/>
  <c r="D40" i="4"/>
  <c r="E40" i="4" s="1"/>
  <c r="D41" i="4"/>
  <c r="E41" i="4" s="1"/>
  <c r="D31" i="4"/>
  <c r="E31" i="4" s="1"/>
  <c r="C43" i="4"/>
  <c r="D36" i="4"/>
  <c r="D38" i="4"/>
  <c r="E38" i="4" s="1"/>
  <c r="Y58" i="4"/>
  <c r="Y11" i="4"/>
  <c r="Y14" i="4"/>
  <c r="Y17" i="4"/>
  <c r="Z17" i="4" s="1"/>
  <c r="X21" i="4"/>
  <c r="AA9" i="4" s="1"/>
  <c r="AB9" i="4" s="1"/>
  <c r="R59" i="22"/>
  <c r="Y62" i="4"/>
  <c r="Z62" i="4" s="1"/>
  <c r="K81" i="22"/>
  <c r="K73" i="22"/>
  <c r="Y53" i="4"/>
  <c r="D28" i="4"/>
  <c r="Y55" i="4"/>
  <c r="Y63" i="4"/>
  <c r="Z63" i="4" s="1"/>
  <c r="Y151" i="22"/>
  <c r="Z151" i="22" s="1"/>
  <c r="K53" i="4"/>
  <c r="L53" i="4" s="1"/>
  <c r="K61" i="4"/>
  <c r="L61" i="4" s="1"/>
  <c r="K51" i="4"/>
  <c r="K50" i="4"/>
  <c r="J65" i="4"/>
  <c r="K57" i="4"/>
  <c r="X43" i="4"/>
  <c r="Y32" i="4"/>
  <c r="Y41" i="4"/>
  <c r="Z41" i="4" s="1"/>
  <c r="Y28" i="4"/>
  <c r="T7" i="4"/>
  <c r="T9" i="4"/>
  <c r="U9" i="4" s="1"/>
  <c r="BB8" i="5" s="1"/>
  <c r="X110" i="22"/>
  <c r="Y108" i="22"/>
  <c r="Z108" i="22" s="1"/>
  <c r="Y102" i="22"/>
  <c r="Y106" i="22"/>
  <c r="Z106" i="22" s="1"/>
  <c r="Y100" i="22"/>
  <c r="Y96" i="22"/>
  <c r="Y103" i="22"/>
  <c r="Y105" i="22"/>
  <c r="Z105" i="22" s="1"/>
  <c r="Y98" i="22"/>
  <c r="Z98" i="22" s="1"/>
  <c r="K107" i="22"/>
  <c r="L107" i="22" s="1"/>
  <c r="D41" i="22"/>
  <c r="E41" i="22" s="1"/>
  <c r="D32" i="22"/>
  <c r="E32" i="22" s="1"/>
  <c r="D29" i="22"/>
  <c r="D36" i="22"/>
  <c r="D42" i="22"/>
  <c r="E42" i="22" s="1"/>
  <c r="D37" i="22"/>
  <c r="C44" i="22"/>
  <c r="D40" i="22"/>
  <c r="E40" i="22" s="1"/>
  <c r="X132" i="22"/>
  <c r="Y120" i="22"/>
  <c r="Y122" i="22"/>
  <c r="Y129" i="22"/>
  <c r="Z129" i="22" s="1"/>
  <c r="Y128" i="22"/>
  <c r="Z128" i="22" s="1"/>
  <c r="Y117" i="22"/>
  <c r="Y130" i="22"/>
  <c r="Z130" i="22" s="1"/>
  <c r="Y118" i="22"/>
  <c r="Y124" i="22"/>
  <c r="Y125" i="22"/>
  <c r="Y10" i="22"/>
  <c r="Y6" i="22"/>
  <c r="Y17" i="22"/>
  <c r="Z17" i="22" s="1"/>
  <c r="Y7" i="22"/>
  <c r="X21" i="22"/>
  <c r="Y19" i="22"/>
  <c r="Z19" i="22" s="1"/>
  <c r="Y14" i="22"/>
  <c r="Y13" i="22"/>
  <c r="Y11" i="22"/>
  <c r="Y16" i="22"/>
  <c r="Z16" i="22" s="1"/>
  <c r="R64" i="22"/>
  <c r="S64" i="22" s="1"/>
  <c r="R16" i="4"/>
  <c r="S16" i="4" s="1"/>
  <c r="X88" i="22"/>
  <c r="Y86" i="22"/>
  <c r="Z86" i="22" s="1"/>
  <c r="Y78" i="22"/>
  <c r="Y74" i="22"/>
  <c r="Y85" i="22"/>
  <c r="Z85" i="22" s="1"/>
  <c r="Y80" i="22"/>
  <c r="Y73" i="22"/>
  <c r="Y76" i="22"/>
  <c r="Y81" i="22"/>
  <c r="Y84" i="22"/>
  <c r="Z84" i="22" s="1"/>
  <c r="Y95" i="22"/>
  <c r="Y83" i="22"/>
  <c r="Z83" i="22" s="1"/>
  <c r="D118" i="22"/>
  <c r="D130" i="22"/>
  <c r="E130" i="22" s="1"/>
  <c r="D129" i="22"/>
  <c r="E129" i="22" s="1"/>
  <c r="D128" i="22"/>
  <c r="E128" i="22" s="1"/>
  <c r="D117" i="22"/>
  <c r="C132" i="22"/>
  <c r="D120" i="22"/>
  <c r="E120" i="22" s="1"/>
  <c r="D124" i="22"/>
  <c r="E124" i="22" s="1"/>
  <c r="D39" i="22"/>
  <c r="E39" i="22" s="1"/>
  <c r="J66" i="22"/>
  <c r="K52" i="22"/>
  <c r="L51" i="22" s="1"/>
  <c r="K64" i="22"/>
  <c r="L64" i="22" s="1"/>
  <c r="K54" i="22"/>
  <c r="L54" i="22" s="1"/>
  <c r="K62" i="22"/>
  <c r="L62" i="22" s="1"/>
  <c r="K58" i="22"/>
  <c r="K59" i="22"/>
  <c r="K63" i="22"/>
  <c r="L63" i="22" s="1"/>
  <c r="Y121" i="22"/>
  <c r="D59" i="22"/>
  <c r="Y107" i="22"/>
  <c r="Z107" i="22" s="1"/>
  <c r="D62" i="22"/>
  <c r="E62" i="22" s="1"/>
  <c r="D64" i="22"/>
  <c r="E64" i="22" s="1"/>
  <c r="R13" i="4"/>
  <c r="D127" i="22"/>
  <c r="E127" i="22" s="1"/>
  <c r="R18" i="4"/>
  <c r="S18" i="4" s="1"/>
  <c r="Y143" i="22"/>
  <c r="Y33" i="22"/>
  <c r="Y140" i="22"/>
  <c r="Z139" i="22" s="1"/>
  <c r="C110" i="22"/>
  <c r="D96" i="22"/>
  <c r="D105" i="22"/>
  <c r="E105" i="22" s="1"/>
  <c r="D108" i="22"/>
  <c r="E108" i="22" s="1"/>
  <c r="D107" i="22"/>
  <c r="E107" i="22" s="1"/>
  <c r="D95" i="22"/>
  <c r="E95" i="22" s="1"/>
  <c r="D103" i="22"/>
  <c r="D102" i="22"/>
  <c r="D30" i="22"/>
  <c r="J21" i="22"/>
  <c r="K6" i="22"/>
  <c r="K13" i="22"/>
  <c r="K14" i="22"/>
  <c r="K7" i="22"/>
  <c r="K19" i="22"/>
  <c r="L19" i="22" s="1"/>
  <c r="K16" i="22"/>
  <c r="L16" i="22" s="1"/>
  <c r="K18" i="22"/>
  <c r="L18" i="22" s="1"/>
  <c r="Y9" i="22"/>
  <c r="K106" i="22"/>
  <c r="L106" i="22" s="1"/>
  <c r="K98" i="22"/>
  <c r="L98" i="22" s="1"/>
  <c r="K105" i="22"/>
  <c r="L105" i="22" s="1"/>
  <c r="J110" i="22"/>
  <c r="K108" i="22"/>
  <c r="L108" i="22" s="1"/>
  <c r="K95" i="22"/>
  <c r="K96" i="22"/>
  <c r="K103" i="22"/>
  <c r="L102" i="22" s="1"/>
  <c r="D52" i="22"/>
  <c r="E51" i="22" s="1"/>
  <c r="D63" i="22"/>
  <c r="E63" i="22" s="1"/>
  <c r="D58" i="22"/>
  <c r="C66" i="22"/>
  <c r="F51" i="22" s="1"/>
  <c r="D13" i="4"/>
  <c r="D18" i="4"/>
  <c r="E18" i="4" s="1"/>
  <c r="D17" i="4"/>
  <c r="E17" i="4" s="1"/>
  <c r="C21" i="4"/>
  <c r="D6" i="4"/>
  <c r="D19" i="4"/>
  <c r="E19" i="4" s="1"/>
  <c r="D14" i="4"/>
  <c r="D9" i="4"/>
  <c r="E9" i="4" s="1"/>
  <c r="D16" i="4"/>
  <c r="E16" i="4" s="1"/>
  <c r="D7" i="4"/>
  <c r="D54" i="22"/>
  <c r="E54" i="22" s="1"/>
  <c r="D61" i="22"/>
  <c r="E61" i="22" s="1"/>
  <c r="R7" i="4"/>
  <c r="R54" i="22"/>
  <c r="S54" i="22" s="1"/>
  <c r="R17" i="4"/>
  <c r="S17" i="4" s="1"/>
  <c r="Y77" i="22"/>
  <c r="X44" i="22"/>
  <c r="Y32" i="22"/>
  <c r="Y41" i="22"/>
  <c r="Z41" i="22" s="1"/>
  <c r="Y30" i="22"/>
  <c r="Y34" i="22"/>
  <c r="Y29" i="22"/>
  <c r="Y42" i="22"/>
  <c r="Z42" i="22" s="1"/>
  <c r="Y36" i="22"/>
  <c r="Y37" i="22"/>
  <c r="Y40" i="22"/>
  <c r="Z40" i="22" s="1"/>
  <c r="X154" i="22"/>
  <c r="Y149" i="22"/>
  <c r="Z149" i="22" s="1"/>
  <c r="Y147" i="22"/>
  <c r="Y144" i="22"/>
  <c r="Y146" i="22"/>
  <c r="Y142" i="22"/>
  <c r="Y152" i="22"/>
  <c r="Z152" i="22" s="1"/>
  <c r="Y150" i="22"/>
  <c r="Z150" i="22" s="1"/>
  <c r="Y18" i="22"/>
  <c r="Z18" i="22" s="1"/>
  <c r="J132" i="22"/>
  <c r="K125" i="22"/>
  <c r="K129" i="22"/>
  <c r="L129" i="22" s="1"/>
  <c r="K118" i="22"/>
  <c r="K124" i="22"/>
  <c r="K117" i="22"/>
  <c r="K130" i="22"/>
  <c r="L130" i="22" s="1"/>
  <c r="K127" i="22"/>
  <c r="L127" i="22" s="1"/>
  <c r="J88" i="22"/>
  <c r="K80" i="22"/>
  <c r="K76" i="22"/>
  <c r="L76" i="22" s="1"/>
  <c r="K85" i="22"/>
  <c r="L85" i="22" s="1"/>
  <c r="K74" i="22"/>
  <c r="K83" i="22"/>
  <c r="L83" i="22" s="1"/>
  <c r="K84" i="22"/>
  <c r="L84" i="22" s="1"/>
  <c r="D106" i="22"/>
  <c r="E106" i="22" s="1"/>
  <c r="D74" i="22"/>
  <c r="D84" i="22"/>
  <c r="E84" i="22" s="1"/>
  <c r="D86" i="22"/>
  <c r="E86" i="22" s="1"/>
  <c r="D73" i="22"/>
  <c r="C88" i="22"/>
  <c r="D76" i="22"/>
  <c r="E76" i="22" s="1"/>
  <c r="D81" i="22"/>
  <c r="D83" i="22"/>
  <c r="E83" i="22" s="1"/>
  <c r="D17" i="22"/>
  <c r="E17" i="22" s="1"/>
  <c r="D18" i="22"/>
  <c r="E18" i="22" s="1"/>
  <c r="D13" i="22"/>
  <c r="D14" i="22"/>
  <c r="D7" i="22"/>
  <c r="J44" i="22"/>
  <c r="K40" i="22"/>
  <c r="L40" i="22" s="1"/>
  <c r="K36" i="22"/>
  <c r="K41" i="22"/>
  <c r="L41" i="22" s="1"/>
  <c r="K42" i="22"/>
  <c r="L42" i="22" s="1"/>
  <c r="K32" i="22"/>
  <c r="L32" i="22" s="1"/>
  <c r="K37" i="22"/>
  <c r="K29" i="22"/>
  <c r="L29" i="22" s="1"/>
  <c r="K75" i="4"/>
  <c r="L75" i="4" s="1"/>
  <c r="K73" i="4"/>
  <c r="K80" i="4"/>
  <c r="L79" i="4" s="1"/>
  <c r="K82" i="4"/>
  <c r="L82" i="4" s="1"/>
  <c r="K72" i="4"/>
  <c r="J87" i="4"/>
  <c r="K85" i="4"/>
  <c r="L85" i="4" s="1"/>
  <c r="K83" i="4"/>
  <c r="L83" i="4" s="1"/>
  <c r="J154" i="22"/>
  <c r="K152" i="22"/>
  <c r="L152" i="22" s="1"/>
  <c r="K139" i="22"/>
  <c r="L139" i="22" s="1"/>
  <c r="K146" i="22"/>
  <c r="K147" i="22"/>
  <c r="K142" i="22"/>
  <c r="L142" i="22" s="1"/>
  <c r="K151" i="22"/>
  <c r="L151" i="22" s="1"/>
  <c r="K150" i="22"/>
  <c r="L150" i="22" s="1"/>
  <c r="K149" i="22"/>
  <c r="L149" i="22" s="1"/>
  <c r="K61" i="22"/>
  <c r="L61" i="22" s="1"/>
  <c r="K39" i="22"/>
  <c r="L39" i="22" s="1"/>
  <c r="K17" i="22"/>
  <c r="L17" i="22" s="1"/>
  <c r="Q66" i="22"/>
  <c r="R51" i="22"/>
  <c r="S51" i="22" s="1"/>
  <c r="R61" i="22"/>
  <c r="S61" i="22" s="1"/>
  <c r="Q44" i="22"/>
  <c r="R30" i="22"/>
  <c r="S29" i="22" s="1"/>
  <c r="R41" i="22"/>
  <c r="S41" i="22" s="1"/>
  <c r="R62" i="22"/>
  <c r="S62" i="22" s="1"/>
  <c r="Q21" i="22"/>
  <c r="R17" i="22"/>
  <c r="S17" i="22" s="1"/>
  <c r="R7" i="22"/>
  <c r="R9" i="22"/>
  <c r="S9" i="22" s="1"/>
  <c r="R13" i="22"/>
  <c r="R16" i="22"/>
  <c r="S16" i="22" s="1"/>
  <c r="R18" i="22"/>
  <c r="S18" i="22" s="1"/>
  <c r="T6" i="4"/>
  <c r="T14" i="4"/>
  <c r="T13" i="4"/>
  <c r="Q132" i="22"/>
  <c r="R127" i="22"/>
  <c r="S127" i="22" s="1"/>
  <c r="R130" i="22"/>
  <c r="S130" i="22" s="1"/>
  <c r="R117" i="22"/>
  <c r="R125" i="22"/>
  <c r="R118" i="22"/>
  <c r="R128" i="22"/>
  <c r="S128" i="22" s="1"/>
  <c r="R120" i="22"/>
  <c r="S120" i="22" s="1"/>
  <c r="R82" i="4"/>
  <c r="S82" i="4" s="1"/>
  <c r="Q87" i="4"/>
  <c r="R72" i="4"/>
  <c r="R84" i="4"/>
  <c r="S84" i="4" s="1"/>
  <c r="R73" i="4"/>
  <c r="R85" i="4"/>
  <c r="S85" i="4" s="1"/>
  <c r="R80" i="4"/>
  <c r="R75" i="4"/>
  <c r="S75" i="4" s="1"/>
  <c r="R6" i="22"/>
  <c r="R124" i="22"/>
  <c r="R83" i="4"/>
  <c r="S83" i="4" s="1"/>
  <c r="R14" i="22"/>
  <c r="R36" i="4"/>
  <c r="R35" i="4"/>
  <c r="R39" i="4"/>
  <c r="S39" i="4" s="1"/>
  <c r="Q43" i="4"/>
  <c r="R40" i="4"/>
  <c r="S40" i="4" s="1"/>
  <c r="R28" i="4"/>
  <c r="S28" i="4" s="1"/>
  <c r="R41" i="4"/>
  <c r="S41" i="4" s="1"/>
  <c r="R31" i="4"/>
  <c r="S31" i="4" s="1"/>
  <c r="R79" i="4"/>
  <c r="R38" i="4"/>
  <c r="S38" i="4" s="1"/>
  <c r="R19" i="22"/>
  <c r="S19" i="22" s="1"/>
  <c r="L28" i="4" l="1"/>
  <c r="AA55" i="22"/>
  <c r="Z58" i="22"/>
  <c r="AA54" i="22"/>
  <c r="AB54" i="22" s="1"/>
  <c r="BC40" i="7" s="1"/>
  <c r="S57" i="4"/>
  <c r="F80" i="4"/>
  <c r="F139" i="22"/>
  <c r="AA52" i="22"/>
  <c r="AA58" i="22"/>
  <c r="AB58" i="22" s="1"/>
  <c r="H13" i="12" s="1"/>
  <c r="AA51" i="22"/>
  <c r="T76" i="22"/>
  <c r="U76" i="22" s="1"/>
  <c r="F14" i="11" s="1"/>
  <c r="F72" i="4"/>
  <c r="G72" i="4" s="1"/>
  <c r="D9" i="9" s="1"/>
  <c r="F7" i="22"/>
  <c r="G6" i="22" s="1"/>
  <c r="T80" i="22"/>
  <c r="AA73" i="4"/>
  <c r="T73" i="22"/>
  <c r="U73" i="22" s="1"/>
  <c r="BB55" i="7" s="1"/>
  <c r="F79" i="4"/>
  <c r="AA79" i="4"/>
  <c r="AB79" i="4" s="1"/>
  <c r="T81" i="22"/>
  <c r="F75" i="4"/>
  <c r="G75" i="4" s="1"/>
  <c r="F9" i="9" s="1"/>
  <c r="Z72" i="4"/>
  <c r="AA72" i="4"/>
  <c r="F17" i="11"/>
  <c r="F9" i="22"/>
  <c r="G9" i="22" s="1"/>
  <c r="AZ8" i="7" s="1"/>
  <c r="AA76" i="4"/>
  <c r="F142" i="22"/>
  <c r="G142" i="22" s="1"/>
  <c r="F17" i="9" s="1"/>
  <c r="AA77" i="4"/>
  <c r="AA75" i="4"/>
  <c r="AB75" i="4" s="1"/>
  <c r="F9" i="12" s="1"/>
  <c r="Z51" i="22"/>
  <c r="Z54" i="22"/>
  <c r="S139" i="22"/>
  <c r="T57" i="4"/>
  <c r="T96" i="22"/>
  <c r="T50" i="4"/>
  <c r="T103" i="22"/>
  <c r="T58" i="4"/>
  <c r="T51" i="4"/>
  <c r="T147" i="22"/>
  <c r="T146" i="22"/>
  <c r="T139" i="22"/>
  <c r="T140" i="22"/>
  <c r="Z31" i="4"/>
  <c r="L80" i="22"/>
  <c r="S73" i="22"/>
  <c r="S80" i="22"/>
  <c r="T102" i="22"/>
  <c r="S102" i="22"/>
  <c r="S95" i="22"/>
  <c r="F14" i="22"/>
  <c r="F13" i="22"/>
  <c r="F146" i="22"/>
  <c r="G146" i="22" s="1"/>
  <c r="H17" i="9" s="1"/>
  <c r="F140" i="22"/>
  <c r="T95" i="22"/>
  <c r="U95" i="22" s="1"/>
  <c r="D15" i="11" s="1"/>
  <c r="S36" i="22"/>
  <c r="Z102" i="22"/>
  <c r="M28" i="4"/>
  <c r="S58" i="22"/>
  <c r="S50" i="4"/>
  <c r="E139" i="22"/>
  <c r="E6" i="22"/>
  <c r="Z28" i="4"/>
  <c r="L57" i="4"/>
  <c r="E57" i="4"/>
  <c r="E28" i="4"/>
  <c r="Z13" i="4"/>
  <c r="M13" i="4"/>
  <c r="Z13" i="22"/>
  <c r="Z35" i="4"/>
  <c r="M9" i="4"/>
  <c r="N9" i="4" s="1"/>
  <c r="F5" i="10" s="1"/>
  <c r="M14" i="4"/>
  <c r="S13" i="4"/>
  <c r="F13" i="12"/>
  <c r="E80" i="22"/>
  <c r="E102" i="22"/>
  <c r="M6" i="4"/>
  <c r="N6" i="4" s="1"/>
  <c r="D5" i="10" s="1"/>
  <c r="L50" i="4"/>
  <c r="Z50" i="4"/>
  <c r="L6" i="4"/>
  <c r="M35" i="4"/>
  <c r="N35" i="4" s="1"/>
  <c r="BA25" i="5" s="1"/>
  <c r="M29" i="4"/>
  <c r="U6" i="4"/>
  <c r="BB7" i="5" s="1"/>
  <c r="S6" i="4"/>
  <c r="Z73" i="22"/>
  <c r="M31" i="4"/>
  <c r="N31" i="4" s="1"/>
  <c r="F7" i="10" s="1"/>
  <c r="F53" i="4"/>
  <c r="G53" i="4" s="1"/>
  <c r="F58" i="4"/>
  <c r="F57" i="4"/>
  <c r="F51" i="4"/>
  <c r="F50" i="4"/>
  <c r="L95" i="22"/>
  <c r="F52" i="22"/>
  <c r="G51" i="22" s="1"/>
  <c r="AA6" i="4"/>
  <c r="AA14" i="4"/>
  <c r="U13" i="4"/>
  <c r="H5" i="11" s="1"/>
  <c r="L146" i="22"/>
  <c r="L73" i="22"/>
  <c r="Z36" i="22"/>
  <c r="Z57" i="4"/>
  <c r="Z9" i="4"/>
  <c r="F15" i="11"/>
  <c r="AA7" i="4"/>
  <c r="AA13" i="4"/>
  <c r="F58" i="22"/>
  <c r="Z146" i="22"/>
  <c r="E36" i="22"/>
  <c r="F5" i="11"/>
  <c r="AA10" i="4"/>
  <c r="F54" i="22"/>
  <c r="G54" i="22" s="1"/>
  <c r="F13" i="9" s="1"/>
  <c r="AA11" i="4"/>
  <c r="F59" i="22"/>
  <c r="L72" i="4"/>
  <c r="Z29" i="22"/>
  <c r="Z32" i="22"/>
  <c r="E35" i="4"/>
  <c r="L13" i="4"/>
  <c r="M58" i="4"/>
  <c r="M50" i="4"/>
  <c r="M57" i="4"/>
  <c r="M53" i="4"/>
  <c r="N53" i="4" s="1"/>
  <c r="M51" i="4"/>
  <c r="AA54" i="4"/>
  <c r="AA50" i="4"/>
  <c r="AA51" i="4"/>
  <c r="AA58" i="4"/>
  <c r="AA53" i="4"/>
  <c r="AB53" i="4" s="1"/>
  <c r="AA55" i="4"/>
  <c r="AA57" i="4"/>
  <c r="Z117" i="22"/>
  <c r="F28" i="4"/>
  <c r="F36" i="4"/>
  <c r="F31" i="4"/>
  <c r="G31" i="4" s="1"/>
  <c r="F35" i="4"/>
  <c r="F29" i="4"/>
  <c r="S35" i="4"/>
  <c r="E73" i="22"/>
  <c r="Z80" i="22"/>
  <c r="AA31" i="4"/>
  <c r="AB31" i="4" s="1"/>
  <c r="AA36" i="4"/>
  <c r="AA33" i="4"/>
  <c r="AA29" i="4"/>
  <c r="AA35" i="4"/>
  <c r="AA28" i="4"/>
  <c r="AA32" i="4"/>
  <c r="Z53" i="4"/>
  <c r="L36" i="22"/>
  <c r="F95" i="22"/>
  <c r="F102" i="22"/>
  <c r="F96" i="22"/>
  <c r="F98" i="22"/>
  <c r="G98" i="22" s="1"/>
  <c r="F103" i="22"/>
  <c r="E117" i="22"/>
  <c r="S79" i="4"/>
  <c r="M72" i="4"/>
  <c r="M75" i="4"/>
  <c r="N75" i="4" s="1"/>
  <c r="M80" i="4"/>
  <c r="M73" i="4"/>
  <c r="M79" i="4"/>
  <c r="M98" i="22"/>
  <c r="N98" i="22" s="1"/>
  <c r="M96" i="22"/>
  <c r="M95" i="22"/>
  <c r="M103" i="22"/>
  <c r="M102" i="22"/>
  <c r="L13" i="22"/>
  <c r="L58" i="22"/>
  <c r="AA78" i="22"/>
  <c r="AA81" i="22"/>
  <c r="AA73" i="22"/>
  <c r="AA76" i="22"/>
  <c r="AB76" i="22" s="1"/>
  <c r="AA80" i="22"/>
  <c r="AA74" i="22"/>
  <c r="AA77" i="22"/>
  <c r="Z120" i="22"/>
  <c r="F37" i="22"/>
  <c r="F36" i="22"/>
  <c r="F29" i="22"/>
  <c r="F32" i="22"/>
  <c r="G32" i="22" s="1"/>
  <c r="F30" i="22"/>
  <c r="E29" i="22"/>
  <c r="AA98" i="22"/>
  <c r="AB98" i="22" s="1"/>
  <c r="AA103" i="22"/>
  <c r="AA96" i="22"/>
  <c r="AA102" i="22"/>
  <c r="AA100" i="22"/>
  <c r="AA99" i="22"/>
  <c r="AA95" i="22"/>
  <c r="S6" i="22"/>
  <c r="M146" i="22"/>
  <c r="M142" i="22"/>
  <c r="N142" i="22" s="1"/>
  <c r="M147" i="22"/>
  <c r="M139" i="22"/>
  <c r="M140" i="22"/>
  <c r="M29" i="22"/>
  <c r="M37" i="22"/>
  <c r="M32" i="22"/>
  <c r="N32" i="22" s="1"/>
  <c r="M36" i="22"/>
  <c r="M30" i="22"/>
  <c r="L117" i="22"/>
  <c r="L124" i="22"/>
  <c r="AA30" i="22"/>
  <c r="AA36" i="22"/>
  <c r="AA34" i="22"/>
  <c r="AA33" i="22"/>
  <c r="AA29" i="22"/>
  <c r="AA37" i="22"/>
  <c r="AA32" i="22"/>
  <c r="AB32" i="22" s="1"/>
  <c r="E6" i="4"/>
  <c r="E13" i="4"/>
  <c r="E58" i="22"/>
  <c r="L6" i="22"/>
  <c r="M59" i="22"/>
  <c r="M51" i="22"/>
  <c r="M54" i="22"/>
  <c r="N54" i="22" s="1"/>
  <c r="M52" i="22"/>
  <c r="M58" i="22"/>
  <c r="N58" i="22" s="1"/>
  <c r="Z76" i="22"/>
  <c r="Z124" i="22"/>
  <c r="AA124" i="22"/>
  <c r="AA117" i="22"/>
  <c r="AA125" i="22"/>
  <c r="AA118" i="22"/>
  <c r="AA120" i="22"/>
  <c r="AB120" i="22" s="1"/>
  <c r="AA122" i="22"/>
  <c r="AA121" i="22"/>
  <c r="AZ56" i="5"/>
  <c r="AA144" i="22"/>
  <c r="AA146" i="22"/>
  <c r="AA142" i="22"/>
  <c r="AB142" i="22" s="1"/>
  <c r="AA147" i="22"/>
  <c r="AA139" i="22"/>
  <c r="AA140" i="22"/>
  <c r="AA143" i="22"/>
  <c r="AA10" i="22"/>
  <c r="AA11" i="22"/>
  <c r="AA6" i="22"/>
  <c r="AA13" i="22"/>
  <c r="AA7" i="22"/>
  <c r="AA14" i="22"/>
  <c r="AA9" i="22"/>
  <c r="AB9" i="22" s="1"/>
  <c r="E13" i="22"/>
  <c r="F80" i="22"/>
  <c r="F81" i="22"/>
  <c r="F73" i="22"/>
  <c r="F74" i="22"/>
  <c r="F76" i="22"/>
  <c r="G76" i="22" s="1"/>
  <c r="M76" i="22"/>
  <c r="N76" i="22" s="1"/>
  <c r="M73" i="22"/>
  <c r="M81" i="22"/>
  <c r="M74" i="22"/>
  <c r="M80" i="22"/>
  <c r="M125" i="22"/>
  <c r="M118" i="22"/>
  <c r="M124" i="22"/>
  <c r="M117" i="22"/>
  <c r="M120" i="22"/>
  <c r="N120" i="22" s="1"/>
  <c r="Z142" i="22"/>
  <c r="F14" i="4"/>
  <c r="F13" i="4"/>
  <c r="F7" i="4"/>
  <c r="F9" i="4"/>
  <c r="G9" i="4" s="1"/>
  <c r="F6" i="4"/>
  <c r="Z9" i="22"/>
  <c r="M13" i="22"/>
  <c r="M14" i="22"/>
  <c r="M9" i="22"/>
  <c r="N9" i="22" s="1"/>
  <c r="M7" i="22"/>
  <c r="M6" i="22"/>
  <c r="F117" i="22"/>
  <c r="F125" i="22"/>
  <c r="F124" i="22"/>
  <c r="F120" i="22"/>
  <c r="G120" i="22" s="1"/>
  <c r="F118" i="22"/>
  <c r="Z95" i="22"/>
  <c r="Z6" i="22"/>
  <c r="S124" i="22"/>
  <c r="S13" i="22"/>
  <c r="T51" i="22"/>
  <c r="T54" i="22"/>
  <c r="U54" i="22" s="1"/>
  <c r="T59" i="22"/>
  <c r="T58" i="22"/>
  <c r="T52" i="22"/>
  <c r="T29" i="22"/>
  <c r="T30" i="22"/>
  <c r="T32" i="22"/>
  <c r="U32" i="22" s="1"/>
  <c r="T37" i="22"/>
  <c r="T36" i="22"/>
  <c r="T75" i="4"/>
  <c r="U75" i="4" s="1"/>
  <c r="T72" i="4"/>
  <c r="T80" i="4"/>
  <c r="T73" i="4"/>
  <c r="T79" i="4"/>
  <c r="T9" i="22"/>
  <c r="U9" i="22" s="1"/>
  <c r="T13" i="22"/>
  <c r="T7" i="22"/>
  <c r="T14" i="22"/>
  <c r="T6" i="22"/>
  <c r="T31" i="4"/>
  <c r="U31" i="4" s="1"/>
  <c r="T36" i="4"/>
  <c r="T35" i="4"/>
  <c r="T28" i="4"/>
  <c r="T29" i="4"/>
  <c r="S117" i="22"/>
  <c r="T118" i="22"/>
  <c r="T125" i="22"/>
  <c r="T117" i="22"/>
  <c r="T120" i="22"/>
  <c r="U120" i="22" s="1"/>
  <c r="T124" i="22"/>
  <c r="S72" i="4"/>
  <c r="F5" i="12"/>
  <c r="BC8" i="5"/>
  <c r="F8" i="11"/>
  <c r="BB40" i="5"/>
  <c r="BC56" i="5" l="1"/>
  <c r="AB51" i="22"/>
  <c r="D13" i="12" s="1"/>
  <c r="U80" i="22"/>
  <c r="H14" i="11" s="1"/>
  <c r="G79" i="4"/>
  <c r="H9" i="9" s="1"/>
  <c r="BB56" i="7"/>
  <c r="G139" i="22"/>
  <c r="D17" i="9" s="1"/>
  <c r="U57" i="4"/>
  <c r="BB41" i="5" s="1"/>
  <c r="D14" i="11"/>
  <c r="BC41" i="7"/>
  <c r="AB72" i="4"/>
  <c r="BC55" i="5" s="1"/>
  <c r="AZ104" i="7"/>
  <c r="AB29" i="22"/>
  <c r="BC23" i="7" s="1"/>
  <c r="F11" i="9"/>
  <c r="AZ55" i="5"/>
  <c r="G13" i="22"/>
  <c r="H11" i="9" s="1"/>
  <c r="U146" i="22"/>
  <c r="BB105" i="7" s="1"/>
  <c r="U50" i="4"/>
  <c r="BB39" i="5" s="1"/>
  <c r="U139" i="22"/>
  <c r="BB103" i="7" s="1"/>
  <c r="U102" i="22"/>
  <c r="H15" i="11" s="1"/>
  <c r="N28" i="4"/>
  <c r="D7" i="10" s="1"/>
  <c r="G58" i="22"/>
  <c r="H13" i="9" s="1"/>
  <c r="G57" i="4"/>
  <c r="AZ41" i="5" s="1"/>
  <c r="N13" i="4"/>
  <c r="BA9" i="5" s="1"/>
  <c r="BA24" i="5"/>
  <c r="BA8" i="5"/>
  <c r="AZ40" i="7"/>
  <c r="H7" i="10"/>
  <c r="AB6" i="4"/>
  <c r="BC7" i="5" s="1"/>
  <c r="G50" i="4"/>
  <c r="D8" i="9" s="1"/>
  <c r="D5" i="11"/>
  <c r="BB71" i="7"/>
  <c r="BA7" i="5"/>
  <c r="N80" i="22"/>
  <c r="BA57" i="7" s="1"/>
  <c r="U58" i="22"/>
  <c r="BB41" i="7" s="1"/>
  <c r="G13" i="4"/>
  <c r="AZ9" i="5" s="1"/>
  <c r="AB6" i="22"/>
  <c r="BC7" i="7" s="1"/>
  <c r="AB146" i="22"/>
  <c r="BC105" i="7" s="1"/>
  <c r="N95" i="22"/>
  <c r="D15" i="10" s="1"/>
  <c r="AB13" i="4"/>
  <c r="BC9" i="5" s="1"/>
  <c r="AZ105" i="7"/>
  <c r="BB9" i="5"/>
  <c r="F8" i="9"/>
  <c r="AZ40" i="5"/>
  <c r="U117" i="22"/>
  <c r="BB87" i="7" s="1"/>
  <c r="U6" i="22"/>
  <c r="D11" i="11" s="1"/>
  <c r="U79" i="4"/>
  <c r="BB57" i="5" s="1"/>
  <c r="G124" i="22"/>
  <c r="AZ89" i="7" s="1"/>
  <c r="N6" i="22"/>
  <c r="BA7" i="7" s="1"/>
  <c r="N13" i="22"/>
  <c r="BA9" i="7" s="1"/>
  <c r="N73" i="22"/>
  <c r="D14" i="10" s="1"/>
  <c r="G73" i="22"/>
  <c r="AZ55" i="7" s="1"/>
  <c r="AB13" i="22"/>
  <c r="BC9" i="7" s="1"/>
  <c r="N51" i="22"/>
  <c r="BA39" i="7" s="1"/>
  <c r="N36" i="22"/>
  <c r="BA25" i="7" s="1"/>
  <c r="N146" i="22"/>
  <c r="BA105" i="7" s="1"/>
  <c r="G29" i="22"/>
  <c r="D12" i="9" s="1"/>
  <c r="AB80" i="22"/>
  <c r="BC57" i="7" s="1"/>
  <c r="N102" i="22"/>
  <c r="BA73" i="7" s="1"/>
  <c r="N79" i="4"/>
  <c r="H9" i="10" s="1"/>
  <c r="N72" i="4"/>
  <c r="D9" i="10" s="1"/>
  <c r="G95" i="22"/>
  <c r="D15" i="9" s="1"/>
  <c r="AB50" i="4"/>
  <c r="D8" i="12" s="1"/>
  <c r="N57" i="4"/>
  <c r="BA41" i="5" s="1"/>
  <c r="AB35" i="4"/>
  <c r="H7" i="12" s="1"/>
  <c r="F8" i="12"/>
  <c r="BC40" i="5"/>
  <c r="AB28" i="4"/>
  <c r="G35" i="4"/>
  <c r="N50" i="4"/>
  <c r="G28" i="4"/>
  <c r="BC24" i="5"/>
  <c r="F7" i="12"/>
  <c r="AZ24" i="5"/>
  <c r="F7" i="9"/>
  <c r="AB57" i="4"/>
  <c r="F8" i="10"/>
  <c r="BA40" i="5"/>
  <c r="F16" i="10"/>
  <c r="BA88" i="7"/>
  <c r="F16" i="12"/>
  <c r="BC88" i="7"/>
  <c r="BA56" i="7"/>
  <c r="F14" i="10"/>
  <c r="BC8" i="7"/>
  <c r="F11" i="12"/>
  <c r="F13" i="10"/>
  <c r="BA40" i="7"/>
  <c r="BA24" i="7"/>
  <c r="F12" i="10"/>
  <c r="N139" i="22"/>
  <c r="AZ24" i="7"/>
  <c r="F12" i="9"/>
  <c r="BC56" i="7"/>
  <c r="F14" i="12"/>
  <c r="G117" i="22"/>
  <c r="F11" i="10"/>
  <c r="BA8" i="7"/>
  <c r="G6" i="4"/>
  <c r="N124" i="22"/>
  <c r="AZ56" i="7"/>
  <c r="F14" i="9"/>
  <c r="G80" i="22"/>
  <c r="AB139" i="22"/>
  <c r="AB124" i="22"/>
  <c r="F12" i="12"/>
  <c r="BC24" i="7"/>
  <c r="BC72" i="7"/>
  <c r="F15" i="12"/>
  <c r="AB73" i="22"/>
  <c r="G102" i="22"/>
  <c r="BC104" i="7"/>
  <c r="F17" i="12"/>
  <c r="AB95" i="22"/>
  <c r="U35" i="4"/>
  <c r="H7" i="11" s="1"/>
  <c r="U72" i="4"/>
  <c r="D9" i="11" s="1"/>
  <c r="U36" i="22"/>
  <c r="BB25" i="7" s="1"/>
  <c r="F16" i="9"/>
  <c r="AZ88" i="7"/>
  <c r="AZ8" i="5"/>
  <c r="F5" i="9"/>
  <c r="N117" i="22"/>
  <c r="AB117" i="22"/>
  <c r="BA41" i="7"/>
  <c r="H13" i="10"/>
  <c r="AB36" i="22"/>
  <c r="N29" i="22"/>
  <c r="BA104" i="7"/>
  <c r="F17" i="10"/>
  <c r="AB102" i="22"/>
  <c r="G36" i="22"/>
  <c r="F15" i="10"/>
  <c r="BA72" i="7"/>
  <c r="BA56" i="5"/>
  <c r="F9" i="10"/>
  <c r="F15" i="9"/>
  <c r="AZ72" i="7"/>
  <c r="BB40" i="7"/>
  <c r="F13" i="11"/>
  <c r="U51" i="22"/>
  <c r="F12" i="11"/>
  <c r="BB24" i="7"/>
  <c r="U29" i="22"/>
  <c r="F9" i="11"/>
  <c r="BB56" i="5"/>
  <c r="F16" i="11"/>
  <c r="BB88" i="7"/>
  <c r="F7" i="11"/>
  <c r="BB24" i="5"/>
  <c r="U13" i="22"/>
  <c r="U124" i="22"/>
  <c r="U28" i="4"/>
  <c r="BB8" i="7"/>
  <c r="F11" i="11"/>
  <c r="AZ7" i="7"/>
  <c r="D11" i="9"/>
  <c r="H9" i="12"/>
  <c r="BC57" i="5"/>
  <c r="D13" i="9"/>
  <c r="AZ39" i="7"/>
  <c r="AZ57" i="5" l="1"/>
  <c r="BB57" i="7"/>
  <c r="BC39" i="7"/>
  <c r="H17" i="12"/>
  <c r="D9" i="12"/>
  <c r="AZ103" i="7"/>
  <c r="H8" i="11"/>
  <c r="BA23" i="5"/>
  <c r="H17" i="11"/>
  <c r="D12" i="12"/>
  <c r="H5" i="10"/>
  <c r="AZ41" i="7"/>
  <c r="AZ9" i="7"/>
  <c r="BC39" i="5"/>
  <c r="BB73" i="7"/>
  <c r="D17" i="11"/>
  <c r="D8" i="11"/>
  <c r="BA71" i="7"/>
  <c r="H8" i="9"/>
  <c r="BA55" i="7"/>
  <c r="D5" i="12"/>
  <c r="D13" i="10"/>
  <c r="AZ71" i="7"/>
  <c r="BC25" i="5"/>
  <c r="BB7" i="7"/>
  <c r="H13" i="11"/>
  <c r="H14" i="12"/>
  <c r="H11" i="10"/>
  <c r="H12" i="10"/>
  <c r="AZ39" i="5"/>
  <c r="H5" i="12"/>
  <c r="D11" i="10"/>
  <c r="H14" i="10"/>
  <c r="D14" i="9"/>
  <c r="D11" i="12"/>
  <c r="BA55" i="5"/>
  <c r="H17" i="10"/>
  <c r="D16" i="11"/>
  <c r="H5" i="9"/>
  <c r="AZ23" i="7"/>
  <c r="H11" i="12"/>
  <c r="H8" i="10"/>
  <c r="H12" i="11"/>
  <c r="H16" i="9"/>
  <c r="BA57" i="5"/>
  <c r="H9" i="11"/>
  <c r="H15" i="10"/>
  <c r="BB55" i="5"/>
  <c r="D7" i="9"/>
  <c r="AZ23" i="5"/>
  <c r="AZ25" i="5"/>
  <c r="H7" i="9"/>
  <c r="D8" i="10"/>
  <c r="BA39" i="5"/>
  <c r="H8" i="12"/>
  <c r="BC41" i="5"/>
  <c r="D7" i="12"/>
  <c r="BC23" i="5"/>
  <c r="BB25" i="5"/>
  <c r="D17" i="12"/>
  <c r="BC103" i="7"/>
  <c r="H16" i="10"/>
  <c r="BA89" i="7"/>
  <c r="D16" i="9"/>
  <c r="AZ87" i="7"/>
  <c r="H12" i="9"/>
  <c r="AZ25" i="7"/>
  <c r="D12" i="10"/>
  <c r="BA23" i="7"/>
  <c r="BC87" i="7"/>
  <c r="D16" i="12"/>
  <c r="AZ73" i="7"/>
  <c r="H15" i="9"/>
  <c r="H14" i="9"/>
  <c r="AZ57" i="7"/>
  <c r="AZ7" i="5"/>
  <c r="D5" i="9"/>
  <c r="D17" i="10"/>
  <c r="BA103" i="7"/>
  <c r="H16" i="12"/>
  <c r="BC89" i="7"/>
  <c r="BA87" i="7"/>
  <c r="D16" i="10"/>
  <c r="BC71" i="7"/>
  <c r="D15" i="12"/>
  <c r="BC73" i="7"/>
  <c r="H15" i="12"/>
  <c r="BC25" i="7"/>
  <c r="H12" i="12"/>
  <c r="D14" i="12"/>
  <c r="BC55" i="7"/>
  <c r="BB23" i="7"/>
  <c r="D12" i="11"/>
  <c r="BB39" i="7"/>
  <c r="D13" i="11"/>
  <c r="BB89" i="7"/>
  <c r="H16" i="11"/>
  <c r="BB23" i="5"/>
  <c r="D7" i="11"/>
  <c r="BB9" i="7"/>
  <c r="H11" i="11"/>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<sst xmlns="http://schemas.openxmlformats.org/spreadsheetml/2006/main" count="3445" uniqueCount="855">
  <si>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</si>
  <si>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</si>
  <si>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</si>
  <si>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</si>
  <si>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</si>
  <si>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</si>
  <si>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</si>
  <si>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</si>
  <si>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</si>
  <si>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</si>
  <si>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</si>
  <si>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</si>
  <si>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</si>
  <si>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</si>
  <si>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</si>
  <si>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</si>
  <si>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</si>
  <si>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</si>
  <si>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</si>
  <si>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</si>
  <si>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</si>
  <si>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</si>
  <si>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</si>
  <si>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</si>
  <si>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</si>
  <si>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</si>
  <si>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</si>
  <si>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</si>
  <si>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</si>
  <si>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</si>
  <si>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</si>
  <si>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</si>
  <si>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</si>
  <si>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</si>
  <si>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</si>
  <si>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</si>
  <si>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</si>
  <si>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</si>
  <si>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</si>
  <si>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</si>
  <si>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</si>
  <si>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</si>
  <si>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</si>
  <si>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</si>
  <si>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</si>
  <si>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</si>
  <si>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</si>
  <si>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</si>
  <si>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</si>
  <si>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</si>
  <si>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</si>
  <si>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</si>
  <si>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</si>
  <si>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</si>
  <si>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</si>
  <si>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</si>
  <si>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</si>
  <si>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</si>
  <si>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</si>
  <si>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</si>
  <si>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</si>
  <si>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</si>
  <si>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</si>
  <si>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</si>
  <si>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</si>
  <si>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</si>
  <si>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</si>
  <si>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</si>
  <si>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</si>
  <si>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</si>
  <si>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</si>
  <si>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</si>
  <si>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</si>
  <si>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</si>
  <si>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</si>
  <si>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</si>
  <si>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</si>
  <si>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</si>
  <si>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</si>
  <si>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</si>
  <si>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</si>
  <si>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</si>
  <si>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</si>
  <si>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</si>
  <si>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</si>
  <si>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</si>
  <si>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</si>
  <si>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</si>
  <si>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</si>
  <si>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</si>
  <si>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</si>
  <si>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</si>
  <si>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</si>
  <si>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Neil Brown</t>
  </si>
  <si>
    <t>Simon Morgan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</si>
  <si>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</si>
  <si>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</si>
  <si>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</si>
  <si>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</si>
  <si>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</si>
  <si>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</si>
  <si>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</si>
  <si>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</si>
  <si>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</si>
  <si>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</si>
  <si>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</si>
  <si>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</si>
  <si>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</si>
  <si>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</si>
  <si>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</si>
  <si>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</si>
  <si>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</si>
  <si>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</si>
  <si>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</si>
  <si>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</si>
  <si>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</si>
  <si>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</si>
  <si>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</si>
  <si>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</si>
  <si>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</si>
  <si>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</si>
  <si>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</si>
  <si>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</si>
  <si>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</si>
  <si>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</si>
  <si>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</si>
  <si>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</si>
  <si>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</si>
  <si>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</si>
  <si>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</si>
  <si>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</si>
  <si>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</si>
  <si>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</si>
  <si>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</si>
  <si>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</si>
  <si>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</si>
  <si>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</si>
  <si>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</si>
  <si>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</si>
  <si>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</si>
  <si>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</si>
  <si>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</si>
  <si>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</si>
  <si>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</si>
  <si>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</si>
  <si>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</si>
  <si>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</si>
  <si>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</si>
  <si>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</si>
  <si>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</si>
  <si>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</si>
  <si>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</si>
  <si>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</si>
  <si>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</si>
  <si>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</si>
  <si>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</si>
  <si>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</si>
  <si>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</si>
  <si>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</si>
  <si>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</si>
  <si>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</si>
  <si>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</si>
  <si>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</si>
  <si>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</si>
  <si>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</si>
  <si>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</si>
  <si>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</si>
  <si>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</si>
  <si>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</si>
  <si>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</si>
  <si>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</si>
  <si>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</si>
  <si>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</si>
  <si>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</si>
  <si>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</si>
  <si>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</si>
  <si>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</si>
  <si>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</si>
  <si>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</si>
  <si>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</si>
  <si>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</si>
  <si>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</si>
  <si>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</si>
  <si>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</si>
  <si>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</si>
  <si>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</si>
  <si>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</si>
  <si>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</si>
  <si>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</si>
  <si>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</si>
  <si>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</si>
  <si>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</si>
  <si>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</si>
  <si>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</si>
  <si>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</si>
  <si>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</si>
  <si>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</si>
  <si>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</si>
  <si>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</si>
  <si>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</si>
  <si>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</si>
  <si>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</si>
  <si>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</si>
  <si>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</si>
  <si>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</si>
  <si>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</si>
  <si>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</si>
  <si>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</si>
  <si>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</si>
  <si>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</si>
  <si>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</si>
  <si>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</si>
  <si>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</si>
  <si>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</si>
  <si>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</si>
  <si>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</si>
  <si>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</si>
  <si>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</si>
  <si>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</si>
  <si>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</si>
  <si>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</si>
  <si>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</si>
  <si>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</si>
  <si>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</si>
  <si>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</si>
  <si>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</si>
  <si>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</si>
  <si>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</si>
  <si>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</si>
  <si>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</si>
  <si>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</si>
  <si>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</si>
  <si>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</si>
  <si>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</si>
  <si>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</si>
  <si>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</si>
  <si>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</si>
  <si>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</si>
  <si>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</si>
  <si>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</si>
  <si>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</si>
  <si>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</si>
  <si>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</si>
  <si>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</si>
  <si>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</si>
  <si>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</si>
  <si>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</si>
  <si>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</si>
  <si>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</si>
  <si>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</si>
  <si>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</si>
  <si>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</si>
  <si>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</si>
  <si>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</si>
  <si>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</si>
  <si>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</si>
  <si>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</si>
  <si>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</si>
  <si>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</si>
  <si>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</si>
  <si>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</si>
  <si>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</si>
  <si>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</si>
  <si>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</si>
  <si>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</si>
  <si>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</si>
  <si>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</si>
  <si>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</si>
  <si>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</si>
  <si>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</si>
  <si>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</si>
  <si>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</si>
  <si>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</si>
  <si>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</si>
  <si>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</si>
  <si>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</si>
  <si>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</si>
  <si>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</si>
  <si>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</si>
  <si>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</si>
  <si>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</si>
  <si>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</si>
  <si>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</si>
  <si>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</si>
  <si>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</si>
  <si>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</si>
  <si>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</si>
  <si>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</si>
  <si>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</si>
  <si>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</si>
  <si>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</si>
  <si>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</si>
  <si>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</si>
  <si>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</si>
  <si>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</si>
  <si>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</si>
  <si>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</si>
  <si>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</si>
  <si>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</si>
  <si>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</si>
  <si>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</si>
  <si>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</si>
  <si>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</si>
  <si>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</si>
  <si>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</si>
  <si>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</si>
  <si>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</si>
  <si>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</si>
  <si>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</si>
  <si>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</si>
  <si>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</si>
  <si>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</si>
  <si>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</si>
  <si>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</si>
  <si>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</si>
  <si>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</si>
  <si>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</si>
  <si>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</si>
  <si>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</si>
  <si>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</si>
  <si>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</si>
  <si>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</si>
  <si>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</si>
  <si>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</si>
  <si>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</si>
  <si>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</si>
  <si>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</si>
  <si>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</si>
  <si>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</si>
  <si>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</si>
  <si>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</si>
  <si>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</si>
  <si>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</si>
  <si>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</si>
  <si>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</si>
  <si>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</si>
  <si>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</si>
  <si>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</si>
  <si>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</si>
  <si>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</si>
  <si>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</si>
  <si>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</si>
  <si>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</si>
  <si>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</si>
  <si>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</si>
  <si>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</si>
  <si>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</si>
  <si>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</si>
  <si>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</si>
  <si>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</si>
  <si>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</si>
  <si>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</si>
  <si>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</si>
  <si>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</si>
  <si>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</si>
  <si>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</si>
  <si>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</si>
  <si>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</si>
  <si>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</si>
  <si>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</si>
  <si>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</si>
  <si>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</si>
  <si>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</si>
  <si>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</si>
  <si>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</si>
  <si>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</si>
  <si>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</si>
  <si>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</si>
  <si>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</si>
  <si>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</si>
  <si>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</si>
  <si>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</si>
  <si>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</si>
  <si>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</si>
  <si>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</si>
  <si>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</si>
  <si>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</si>
  <si>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</si>
  <si>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</si>
  <si>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</si>
  <si>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</si>
  <si>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</si>
  <si>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</si>
  <si>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</si>
  <si>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</si>
  <si>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</si>
  <si>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</si>
  <si>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</si>
  <si>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</si>
  <si>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</si>
  <si>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</si>
  <si>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</si>
  <si>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</si>
  <si>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</si>
  <si>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</si>
  <si>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</si>
  <si>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</si>
  <si>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</si>
  <si>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</si>
  <si>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</si>
  <si>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</si>
  <si>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</si>
  <si>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</si>
  <si>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</si>
  <si>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</si>
  <si>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</si>
  <si>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</si>
  <si>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</si>
  <si>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</si>
  <si>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</si>
  <si>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</si>
  <si>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</si>
  <si>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</si>
  <si>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</si>
  <si>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</si>
  <si>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</si>
  <si>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</si>
  <si>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</si>
  <si>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</si>
  <si>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</si>
  <si>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</si>
  <si>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</si>
  <si>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</si>
  <si>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</si>
  <si>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</si>
  <si>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</si>
  <si>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</si>
  <si>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</si>
  <si>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</si>
  <si>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</si>
  <si>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</si>
  <si>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</si>
  <si>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</si>
  <si>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</si>
  <si>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</si>
  <si>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</si>
  <si>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</si>
  <si>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</si>
  <si>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</si>
  <si>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</si>
  <si>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</si>
  <si>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</si>
  <si>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</si>
  <si>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</si>
  <si>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</si>
  <si>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</si>
  <si>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</si>
  <si>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</si>
  <si>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</si>
  <si>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</si>
  <si>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</si>
  <si>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</si>
  <si>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</si>
  <si>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</si>
  <si>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</si>
  <si>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</si>
  <si>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</si>
  <si>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</si>
  <si>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</si>
  <si>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</si>
  <si>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</si>
  <si>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</si>
  <si>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</si>
  <si>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</si>
  <si>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</si>
  <si>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</si>
  <si>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</si>
  <si>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</si>
  <si>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</si>
  <si>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</si>
  <si>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</si>
  <si>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</si>
  <si>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</si>
  <si>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</si>
  <si>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</si>
  <si>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</si>
  <si>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</si>
  <si>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</si>
  <si>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</si>
  <si>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</si>
  <si>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</si>
  <si>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</si>
  <si>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</si>
  <si>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</si>
  <si>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</si>
  <si>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</si>
  <si>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</si>
  <si>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</si>
  <si>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</si>
  <si>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</si>
  <si>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</si>
  <si>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</si>
  <si>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</si>
  <si>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</si>
  <si>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</si>
  <si>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</si>
  <si>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</si>
  <si>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</si>
  <si>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</si>
  <si>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</si>
  <si>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</si>
  <si>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</si>
  <si>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</si>
  <si>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</si>
  <si>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</si>
  <si>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</si>
  <si>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</si>
  <si>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</si>
  <si>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</si>
  <si>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</si>
  <si>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</si>
  <si>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</si>
  <si>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</si>
  <si>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</si>
  <si>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</si>
  <si>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</si>
  <si>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</si>
  <si>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</si>
  <si>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</si>
  <si>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</si>
  <si>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</si>
  <si>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</si>
  <si>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</si>
  <si>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</si>
  <si>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</si>
  <si>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</si>
  <si>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</si>
  <si>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</si>
  <si>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</si>
  <si>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</si>
  <si>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</si>
  <si>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</si>
  <si>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</si>
  <si>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</si>
  <si>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</si>
  <si>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</si>
  <si>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</si>
  <si>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</si>
  <si>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</si>
  <si>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</si>
  <si>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</si>
  <si>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</si>
  <si>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</si>
  <si>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</si>
  <si>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</si>
  <si>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</si>
  <si>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</si>
  <si>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</si>
  <si>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</si>
  <si>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</si>
  <si>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</si>
  <si>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</si>
  <si>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</si>
  <si>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</si>
  <si>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</si>
  <si>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</si>
  <si>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</si>
  <si>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</si>
  <si>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</si>
  <si>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</si>
  <si>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</si>
  <si>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</si>
  <si>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</si>
  <si>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</si>
  <si>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</si>
  <si>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</si>
  <si>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</si>
  <si>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</si>
  <si>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</si>
  <si>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</si>
  <si>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</si>
  <si>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</si>
  <si>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</si>
  <si>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</si>
  <si>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</si>
  <si>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</si>
  <si>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</si>
  <si>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</si>
  <si>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</si>
  <si>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</si>
  <si>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</si>
  <si>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</si>
  <si>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</si>
  <si>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</si>
  <si>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</si>
  <si>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</si>
  <si>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</si>
  <si>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</si>
  <si>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</si>
  <si>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</si>
  <si>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</si>
  <si>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</si>
  <si>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</si>
  <si>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</si>
  <si>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</si>
  <si>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</si>
  <si>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</si>
  <si>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</si>
  <si>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</si>
  <si>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</si>
  <si>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</si>
  <si>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</si>
  <si>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</si>
  <si>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</si>
  <si>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</si>
  <si>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</si>
  <si>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</si>
  <si>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</si>
  <si>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</si>
  <si>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</si>
  <si>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</si>
  <si>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</si>
  <si>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</si>
  <si>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</si>
  <si>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</si>
  <si>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</si>
  <si>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</si>
  <si>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</si>
  <si>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</si>
  <si>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</si>
  <si>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</si>
  <si>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</si>
  <si>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</si>
  <si>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</si>
  <si>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</si>
  <si>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</si>
  <si>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</si>
  <si>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</si>
  <si>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</si>
  <si>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</si>
  <si>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6.54 days</t>
  </si>
  <si>
    <t>6.33 days</t>
  </si>
  <si>
    <t xml:space="preserve">Universal Credit Full Service is due to be introduced in East Staffordshire on 21/11/2018. As it takes the DWP 30 days to assess UC entitlement this will affect our New Claims processing from Q3 onwards. </t>
  </si>
  <si>
    <t>Stakeholder meeting took place 21/09/2018.</t>
  </si>
  <si>
    <t>Stakeholder meetings are being arranged monthly from October 2018. Members Briefing has been arranged for 14/11/2018.</t>
  </si>
  <si>
    <t>Completed - EDR signed September 2018</t>
  </si>
  <si>
    <t>Study completed and report issued to Deputy Leader September 2018</t>
  </si>
  <si>
    <t>Decision not to go ahead with automation currrently due to software not fully tested or in use in any Capita site. This will be reviewed within the next 6 months (by the end of March 2019)</t>
  </si>
  <si>
    <t>Plans approved August 2018</t>
  </si>
  <si>
    <t>Alterations commenced 28/09/2018 and are due to be finished mid-October.</t>
  </si>
  <si>
    <t>CT: 57.60%                                                                          NNDR: 60.19%</t>
  </si>
  <si>
    <t>CT: 98%                                                                          NNDR: 99%</t>
  </si>
  <si>
    <t>At the end of Q2, both Council Tax and Non Domestic Rates collections are exceeding original estimates: Ctax by 0.60% and Non Domestic Rates by 0.19%.</t>
  </si>
  <si>
    <t>Louise Kemplay</t>
  </si>
  <si>
    <t>103%                                                                                                    88%</t>
  </si>
  <si>
    <t>80%                                                                                                    85%</t>
  </si>
  <si>
    <t>£2,000,471.22                                                              £980,850.62                                                                    £71,341.76</t>
  </si>
  <si>
    <t>£1,900,000                                                              £500,000                                                                    £40,000</t>
  </si>
  <si>
    <t>In this quarter we 1. supported the Brewhouse autumn campaign with an event at Coopers Square Shopping Centre, 2. attended the National Playday event and 3. joined with partners to promote National Know Your Number campaign by offering free blood pressure testing.</t>
  </si>
  <si>
    <t>1st August we hosted that National Playday event at Shobnall Leisure Complex with a range of partners. 26th September, we held an event in conjunction with Burton Albion Community Trust and Coopers Square Shopping Centre to support National Fitness Day.</t>
  </si>
  <si>
    <t>Leisure Management outsourcing proposals are now expected to go before full Council in Q3.</t>
  </si>
  <si>
    <t>April - July 1%</t>
  </si>
  <si>
    <t>April - July 0%</t>
  </si>
  <si>
    <t>The Member Workshop was delivered in July.</t>
  </si>
  <si>
    <t>A further job fair took place on 5th September in Burton.</t>
  </si>
  <si>
    <t xml:space="preserve">4 new projects and 2 existing projects have now been taken to completion. </t>
  </si>
  <si>
    <t>159 Applications 156 within time = 98%</t>
  </si>
  <si>
    <t>275 Applications 272 within time = 99%</t>
  </si>
  <si>
    <t>45% - Estimated</t>
  </si>
  <si>
    <t>118kg - Estimated</t>
  </si>
  <si>
    <t>49.48% - estimated</t>
  </si>
  <si>
    <t>234kg - estimated</t>
  </si>
  <si>
    <t>470kg - estimated</t>
  </si>
  <si>
    <t>Surveys continue to be sent to customers to establish a baseline level.</t>
  </si>
  <si>
    <t>Internal audit completed which will feed into review. Report due to November cabinet.</t>
  </si>
  <si>
    <t>2.9 per 10,000
Equates to 281 missed bins in the second quarter from approximately 968,000 collections.</t>
  </si>
  <si>
    <t xml:space="preserve">Missed bins remains off target due to unfamiliarity with the collection rounds following the round changes across the Borough in March. However, Quarter 2 results indicate a significant improvement compared to quarter 1 and work will continue to improve this further. </t>
  </si>
  <si>
    <t>Gambling Act Policy is under current Consultation which closes on the 18th October 2018.</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</si>
  <si>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</si>
  <si>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</si>
  <si>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</si>
  <si>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Draft review report to be presented to CMT in October</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</si>
  <si>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</si>
  <si>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</si>
  <si>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</si>
  <si>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</si>
  <si>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</si>
  <si>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</si>
  <si>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</si>
  <si>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Charging policy fully operational</t>
  </si>
  <si>
    <t>Public Heath Funeral Policy approved via EDR in September 2018</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</si>
  <si>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</si>
  <si>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</si>
  <si>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</si>
  <si>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</si>
  <si>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</si>
  <si>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</si>
  <si>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</si>
  <si>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Review commenced April 2018 for completion in Summer 2018. Report postponed to enable additional information to be gathered and assessed. Now due in November.</t>
  </si>
  <si>
    <t>Through a data sharing agreement with DWP we now have access to employer information from HMRC. We can now issue Direct Earnings Attachments to employers which will increase our HBOP collection during 2018/19.</t>
  </si>
  <si>
    <t>3 jobs fairs have been delivered this financial year.</t>
  </si>
  <si>
    <t>The sale of the land has been agreed subject to formal approval at Council.</t>
  </si>
  <si>
    <t>Work commenced updating budget for key changes since budget was set in February 2018.  Budget guidelines established and key dates agreed.</t>
  </si>
  <si>
    <t>Officers have been keeping abreast of developments in relation to the new funding arrangements, including proposals for a simplified business rates retention system.  A consulation in relation to the fair funding review is anticpated in the next quarter, with consultation on business rates retention expected later this year or early next year.</t>
  </si>
  <si>
    <t>The accounts were approved by the Audit (Approval of Statement of Accounts) Committee on 25th July and subsequently published including an unqualified opinion issued by the Council's external auditors.</t>
  </si>
  <si>
    <t>A briefing on universal credit has been arranged for November.</t>
  </si>
  <si>
    <t>Members to be briefed in October 2018</t>
  </si>
  <si>
    <t>Responses are currently being analysed.</t>
  </si>
  <si>
    <t xml:space="preserve">The budget consultation opened on 7th September in line with the target.  </t>
  </si>
  <si>
    <t xml:space="preserve">Report was presented to CMT in September and is scheduled for presentation to LDL in October. </t>
  </si>
  <si>
    <t>In-house DFG service fully operational</t>
  </si>
  <si>
    <t>1 Market initiative completed at Tutbury Market on Sunday 16th September 2018</t>
  </si>
  <si>
    <t>Payment kiosk completed September 2018</t>
  </si>
  <si>
    <t>Implementation date was put back as agreed with the supplier for this added value service, allowing additional time for the necessary background software to be fully installed and integrated with the Merchant Banking Service provider and reporting functions to be calibrated.</t>
  </si>
  <si>
    <t>The final evaluation has now been completed and the project team's recommendations will go to full Council Meeting on the 7th November.</t>
  </si>
  <si>
    <t xml:space="preserve">3 new projects </t>
  </si>
  <si>
    <t>This report will be presented to CMT in November</t>
  </si>
  <si>
    <t>Work on this report is underway</t>
  </si>
  <si>
    <t>This report has been to CMT and will be signed off by EDR in November</t>
  </si>
  <si>
    <t>This report has been to CMT and will be signed off by Council in December</t>
  </si>
  <si>
    <t>Condition report was obtained on 21st September 2018.</t>
  </si>
  <si>
    <t>One briefing has been delivered. The second briefing is in the diary for January.</t>
  </si>
  <si>
    <t>Report presented to August CMT and signed off by EDR.</t>
  </si>
  <si>
    <t>3.9 per 10,000</t>
  </si>
  <si>
    <t>100%
1292 requests completed in 5 working days</t>
  </si>
  <si>
    <t>Legislation changed on 1st October 2018.
Report completed and scheduled to be presented to CMT in October and Licensing Committee in November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</si>
  <si>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</si>
  <si>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</si>
  <si>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</si>
  <si>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</si>
  <si>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Relevant audit of security arrangements scheduled for November 2018</t>
  </si>
  <si>
    <t>Review completed in July in line with the target, ahead of it being presented to CMT in August.</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</si>
  <si>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</si>
  <si>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</si>
  <si>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</si>
  <si>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</si>
  <si>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</si>
  <si>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</si>
  <si>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</si>
  <si>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</si>
  <si>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Permission to apply granted by Arts Council England. </t>
  </si>
  <si>
    <t xml:space="preserve">Draft application currently being developed and quotes for all capital works obtained. </t>
  </si>
  <si>
    <t>There is one outstanding Debtors invoice of £45,557.13 that is now over 90 days old which HR and Legal teams are dealing with.</t>
  </si>
  <si>
    <t xml:space="preserve">A selection of 'Able Too' logos have been designed, consulted with the Able Too Forum and participants at this year's Able Too Games. </t>
  </si>
  <si>
    <t xml:space="preserve">The monitoring of the project delivery by the established Contracts Management team will commence with the mobilisation phase of the contract in November 2018.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</si>
  <si>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</si>
  <si>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</si>
  <si>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</si>
  <si>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</si>
  <si>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The Quarter 2 forecast indicates that the Council is on track to underspend for the full financial year.</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</si>
  <si>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</si>
  <si>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</si>
  <si>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 xml:space="preserve">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The recruitment process commenced in November 2018 following this approval, with the appointment expected in early December. This resource will form an integral part of the mobilisation phase of the project, as well as the ongoing contract management post ‘go-live’. </t>
  </si>
  <si>
    <t>Consultation ended on the 31st October 2018. A report will be taken to Council in March 2019.</t>
  </si>
  <si>
    <t>Digital Strategy adopted by Cabinet in October 2019.</t>
  </si>
  <si>
    <t xml:space="preserve">Delegated decision EDR signed. </t>
  </si>
  <si>
    <t xml:space="preserve">The draft National Planning Policy Framework (NPPF) was published for consultation in March which implements around 80 reforms from the housing White Paper and associated consultations in 2017. ESBC sent a response to this in May. The revised NPPF was published in July 2018. 
Alongside the draft NPPF, there was a consultation on the reform of developer contributions to which a response was submitted. 
The regulations which require local planning authorities to review their local plans and statements of community involvement every five years came into force on 6th April. 
The permission in principle regulations which enable applications for permission in principle to be made for minor housing-led development came into force on 1 June 2018. 
Measures to streamline the decision-taking process for compulsory purchase orders (CPOs) came into force on 6 April 2018.
The consultation on powers for dealing with unauthorised development and encampments was published on 5 April.
Legislation came into force on 6 April 2018 to amend national permitted development rights. 
In October a further consultation on housing methodology was announced, setting out that the methodology should use the higher 2014 base population projections rather than the 2016 projections. ESBC provided a response in December 2018. 
The updated planning practice guidance on viability was published alongside the revised Framework in July and in September and guidance on Build to rent, Plan-making, Housing need assessment and Neighbourhood planning was updated. 
The first Housing Delivery Test (HDT) measurement was due to be published in November. As at early December 2018 no details of this have been announced but it is expected that as a result, ESBC can remain a 5% authority in terms of the five year land supply. 
The Planning Appeal Inquires Review took place during the summer and examined the planning appeal inquiry process from end to end and will make recommendations to reduce the time taken to conclude planning inquiries, while maintaining the quality of decisions. The Review report is expected by the end of 2018.
On 19 July 2018 the Government launched a consultation to seek views on the principle of whether non-hydraulic fracturing shale exploration development should be granted planning permission through a permitted development right, and in particular the circumstances in which it would be appropriate. ESBC have not received any such applications to date. 
From 1 October 2018 it is no longer acceptable to grant planning permission subject to a pre-commencement condition without the written agreement of the applicant. 
Following publication of the new viability guidance in July, MHCLG is developing open data tools to support increased transparency for developer contributions and viability assessments. MHCLG tested these tools with local authorities in the autumn.
During October MHCLG launched a consultation setting out proposals for permitted development rights to support the high street including allowing greater flexibility for change of use, extending buildings upwards to create new homes and removing the permitted development right for telephone kiosks and associated advertising consent. In addition, there are proposals to increase the height limit for electric vehicle charging points in off street parking spaces to accommodate rapid charging points and make permanent two time-limited rights to change use from storage or distribution to residential use and for larger home extensions. Views are also invited on the feasibility of a permitted development right for the redevelopment of a commercial site to create new homes.
The consultation also proposes to extend local authorities’ freedoms to dispose of surplus land at less than best consideration without the Secretary of State’s consent, and invites comments on a draft listed building consent order to allow routine works to the Canal &amp; River Trust’s structures without the need for individual applications. 
Alongside the budget, MHCLG published the Government’s response to the consultation on reforms to developer contributions. 
The reforms to developer contributions build on changes to viability assessments earlier in the year through the NPPF and accompanying guidance. They ensure that developers know what contributions they are expected to make, that local communities are clear about the infrastructure and affordable housing they will get, and that local authorities can hold them to account. The reforms include: introducing a new tariff for combined authorities, removing restrictions on how planning obligations can be used, measures to make Community Infrastructure Levy (CIL) rates more responsive to changes in the value of development, increasing transparency, and increasing certainty for developers on the contributions that they are required to make, by clarifying regulations. 
The report of the Independent Review of Build Out Rates was published alongside the Budget, finding no evidence of speculative land banking, with recommendations on new planning rules that require developers to offer a variety of property types on sites. The government will respond to the review in full in February 2019.
A final consultation was published in October, setting out the proposals to alter the standard method for assessing local housing need (set out above), housing land supply, the definition of deliverable and appropriate assessment. 
The Government consulted on whether developers should be required to conduct pre-application community consultation prior to submitting a planning application for shale gas development.
In October the government published three EU Exit statutory instruments which amend planning legislation in preparation for when the UK leaves the EU in March 2019. These relate to implementation of the EIA Directive, SEA Directive, and the land-use planning aspects of the Seveso III Directive (dangerous substances). 
</t>
  </si>
  <si>
    <t>Report to be taken to CMT in Feb.</t>
  </si>
  <si>
    <t>The Strategy is currently being finalised. Once completed the findings will be considered in line with this target.</t>
  </si>
  <si>
    <t>Star Chambers and Briefing to Conservative Away Day took place during this period.</t>
  </si>
  <si>
    <t>Government issued two new consultations in mid December, which are currently being reviewed by Officers.</t>
  </si>
  <si>
    <t>Analysis and reporting took place this quarter.</t>
  </si>
  <si>
    <t>On the 7th November Full Council approved the decision to award the Leisure Contract to Sport and Leisure Management. The Contract is due to commence 1st February.</t>
  </si>
  <si>
    <t>As per previous update.</t>
  </si>
  <si>
    <t>Off target</t>
  </si>
  <si>
    <t>Three job fairs have been delievered to date, a further job fair is arranged for January.</t>
  </si>
  <si>
    <t>The sale of land at Lynwood Road was approved by Full Council.</t>
  </si>
  <si>
    <t>Work with partners is ongoing and plans are in motion to involve new, commercial partners in emerging tourism activities. More information on this will be available in Quarter 4.</t>
  </si>
  <si>
    <t>The Count took place on night of 14th into the morning of 15th November 2018. Eleven rough sleepers were found, the result has been verified by Homeless Link but is awaiting adoptions by MHCLG.</t>
  </si>
  <si>
    <t xml:space="preserve">The revised Allocations Policy was adopted by the Council at a Cabinet meeting on 12 November 2018.  </t>
  </si>
  <si>
    <t>The Homelessness Stratgey 2018 - 2023 was adopted by the Council at a Cabinet meeting on 17 September 2018.</t>
  </si>
  <si>
    <t>To date 83% of 2018/19 project milestones have been achieved.</t>
  </si>
  <si>
    <t>End of year forecast 83% of 2018/19 project milestones will be achieved.</t>
  </si>
  <si>
    <t>Target costs and detailed design and contract documents were completed in December 2018.
Overall 83% of 2018/19 project milestones have been achieved.</t>
  </si>
  <si>
    <t>The policy for HMOs has been amended to include for a change in legislation removing the exemptions for HMOs that are less that two storeys. These changes have been publicised to make landlords aware which has led to an increased amount of HMOs that require a licence.</t>
  </si>
  <si>
    <t>Report approved by Cabinet in November 2018.</t>
  </si>
  <si>
    <t>Report to be submitted to January 2019 Cabinet.</t>
  </si>
  <si>
    <t>All customers are sent a satisfaction survey on completion which will help estbalish the basline level.</t>
  </si>
  <si>
    <t>Review of public toilet provision completed November 2018. It was agreed to retain the current level of provision across the Borough.</t>
  </si>
  <si>
    <t>First update report of the Deputy Leader included in the Members briefing in December 2018. Second report due March 2019.</t>
  </si>
  <si>
    <t>Communications Plan completed and approved by Executive Decision Record in December 2018.</t>
  </si>
  <si>
    <t>0% surveys Aug - Nov 18</t>
  </si>
  <si>
    <t>2.28 per 10,000
Equates to 221 missed bins in the third quarter from a total of 968,000 collections</t>
  </si>
  <si>
    <t>3.36 per 10,000</t>
  </si>
  <si>
    <t xml:space="preserve">Missed bins remains off target due to unfamiliarity with the collection rounds following the round changes across the Borough in March. However, performance in quarter 3 continues to improve from both Q1 and Q2. </t>
  </si>
  <si>
    <t>Completed.</t>
  </si>
  <si>
    <t>In this quarter we joined with the East Staffordshire Diabetes group to raise awareness of Diabetes to local residents via a promotioned stand in Station Street as part of our ongoing health promotions work toward national Diabetes Day.</t>
  </si>
  <si>
    <t>100% 
880 requests achieved within 5 working days</t>
  </si>
  <si>
    <t>42.05% estimated</t>
  </si>
  <si>
    <t>118.39kg - estimated</t>
  </si>
  <si>
    <t>355.50kg - estimated</t>
  </si>
  <si>
    <t>47.31% - estimated</t>
  </si>
  <si>
    <t>473.89kg - estimated</t>
  </si>
  <si>
    <t xml:space="preserve">Figures estimated as not all data received as yet.  </t>
  </si>
  <si>
    <t xml:space="preserve">figures estimated as not all data received as yet.  </t>
  </si>
  <si>
    <t>45% estimated</t>
  </si>
  <si>
    <t>12 Applications all within time = 100% - (Top quartile = 88%)</t>
  </si>
  <si>
    <t>80 Applications 76 within time = 95% - (Top quartile = 85%)</t>
  </si>
  <si>
    <t>139 Applications 135 within time = 97% - (Top quartile = 90%)</t>
  </si>
  <si>
    <t>44 Applications all within time = 100%</t>
  </si>
  <si>
    <t>414 Applications, 410 within time = 99%</t>
  </si>
  <si>
    <t>239 Applications, 232 within time = 97%</t>
  </si>
  <si>
    <t>Cabinet approved the deferral of this target at Q2 2018.</t>
  </si>
  <si>
    <t xml:space="preserve">Following the appointment of SLM (Everyone Active) in November 2018, the monitoring of the project delivery by the established Contracts Management team commenced with the mobilisation phase of the contract in November 2018.
</t>
  </si>
  <si>
    <t>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A Contract Manager was appointed in November 2018 to oversee the leisure contract.</t>
  </si>
  <si>
    <t>The approved contract commenement date is 1st February 2019 and mobilisation and monitoiring will continue to be progressed.</t>
  </si>
  <si>
    <t>Enforcement initiatives continue to take place across the Borough with 9 undetaken in quarter 3</t>
  </si>
  <si>
    <t>21 initiatives</t>
  </si>
  <si>
    <t>A succession plan has been agreed with GO Garden volunteers which enables workers to utilise the facility without the direct supervison of ESBC officers</t>
  </si>
  <si>
    <t>Completed in quarter 1</t>
  </si>
  <si>
    <t>Grant submitted December 2018.</t>
  </si>
  <si>
    <t>Draft Green Flag Management Strategy is being drafted ready for final submission on January 31st. The draft plan incorporates elements of the Washlands project and elements funded through "business as usual" activities of the Open Spaces team.</t>
  </si>
  <si>
    <t>Actions are being agreed and taken forward with partners.</t>
  </si>
  <si>
    <t>2 existing projects have been taken to compltion.</t>
  </si>
  <si>
    <t>1.87 days</t>
  </si>
  <si>
    <t>2.81 days</t>
  </si>
  <si>
    <t>10 days</t>
  </si>
  <si>
    <t>11 days</t>
  </si>
  <si>
    <t>12 days</t>
  </si>
  <si>
    <t>6.95 days</t>
  </si>
  <si>
    <t>6.50 days</t>
  </si>
  <si>
    <t>110.68%;                                                                            86%</t>
  </si>
  <si>
    <t>80%;                                                                            85%</t>
  </si>
  <si>
    <t>We are now able to request deductions from claimant's earnings via Direct Earnings Attachments, enabling increased collection of outstanding overpayments.</t>
  </si>
  <si>
    <t xml:space="preserve">85.33%;                                                                           86.03%   </t>
  </si>
  <si>
    <t xml:space="preserve">98%;                                                                           99%   </t>
  </si>
  <si>
    <t>Target is annual.</t>
  </si>
  <si>
    <t>£2,054,697.70;                                                               £856,263.28;                                                                 £70,311.85</t>
  </si>
  <si>
    <t>£1,900,000;                                                               £500,000;                                                                 £40,000</t>
  </si>
  <si>
    <t>There is an outstanding Sundry Debt invoice of £45,557.13 where the Debtor is currently in Administration. We are waiting for Legal/HR to confirm when the invoice can be sent for write off approval.</t>
  </si>
  <si>
    <t>Stakeholder meetings have been held monthly fom July 2018 and a Member's Briefing was held in November 2018.</t>
  </si>
  <si>
    <t>Completed September 2018</t>
  </si>
  <si>
    <t>Completed March 2018</t>
  </si>
  <si>
    <t>Study was completed September 2018 with no perceived improvements identified currently due to automation not being widely used by Capita sites. SSCM will provide an update to HoS and DL during Q4 as Capita are intending to make further improvements to the automation modules.</t>
  </si>
  <si>
    <t xml:space="preserve">Installation fully completed behind schedule due to technical difficulties with the software. </t>
  </si>
  <si>
    <t>Plan approved by Cabinet August 2018 and alterations completed October 2018.</t>
  </si>
  <si>
    <t>Universal Credit Live Service was implemented in East Staffordshire by the DWP on 21/11/2018. UC claimants have at least 5 weeks to wait for their UC claim decision which will impact on our processing performance as we move in Q4.</t>
  </si>
  <si>
    <t xml:space="preserve">Arts Council England application for Capital refurbishment costs for the Brewhouse submitted 25 October 2018. We will be notified of the outcome of the application by the end of January 2019. </t>
  </si>
  <si>
    <t>Public Art Project Proposal presented to LDL on 31 May 2018. Recommended next steps to be taken in line with Burton Regeneration Strategy.</t>
  </si>
  <si>
    <t>The Gambiling Act Policy was adoped by Council in December 2018.</t>
  </si>
  <si>
    <t>Content for the current website is being reviewed. Work will start on migrating data to the new website in February. The new website will be launched in March 2019.</t>
  </si>
  <si>
    <t>Fully achieved in previous quarter.</t>
  </si>
  <si>
    <t>Universal credit briefing took place this quarter.</t>
  </si>
  <si>
    <t>Quarter 3 figures not yet available.</t>
  </si>
  <si>
    <t>The Independent Chair and Panel have been appointed by Council and will be meeting in January 2019.</t>
  </si>
  <si>
    <t>PSN audit completed and submission made, awaiting response, member briefing arranged.</t>
  </si>
  <si>
    <t>Completed in last quarter.</t>
  </si>
  <si>
    <t>Completed in first quarter.</t>
  </si>
  <si>
    <t>100&amp;</t>
  </si>
  <si>
    <t>Report prepared for CMT in February 2019.</t>
  </si>
  <si>
    <t>Completed in second quarter.</t>
  </si>
  <si>
    <t>Review of Community &amp; Civil Enforcement Role presented to and approved by CMT in October 2018.</t>
  </si>
  <si>
    <t>(a) Conduct a Marketing Campaign Aimed at Businesses (October 2018) and; (b) Produce an Annual Report on Activity (March 2019)</t>
  </si>
  <si>
    <t>(a) Oct-18
(b) Mar-19</t>
  </si>
  <si>
    <t xml:space="preserve">(a) Marketing activity has been delivered.
(b) A report is now in production to be considered by Members in March. </t>
  </si>
  <si>
    <t>Report presented and approval given in October LDL for the improvement of cycling provision.</t>
  </si>
  <si>
    <t>Council decision in December 2018.</t>
  </si>
  <si>
    <t>2 initiatives undertaken with Police and Immigration focussing on HMOs and a food business.</t>
  </si>
  <si>
    <t>1 market inspection completed and desktop studies undertaken on an additional 3 markets in the borough.</t>
  </si>
  <si>
    <t>100%. This target has been achieved again for this quarter, and is on track to be achieved for the year as a whole.</t>
  </si>
  <si>
    <t>The consultants' report is due to be presented in January 2019.</t>
  </si>
  <si>
    <t>0.94 days</t>
  </si>
  <si>
    <t>Second briefing is on 15 January 2019.</t>
  </si>
  <si>
    <t>121.89%;                                         
87%</t>
  </si>
  <si>
    <t>TBC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</si>
</sst>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69" x14ac:knownFonts="1">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7" applyNumberFormat="0" applyFill="0" applyAlignment="0" applyProtection="0"/>
    <xf numFmtId="0" fontId="24" fillId="0" borderId="0" applyNumberFormat="0" applyFill="0" applyBorder="0" applyAlignment="0" applyProtection="0">
      <alignment vertical="top"/>
      <protection locked="0"/>
    </xf>
    <xf numFmtId="9" fontId="64" fillId="0" borderId="0" applyFont="0" applyFill="0" applyBorder="0" applyAlignment="0" applyProtection="0"/>
  </cellStyleXfs>
  <cellXfs count="500">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2"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7"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7"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7" xfId="2" applyFont="1" applyFill="1" applyAlignment="1">
      <alignment horizontal="left" vertical="center" wrapText="1"/>
    </xf>
    <xf numFmtId="0" fontId="25" fillId="8" borderId="7" xfId="3" applyFont="1" applyFill="1" applyBorder="1" applyAlignment="1" applyProtection="1">
      <alignment horizontal="center" vertical="center" wrapText="1"/>
    </xf>
    <xf numFmtId="0" fontId="2" fillId="8" borderId="7" xfId="2" applyFont="1" applyFill="1" applyAlignment="1">
      <alignment horizontal="left" vertical="center"/>
    </xf>
    <xf numFmtId="0" fontId="26" fillId="8" borderId="7" xfId="2" applyFont="1" applyFill="1" applyAlignment="1">
      <alignment horizontal="left" vertical="center"/>
    </xf>
    <xf numFmtId="0" fontId="28" fillId="7" borderId="7"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7" xfId="3" applyFont="1" applyFill="1" applyBorder="1" applyAlignment="1" applyProtection="1">
      <alignment horizontal="left" vertical="center" wrapText="1"/>
    </xf>
    <xf numFmtId="0" fontId="2" fillId="7" borderId="7" xfId="2" applyFont="1" applyFill="1" applyAlignment="1">
      <alignment horizontal="center" vertical="center" wrapText="1"/>
    </xf>
    <xf numFmtId="0" fontId="33" fillId="10" borderId="7"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7"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7"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7" xfId="3" applyFont="1" applyFill="1" applyBorder="1" applyAlignment="1" applyProtection="1">
      <alignment horizontal="center" vertical="center" wrapText="1"/>
    </xf>
    <xf numFmtId="0" fontId="13" fillId="9" borderId="7" xfId="3"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2" xfId="0" applyFont="1" applyFill="1" applyBorder="1" applyAlignment="1">
      <alignment vertical="center" wrapText="1"/>
    </xf>
    <xf numFmtId="0" fontId="6" fillId="7" borderId="2" xfId="0" applyFont="1" applyFill="1" applyBorder="1" applyAlignment="1">
      <alignment vertical="center" wrapText="1"/>
    </xf>
    <xf numFmtId="0" fontId="9" fillId="7" borderId="2"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1"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2" xfId="0" applyFont="1" applyFill="1" applyBorder="1" applyAlignment="1">
      <alignment vertical="center" wrapText="1"/>
    </xf>
    <xf numFmtId="0" fontId="12" fillId="7" borderId="0" xfId="0" applyFont="1" applyFill="1" applyBorder="1" applyAlignment="1">
      <alignment vertical="center"/>
    </xf>
    <xf numFmtId="0" fontId="1" fillId="0" borderId="2"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2" xfId="0" applyFont="1" applyFill="1" applyBorder="1" applyAlignment="1">
      <alignment vertical="center" wrapText="1"/>
    </xf>
    <xf numFmtId="0" fontId="2" fillId="13" borderId="2"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15" xfId="0" applyNumberFormat="1" applyFont="1" applyFill="1" applyBorder="1" applyAlignment="1">
      <alignment vertical="center" wrapText="1"/>
    </xf>
    <xf numFmtId="10" fontId="7" fillId="0" borderId="2"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2" xfId="0" applyNumberFormat="1" applyFont="1" applyFill="1" applyBorder="1" applyAlignment="1">
      <alignment vertical="center"/>
    </xf>
    <xf numFmtId="0" fontId="6" fillId="2" borderId="0" xfId="0" applyFont="1" applyFill="1" applyAlignment="1">
      <alignment horizontal="center" vertical="center"/>
    </xf>
    <xf numFmtId="0" fontId="2" fillId="13" borderId="2"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3"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2"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3"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0"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2"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4" fillId="7" borderId="0" xfId="0" applyFont="1" applyFill="1" applyAlignment="1">
      <alignment vertical="center"/>
    </xf>
    <xf numFmtId="0" fontId="44" fillId="0" borderId="0" xfId="0" applyFont="1" applyAlignment="1">
      <alignment vertical="center"/>
    </xf>
    <xf numFmtId="0" fontId="43" fillId="2" borderId="0" xfId="0" applyFont="1" applyFill="1" applyBorder="1" applyAlignment="1">
      <alignment vertical="center" wrapText="1"/>
    </xf>
    <xf numFmtId="0" fontId="20" fillId="2" borderId="27" xfId="0" applyFont="1" applyFill="1" applyBorder="1" applyAlignment="1">
      <alignment vertical="center" wrapText="1"/>
    </xf>
    <xf numFmtId="0" fontId="20" fillId="2" borderId="11"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3" fillId="7" borderId="16" xfId="0" applyNumberFormat="1" applyFont="1" applyFill="1" applyBorder="1" applyAlignment="1">
      <alignment horizontal="center" vertical="center" wrapText="1"/>
    </xf>
    <xf numFmtId="9" fontId="0" fillId="0" borderId="0" xfId="0" applyNumberFormat="1" applyAlignment="1">
      <alignment vertical="center"/>
    </xf>
    <xf numFmtId="0" fontId="13" fillId="7" borderId="17" xfId="0" applyFont="1" applyFill="1" applyBorder="1" applyAlignment="1">
      <alignment horizontal="right" vertical="center" wrapText="1"/>
    </xf>
    <xf numFmtId="0" fontId="13" fillId="7" borderId="9" xfId="0" applyFont="1" applyFill="1" applyBorder="1" applyAlignment="1">
      <alignment horizontal="right" vertical="center" wrapText="1"/>
    </xf>
    <xf numFmtId="0" fontId="20" fillId="2" borderId="27" xfId="0" applyFont="1" applyFill="1" applyBorder="1" applyAlignment="1">
      <alignment horizontal="left" vertical="center" wrapText="1"/>
    </xf>
    <xf numFmtId="10" fontId="7" fillId="0" borderId="2" xfId="0" applyNumberFormat="1" applyFont="1" applyFill="1" applyBorder="1" applyAlignment="1">
      <alignment vertical="center" wrapText="1"/>
    </xf>
    <xf numFmtId="0" fontId="43" fillId="7" borderId="16" xfId="0" applyFont="1" applyFill="1" applyBorder="1" applyAlignment="1">
      <alignment horizontal="center" vertical="center" wrapText="1"/>
    </xf>
    <xf numFmtId="0" fontId="43" fillId="7" borderId="21" xfId="0" applyFont="1" applyFill="1" applyBorder="1" applyAlignment="1">
      <alignment horizontal="center" vertical="center" wrapText="1"/>
    </xf>
    <xf numFmtId="10" fontId="43" fillId="7" borderId="20" xfId="0" applyNumberFormat="1" applyFont="1" applyFill="1" applyBorder="1" applyAlignment="1">
      <alignment horizontal="center" vertical="center" wrapText="1"/>
    </xf>
    <xf numFmtId="0" fontId="43" fillId="7" borderId="19" xfId="0" applyFont="1" applyFill="1" applyBorder="1" applyAlignment="1">
      <alignment horizontal="center" vertical="center" wrapText="1"/>
    </xf>
    <xf numFmtId="10" fontId="43" fillId="7" borderId="19" xfId="0" applyNumberFormat="1" applyFont="1" applyFill="1" applyBorder="1" applyAlignment="1">
      <alignment horizontal="center" vertical="center" wrapText="1"/>
    </xf>
    <xf numFmtId="0" fontId="46" fillId="7" borderId="16"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19" xfId="0" applyFont="1" applyFill="1" applyBorder="1" applyAlignment="1">
      <alignment horizontal="center" vertical="center" wrapText="1"/>
    </xf>
    <xf numFmtId="1" fontId="46" fillId="7" borderId="14" xfId="0" applyNumberFormat="1" applyFont="1" applyFill="1" applyBorder="1" applyAlignment="1">
      <alignment horizontal="center" vertical="center" wrapText="1"/>
    </xf>
    <xf numFmtId="0" fontId="46" fillId="7" borderId="14" xfId="0" applyFont="1" applyFill="1" applyBorder="1" applyAlignment="1">
      <alignment horizontal="center" vertical="center" wrapText="1"/>
    </xf>
    <xf numFmtId="0" fontId="41"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12" borderId="2" xfId="0"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2" xfId="0" applyNumberFormat="1" applyFont="1" applyFill="1" applyBorder="1" applyAlignment="1">
      <alignment vertical="center" wrapText="1"/>
    </xf>
    <xf numFmtId="0" fontId="3" fillId="2" borderId="12"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1" fillId="7" borderId="0" xfId="0" applyFont="1" applyFill="1" applyBorder="1" applyAlignment="1" applyProtection="1">
      <alignment vertical="center" wrapText="1"/>
    </xf>
    <xf numFmtId="0" fontId="41"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8" fillId="7" borderId="0" xfId="0" applyFont="1" applyFill="1" applyBorder="1" applyAlignment="1" applyProtection="1">
      <alignment horizontal="center" vertical="center" wrapText="1"/>
    </xf>
    <xf numFmtId="164" fontId="3" fillId="17" borderId="6" xfId="0" applyNumberFormat="1" applyFont="1" applyFill="1" applyBorder="1" applyAlignment="1" applyProtection="1">
      <alignment horizontal="center" vertical="center" wrapText="1"/>
    </xf>
    <xf numFmtId="0" fontId="3" fillId="2" borderId="12" xfId="0" applyFont="1" applyFill="1" applyBorder="1" applyAlignment="1">
      <alignment vertical="center"/>
    </xf>
    <xf numFmtId="0" fontId="1" fillId="19" borderId="2" xfId="0" applyFont="1" applyFill="1" applyBorder="1" applyAlignment="1" applyProtection="1">
      <alignment horizontal="center" vertical="center" wrapText="1"/>
    </xf>
    <xf numFmtId="0" fontId="7" fillId="16" borderId="2" xfId="0" applyFont="1" applyFill="1" applyBorder="1" applyAlignment="1" applyProtection="1">
      <alignment horizontal="left" vertical="center" wrapText="1"/>
    </xf>
    <xf numFmtId="0" fontId="1" fillId="16" borderId="2" xfId="0" applyFont="1" applyFill="1" applyBorder="1" applyAlignment="1" applyProtection="1">
      <alignment vertical="center" wrapText="1"/>
    </xf>
    <xf numFmtId="10" fontId="43" fillId="7" borderId="16" xfId="0" applyNumberFormat="1" applyFont="1" applyFill="1" applyBorder="1" applyAlignment="1">
      <alignment horizontal="center" vertical="center" wrapText="1"/>
    </xf>
    <xf numFmtId="10" fontId="43" fillId="2" borderId="0" xfId="0" applyNumberFormat="1" applyFont="1" applyFill="1" applyBorder="1" applyAlignment="1">
      <alignment vertical="center" wrapText="1"/>
    </xf>
    <xf numFmtId="10" fontId="43" fillId="2" borderId="11"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5" xfId="0" applyNumberFormat="1" applyFont="1" applyFill="1" applyBorder="1" applyAlignment="1">
      <alignment vertical="center" wrapText="1"/>
    </xf>
    <xf numFmtId="10" fontId="7" fillId="7" borderId="15" xfId="0" applyNumberFormat="1" applyFont="1" applyFill="1" applyBorder="1" applyAlignment="1">
      <alignmen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2" xfId="0" applyNumberFormat="1"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1" borderId="2" xfId="0" applyFont="1" applyFill="1" applyBorder="1" applyAlignment="1" applyProtection="1">
      <alignment vertical="center" wrapText="1"/>
    </xf>
    <xf numFmtId="1" fontId="3" fillId="15" borderId="2" xfId="0" applyNumberFormat="1" applyFont="1" applyFill="1" applyBorder="1" applyAlignment="1" applyProtection="1">
      <alignment horizontal="center" vertical="center" wrapText="1"/>
    </xf>
    <xf numFmtId="1" fontId="3" fillId="15" borderId="3" xfId="0" applyNumberFormat="1" applyFont="1" applyFill="1" applyBorder="1" applyAlignment="1" applyProtection="1">
      <alignment horizontal="center" vertical="center" wrapText="1"/>
    </xf>
    <xf numFmtId="0" fontId="1" fillId="16" borderId="3" xfId="0" applyFont="1" applyFill="1" applyBorder="1" applyAlignment="1" applyProtection="1">
      <alignment horizontal="left" vertical="center" wrapText="1"/>
    </xf>
    <xf numFmtId="0" fontId="19" fillId="4" borderId="3" xfId="0" applyFont="1" applyFill="1" applyBorder="1" applyAlignment="1" applyProtection="1">
      <alignment horizontal="center" vertical="center" wrapText="1"/>
    </xf>
    <xf numFmtId="1" fontId="10" fillId="17" borderId="4" xfId="0" applyNumberFormat="1" applyFont="1" applyFill="1" applyBorder="1" applyAlignment="1" applyProtection="1">
      <alignment horizontal="left" vertical="center"/>
    </xf>
    <xf numFmtId="164" fontId="3" fillId="17" borderId="5" xfId="0" applyNumberFormat="1" applyFont="1" applyFill="1" applyBorder="1" applyAlignment="1" applyProtection="1">
      <alignment horizontal="center" vertical="center" wrapText="1"/>
    </xf>
    <xf numFmtId="164" fontId="3" fillId="17" borderId="5" xfId="0" applyNumberFormat="1" applyFont="1" applyFill="1" applyBorder="1" applyAlignment="1" applyProtection="1">
      <alignment horizontal="left" vertical="center" wrapText="1"/>
    </xf>
    <xf numFmtId="0" fontId="19" fillId="4" borderId="1"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1" fillId="7" borderId="0" xfId="0" applyFont="1" applyFill="1" applyProtection="1"/>
    <xf numFmtId="0" fontId="51" fillId="0" borderId="0" xfId="0" applyFont="1" applyProtection="1"/>
    <xf numFmtId="0" fontId="50" fillId="2" borderId="30" xfId="0" applyFont="1" applyFill="1" applyBorder="1" applyAlignment="1" applyProtection="1">
      <alignment horizontal="center" vertical="center" wrapText="1"/>
    </xf>
    <xf numFmtId="49" fontId="20" fillId="2" borderId="1" xfId="1" applyNumberFormat="1" applyFont="1" applyFill="1" applyBorder="1" applyAlignment="1" applyProtection="1">
      <alignment horizontal="center" vertical="center" wrapText="1"/>
    </xf>
    <xf numFmtId="0" fontId="52" fillId="7" borderId="0" xfId="0" applyFont="1" applyFill="1" applyProtection="1"/>
    <xf numFmtId="0" fontId="53" fillId="7" borderId="0" xfId="0" applyFont="1" applyFill="1" applyAlignment="1" applyProtection="1">
      <alignment horizontal="center" vertical="center"/>
    </xf>
    <xf numFmtId="0" fontId="54" fillId="7" borderId="2" xfId="0" applyFont="1" applyFill="1" applyBorder="1" applyAlignment="1" applyProtection="1">
      <alignment horizontal="center" vertical="center"/>
    </xf>
    <xf numFmtId="0" fontId="50" fillId="2" borderId="31" xfId="0" applyFont="1" applyFill="1" applyBorder="1" applyAlignment="1" applyProtection="1">
      <alignment horizontal="center" vertical="center" wrapText="1"/>
    </xf>
    <xf numFmtId="164" fontId="3" fillId="17" borderId="4"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2" xfId="0" applyFont="1" applyFill="1" applyBorder="1" applyAlignment="1">
      <alignment horizontal="center"/>
    </xf>
    <xf numFmtId="0" fontId="17" fillId="17" borderId="2" xfId="0" applyFont="1" applyFill="1" applyBorder="1"/>
    <xf numFmtId="10" fontId="14" fillId="17" borderId="2"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5" fillId="0" borderId="0" xfId="3" applyFont="1" applyFill="1" applyBorder="1" applyAlignment="1" applyProtection="1">
      <alignment horizontal="left"/>
    </xf>
    <xf numFmtId="0" fontId="56" fillId="7" borderId="0" xfId="0" applyFont="1" applyFill="1" applyProtection="1"/>
    <xf numFmtId="0" fontId="56"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2"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2" xfId="0" applyFont="1" applyFill="1" applyBorder="1" applyAlignment="1" applyProtection="1">
      <alignment horizontal="center" vertical="center" wrapText="1"/>
    </xf>
    <xf numFmtId="0" fontId="51" fillId="0" borderId="0" xfId="0" applyFont="1" applyBorder="1" applyAlignment="1" applyProtection="1">
      <alignment wrapText="1"/>
    </xf>
    <xf numFmtId="0" fontId="1" fillId="16" borderId="10" xfId="0" applyFont="1" applyFill="1" applyBorder="1" applyAlignment="1" applyProtection="1">
      <alignment horizontal="left" vertical="center" wrapText="1"/>
    </xf>
    <xf numFmtId="0" fontId="19" fillId="4" borderId="10" xfId="0" applyFont="1" applyFill="1" applyBorder="1" applyAlignment="1" applyProtection="1">
      <alignment horizontal="center" vertical="center" wrapText="1"/>
    </xf>
    <xf numFmtId="0" fontId="2" fillId="5" borderId="2" xfId="0" applyFont="1" applyFill="1" applyBorder="1" applyAlignment="1">
      <alignment vertical="center" wrapText="1"/>
    </xf>
    <xf numFmtId="0" fontId="2" fillId="3" borderId="2" xfId="0" applyFont="1" applyFill="1" applyBorder="1" applyAlignment="1">
      <alignment vertical="center" wrapText="1"/>
    </xf>
    <xf numFmtId="0" fontId="2" fillId="6" borderId="2" xfId="0" applyFont="1" applyFill="1" applyBorder="1" applyAlignment="1">
      <alignment vertical="center" wrapText="1"/>
    </xf>
    <xf numFmtId="0" fontId="2" fillId="0" borderId="13"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xf>
    <xf numFmtId="10" fontId="6" fillId="7" borderId="2"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2" fillId="2" borderId="0" xfId="0" applyFont="1" applyFill="1" applyAlignment="1">
      <alignment horizontal="center" vertical="center"/>
    </xf>
    <xf numFmtId="0" fontId="7"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5" xfId="0" applyFont="1" applyFill="1" applyBorder="1" applyAlignment="1">
      <alignment horizontal="center" vertical="center" wrapText="1"/>
    </xf>
    <xf numFmtId="10" fontId="7" fillId="7" borderId="5" xfId="0" applyNumberFormat="1" applyFont="1" applyFill="1" applyBorder="1" applyAlignment="1">
      <alignment horizontal="center" vertical="center" wrapText="1"/>
    </xf>
    <xf numFmtId="10" fontId="7" fillId="7" borderId="1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0" fontId="6" fillId="7" borderId="6"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2" fillId="7" borderId="2" xfId="0" applyFont="1" applyFill="1" applyBorder="1" applyAlignment="1">
      <alignment horizontal="center" vertical="center"/>
    </xf>
    <xf numFmtId="0" fontId="3" fillId="2" borderId="12"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10" fontId="7" fillId="0" borderId="5" xfId="0" applyNumberFormat="1" applyFont="1" applyFill="1" applyBorder="1" applyAlignment="1">
      <alignment horizontal="center" vertical="center" wrapText="1"/>
    </xf>
    <xf numFmtId="10" fontId="7" fillId="0" borderId="15" xfId="0" applyNumberFormat="1" applyFont="1" applyFill="1" applyBorder="1" applyAlignment="1">
      <alignment horizontal="center" vertical="center" wrapText="1"/>
    </xf>
    <xf numFmtId="0" fontId="42" fillId="7" borderId="0" xfId="0" applyFont="1" applyFill="1" applyAlignment="1">
      <alignment horizontal="center" vertical="center"/>
    </xf>
    <xf numFmtId="0" fontId="34" fillId="2" borderId="0" xfId="0" applyFont="1" applyFill="1" applyAlignment="1">
      <alignment horizontal="center" vertical="center"/>
    </xf>
    <xf numFmtId="0" fontId="2"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4" xfId="0" applyFont="1" applyFill="1" applyBorder="1" applyAlignment="1">
      <alignment horizontal="left" vertical="center"/>
    </xf>
    <xf numFmtId="0" fontId="2" fillId="5" borderId="2" xfId="0" applyFont="1" applyFill="1" applyBorder="1" applyAlignment="1">
      <alignment horizontal="left" vertical="center"/>
    </xf>
    <xf numFmtId="0" fontId="2" fillId="0" borderId="0" xfId="0" applyFont="1" applyFill="1" applyBorder="1" applyAlignment="1">
      <alignment horizontal="left" vertical="center"/>
    </xf>
    <xf numFmtId="0" fontId="2" fillId="6" borderId="2" xfId="0" applyFont="1" applyFill="1" applyBorder="1" applyAlignment="1">
      <alignment horizontal="left" vertical="center"/>
    </xf>
    <xf numFmtId="0" fontId="2" fillId="7" borderId="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2" xfId="0" applyFont="1" applyFill="1" applyBorder="1" applyAlignment="1">
      <alignment horizontal="left" vertical="center"/>
    </xf>
    <xf numFmtId="0" fontId="1" fillId="0" borderId="2" xfId="0" applyFont="1" applyFill="1" applyBorder="1" applyAlignment="1">
      <alignment horizontal="left" vertical="center"/>
    </xf>
    <xf numFmtId="0" fontId="6" fillId="7" borderId="2" xfId="0" applyFont="1" applyFill="1" applyBorder="1" applyAlignment="1">
      <alignment horizontal="left" vertical="center"/>
    </xf>
    <xf numFmtId="0" fontId="9" fillId="7" borderId="2" xfId="0" applyFont="1" applyFill="1" applyBorder="1" applyAlignment="1">
      <alignment horizontal="left" vertical="center"/>
    </xf>
    <xf numFmtId="0" fontId="6" fillId="14" borderId="5" xfId="0" applyFont="1" applyFill="1" applyBorder="1" applyAlignment="1">
      <alignment vertical="center"/>
    </xf>
    <xf numFmtId="0" fontId="6" fillId="14" borderId="6" xfId="0" applyFont="1" applyFill="1" applyBorder="1" applyAlignment="1">
      <alignment horizontal="center" vertical="center"/>
    </xf>
    <xf numFmtId="0" fontId="2" fillId="13" borderId="3" xfId="0" applyFont="1" applyFill="1" applyBorder="1" applyAlignment="1">
      <alignment vertical="center" wrapText="1"/>
    </xf>
    <xf numFmtId="0" fontId="2" fillId="13" borderId="3" xfId="0" applyFont="1" applyFill="1" applyBorder="1" applyAlignment="1">
      <alignment horizontal="center" vertical="center" wrapText="1"/>
    </xf>
    <xf numFmtId="9" fontId="2" fillId="13" borderId="3" xfId="0" applyNumberFormat="1" applyFont="1" applyFill="1" applyBorder="1" applyAlignment="1">
      <alignment horizontal="center" vertical="center" wrapText="1"/>
    </xf>
    <xf numFmtId="10" fontId="2" fillId="13" borderId="3" xfId="0" applyNumberFormat="1" applyFont="1" applyFill="1" applyBorder="1" applyAlignment="1">
      <alignment horizontal="center" vertical="center" wrapText="1"/>
    </xf>
    <xf numFmtId="0" fontId="3" fillId="14" borderId="4" xfId="0" applyFont="1" applyFill="1" applyBorder="1" applyAlignment="1">
      <alignment vertical="center" wrapText="1"/>
    </xf>
    <xf numFmtId="10" fontId="7" fillId="7" borderId="2" xfId="0" applyNumberFormat="1" applyFont="1" applyFill="1" applyBorder="1" applyAlignment="1">
      <alignment vertical="center" wrapText="1"/>
    </xf>
    <xf numFmtId="0" fontId="3" fillId="14" borderId="4" xfId="0" applyFont="1" applyFill="1" applyBorder="1" applyAlignment="1">
      <alignment vertical="center"/>
    </xf>
    <xf numFmtId="0" fontId="2" fillId="7" borderId="13"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1"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2" fillId="0" borderId="0" xfId="3" applyFont="1" applyFill="1" applyBorder="1" applyAlignment="1" applyProtection="1">
      <alignment horizontal="left" vertical="center"/>
    </xf>
    <xf numFmtId="1"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 fontId="20" fillId="17" borderId="2" xfId="0" applyNumberFormat="1" applyFont="1" applyFill="1" applyBorder="1" applyAlignment="1" applyProtection="1">
      <alignment horizontal="left" vertical="center"/>
    </xf>
    <xf numFmtId="0" fontId="20" fillId="18" borderId="2" xfId="0" applyFont="1" applyFill="1" applyBorder="1" applyAlignment="1" applyProtection="1">
      <alignment vertical="center" wrapText="1"/>
    </xf>
    <xf numFmtId="0" fontId="20" fillId="17" borderId="2" xfId="0" applyFont="1" applyFill="1" applyBorder="1" applyAlignment="1" applyProtection="1">
      <alignment horizontal="center" vertical="center" wrapText="1"/>
    </xf>
    <xf numFmtId="0" fontId="20" fillId="17" borderId="2" xfId="0" applyFont="1" applyFill="1" applyBorder="1" applyAlignment="1" applyProtection="1">
      <alignment vertical="top" wrapText="1"/>
    </xf>
    <xf numFmtId="0" fontId="20" fillId="17" borderId="2" xfId="0" applyFont="1" applyFill="1" applyBorder="1" applyAlignment="1" applyProtection="1">
      <alignment horizontal="center" wrapText="1"/>
    </xf>
    <xf numFmtId="0" fontId="7" fillId="20" borderId="2" xfId="0" applyFont="1" applyFill="1" applyBorder="1" applyAlignment="1" applyProtection="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center"/>
    </xf>
    <xf numFmtId="0" fontId="41" fillId="7" borderId="0" xfId="0" applyFont="1" applyFill="1" applyAlignment="1" applyProtection="1">
      <alignment horizontal="center" vertical="center" wrapText="1"/>
    </xf>
    <xf numFmtId="0" fontId="41" fillId="0" borderId="0" xfId="0" applyFont="1" applyAlignment="1" applyProtection="1">
      <alignment horizontal="center" vertical="center" wrapText="1"/>
    </xf>
    <xf numFmtId="0" fontId="54" fillId="0" borderId="2" xfId="0" applyFont="1" applyFill="1" applyBorder="1" applyAlignment="1" applyProtection="1">
      <alignment horizontal="center" vertical="center"/>
    </xf>
    <xf numFmtId="0" fontId="63" fillId="7" borderId="3"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6" borderId="2" xfId="0" applyFont="1" applyFill="1" applyBorder="1" applyAlignment="1">
      <alignment vertical="center" wrapText="1"/>
    </xf>
    <xf numFmtId="10" fontId="7" fillId="0" borderId="2" xfId="0" applyNumberFormat="1" applyFont="1" applyFill="1" applyBorder="1" applyAlignment="1">
      <alignment vertical="center" wrapText="1"/>
    </xf>
    <xf numFmtId="0" fontId="2" fillId="0" borderId="2" xfId="0" applyFont="1" applyFill="1" applyBorder="1" applyAlignment="1">
      <alignment vertical="center" wrapText="1"/>
    </xf>
    <xf numFmtId="9" fontId="7" fillId="20" borderId="2" xfId="4" applyFont="1" applyFill="1" applyBorder="1" applyAlignment="1" applyProtection="1">
      <alignment horizontal="left" vertical="center" wrapText="1"/>
    </xf>
    <xf numFmtId="0" fontId="2" fillId="20" borderId="2" xfId="0" applyFont="1" applyFill="1" applyBorder="1" applyAlignment="1" applyProtection="1">
      <alignment horizontal="left" vertical="center" wrapText="1"/>
    </xf>
    <xf numFmtId="0" fontId="66" fillId="7" borderId="0" xfId="0" applyFont="1" applyFill="1" applyProtection="1"/>
    <xf numFmtId="0" fontId="66" fillId="0" borderId="0" xfId="0" applyFont="1" applyProtection="1"/>
    <xf numFmtId="0" fontId="1" fillId="7" borderId="2"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49" fillId="0" borderId="2"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7" fillId="20" borderId="3" xfId="0" applyFont="1" applyFill="1" applyBorder="1" applyAlignment="1" applyProtection="1">
      <alignment horizontal="left" vertical="center" wrapText="1"/>
    </xf>
    <xf numFmtId="0" fontId="7" fillId="7" borderId="2" xfId="0" applyFont="1" applyFill="1" applyBorder="1" applyAlignment="1" applyProtection="1">
      <alignment horizontal="center" vertical="center" wrapText="1"/>
    </xf>
    <xf numFmtId="1" fontId="3" fillId="15" borderId="1" xfId="0" applyNumberFormat="1" applyFont="1" applyFill="1" applyBorder="1" applyAlignment="1" applyProtection="1">
      <alignment horizontal="center" vertical="center" wrapText="1"/>
    </xf>
    <xf numFmtId="0" fontId="7" fillId="20" borderId="1" xfId="0" applyFont="1" applyFill="1" applyBorder="1" applyAlignment="1" applyProtection="1">
      <alignment horizontal="left" vertical="center" wrapText="1"/>
    </xf>
    <xf numFmtId="9" fontId="7" fillId="20" borderId="2" xfId="0" applyNumberFormat="1" applyFont="1" applyFill="1" applyBorder="1" applyAlignment="1" applyProtection="1">
      <alignment horizontal="left" vertical="center" wrapText="1"/>
    </xf>
    <xf numFmtId="9" fontId="7" fillId="20" borderId="2" xfId="0" applyNumberFormat="1" applyFont="1" applyFill="1" applyBorder="1" applyAlignment="1" applyProtection="1">
      <alignment horizontal="center" vertical="center" wrapText="1"/>
    </xf>
    <xf numFmtId="0" fontId="0" fillId="7" borderId="2" xfId="0" applyFill="1" applyBorder="1" applyProtection="1"/>
    <xf numFmtId="0" fontId="54" fillId="7" borderId="1" xfId="0" applyFont="1" applyFill="1" applyBorder="1" applyAlignment="1" applyProtection="1">
      <alignment horizontal="center" vertical="center"/>
    </xf>
    <xf numFmtId="0" fontId="65" fillId="0" borderId="13" xfId="0" applyFont="1" applyFill="1" applyBorder="1" applyAlignment="1" applyProtection="1">
      <alignment horizontal="center" vertical="center"/>
    </xf>
    <xf numFmtId="1" fontId="10" fillId="17" borderId="5" xfId="0" applyNumberFormat="1" applyFont="1" applyFill="1" applyBorder="1" applyAlignment="1" applyProtection="1">
      <alignment horizontal="left" vertical="center"/>
    </xf>
    <xf numFmtId="1" fontId="10" fillId="17" borderId="6" xfId="0" applyNumberFormat="1" applyFont="1" applyFill="1" applyBorder="1" applyAlignment="1" applyProtection="1">
      <alignment horizontal="left" vertical="center"/>
    </xf>
    <xf numFmtId="0" fontId="65" fillId="0" borderId="5" xfId="0" applyFont="1" applyFill="1" applyBorder="1" applyAlignment="1" applyProtection="1">
      <alignment horizontal="center" vertical="center"/>
    </xf>
    <xf numFmtId="10" fontId="7"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5"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7" borderId="0" xfId="0" applyFont="1" applyFill="1" applyBorder="1" applyAlignment="1">
      <alignment horizontal="center" vertical="center"/>
    </xf>
    <xf numFmtId="0" fontId="0" fillId="0" borderId="0" xfId="0" applyAlignment="1">
      <alignment horizontal="left" indent="1"/>
    </xf>
    <xf numFmtId="164" fontId="20" fillId="17" borderId="2" xfId="0" applyNumberFormat="1" applyFont="1" applyFill="1" applyBorder="1" applyAlignment="1" applyProtection="1">
      <alignment horizontal="center" vertical="center" wrapText="1"/>
    </xf>
    <xf numFmtId="0" fontId="20" fillId="17" borderId="2" xfId="0" applyFont="1" applyFill="1" applyBorder="1" applyAlignment="1" applyProtection="1">
      <alignment horizontal="left" vertical="center" wrapText="1"/>
    </xf>
    <xf numFmtId="164" fontId="20" fillId="17" borderId="2" xfId="0" applyNumberFormat="1" applyFont="1" applyFill="1" applyBorder="1" applyAlignment="1" applyProtection="1">
      <alignment horizontal="left" vertical="center" wrapText="1"/>
    </xf>
    <xf numFmtId="164" fontId="60" fillId="17" borderId="2" xfId="0" applyNumberFormat="1" applyFont="1" applyFill="1" applyBorder="1" applyAlignment="1" applyProtection="1">
      <alignment horizontal="center" vertical="center" wrapText="1"/>
    </xf>
    <xf numFmtId="1" fontId="20" fillId="17" borderId="2" xfId="0" applyNumberFormat="1" applyFont="1" applyFill="1" applyBorder="1" applyAlignment="1" applyProtection="1">
      <alignment horizontal="center" vertical="center" wrapText="1"/>
    </xf>
    <xf numFmtId="0" fontId="51" fillId="7" borderId="0" xfId="0" applyFont="1" applyFill="1" applyBorder="1" applyAlignment="1" applyProtection="1">
      <alignment wrapText="1"/>
    </xf>
    <xf numFmtId="0" fontId="4" fillId="7" borderId="0" xfId="0" applyFont="1" applyFill="1" applyAlignment="1" applyProtection="1">
      <alignment wrapText="1"/>
    </xf>
    <xf numFmtId="0" fontId="44"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59"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59" fillId="7" borderId="0" xfId="0" applyFont="1" applyFill="1" applyAlignment="1" applyProtection="1">
      <alignment horizontal="left" vertical="top" wrapText="1"/>
    </xf>
    <xf numFmtId="0" fontId="47"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4" fillId="7" borderId="0" xfId="0" applyFont="1" applyFill="1" applyAlignment="1" applyProtection="1">
      <alignment horizontal="left" vertical="center" wrapText="1"/>
    </xf>
    <xf numFmtId="0" fontId="44" fillId="7" borderId="0" xfId="0" applyFont="1" applyFill="1" applyAlignment="1" applyProtection="1">
      <alignment horizontal="center" vertical="center" wrapText="1"/>
    </xf>
    <xf numFmtId="0" fontId="61" fillId="7" borderId="0" xfId="0" applyFont="1" applyFill="1" applyAlignment="1" applyProtection="1">
      <alignment horizontal="center" vertical="center" wrapText="1"/>
    </xf>
    <xf numFmtId="0" fontId="44" fillId="7" borderId="0" xfId="0" applyFont="1" applyFill="1" applyAlignment="1" applyProtection="1">
      <alignment horizontal="left" vertical="top" wrapText="1"/>
    </xf>
    <xf numFmtId="0" fontId="61"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2" fillId="7" borderId="0" xfId="0" applyFont="1" applyFill="1" applyAlignment="1" applyProtection="1">
      <alignment wrapText="1"/>
    </xf>
    <xf numFmtId="0" fontId="44" fillId="7" borderId="0" xfId="0" applyFont="1" applyFill="1" applyAlignment="1" applyProtection="1">
      <alignment horizontal="left" wrapText="1"/>
    </xf>
    <xf numFmtId="0" fontId="4" fillId="7" borderId="0" xfId="0" applyFont="1" applyFill="1" applyAlignment="1" applyProtection="1">
      <alignment horizontal="left" wrapText="1"/>
    </xf>
    <xf numFmtId="0" fontId="44" fillId="7" borderId="0" xfId="0" applyFont="1" applyFill="1" applyAlignment="1" applyProtection="1">
      <alignment horizontal="center" wrapText="1"/>
    </xf>
    <xf numFmtId="1" fontId="44"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2"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9" fontId="34" fillId="7" borderId="2" xfId="0" applyNumberFormat="1" applyFont="1" applyFill="1" applyBorder="1" applyAlignment="1" applyProtection="1">
      <alignment horizontal="left" vertical="center" wrapText="1"/>
    </xf>
    <xf numFmtId="0" fontId="49" fillId="7" borderId="2"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68" fillId="0" borderId="2" xfId="0" applyFont="1" applyFill="1" applyBorder="1" applyAlignment="1" applyProtection="1">
      <alignment horizontal="left" vertical="center" wrapText="1"/>
    </xf>
    <xf numFmtId="0" fontId="34" fillId="7" borderId="2" xfId="0" applyFont="1" applyFill="1" applyBorder="1" applyAlignment="1" applyProtection="1">
      <alignment horizontal="left" vertical="top" wrapText="1"/>
    </xf>
    <xf numFmtId="0" fontId="67" fillId="0" borderId="2" xfId="0" applyFont="1" applyFill="1" applyBorder="1" applyAlignment="1" applyProtection="1">
      <alignment horizontal="left" vertical="top" wrapText="1"/>
    </xf>
    <xf numFmtId="0" fontId="68" fillId="7" borderId="2" xfId="0" applyFont="1" applyFill="1" applyBorder="1" applyAlignment="1" applyProtection="1">
      <alignment horizontal="left" vertical="center" wrapText="1"/>
    </xf>
    <xf numFmtId="164" fontId="60" fillId="17" borderId="2"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7" fillId="20" borderId="2" xfId="0" applyFont="1" applyFill="1" applyBorder="1" applyAlignment="1" applyProtection="1">
      <alignment horizontal="left" vertical="top" wrapText="1"/>
    </xf>
    <xf numFmtId="0" fontId="0" fillId="4" borderId="2" xfId="0"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34" fillId="4" borderId="2" xfId="0"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center" wrapText="1"/>
    </xf>
    <xf numFmtId="9" fontId="34" fillId="4" borderId="2" xfId="0" applyNumberFormat="1" applyFont="1" applyFill="1" applyBorder="1" applyAlignment="1" applyProtection="1">
      <alignment horizontal="left" vertical="top" wrapText="1"/>
    </xf>
    <xf numFmtId="0" fontId="34" fillId="4" borderId="2" xfId="0" applyFont="1" applyFill="1" applyBorder="1" applyAlignment="1" applyProtection="1">
      <alignment horizontal="left" vertical="top" wrapText="1"/>
    </xf>
    <xf numFmtId="0" fontId="34" fillId="0" borderId="2" xfId="0" applyFont="1" applyFill="1" applyBorder="1" applyAlignment="1" applyProtection="1">
      <alignment horizontal="left" vertical="center" wrapText="1"/>
      <protection locked="0"/>
    </xf>
    <xf numFmtId="0" fontId="20" fillId="17" borderId="2" xfId="0" applyFont="1" applyFill="1" applyBorder="1" applyAlignment="1" applyProtection="1">
      <alignment horizontal="center" vertical="center" wrapText="1"/>
      <protection locked="0"/>
    </xf>
    <xf numFmtId="0" fontId="20" fillId="17" borderId="2" xfId="0" applyFont="1" applyFill="1" applyBorder="1" applyAlignment="1" applyProtection="1">
      <alignment horizontal="center" wrapText="1"/>
      <protection locked="0"/>
    </xf>
    <xf numFmtId="0" fontId="1" fillId="7" borderId="3"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protection locked="0"/>
    </xf>
    <xf numFmtId="0" fontId="19" fillId="4" borderId="51" xfId="0" applyFont="1" applyFill="1" applyBorder="1" applyAlignment="1" applyProtection="1">
      <alignment horizontal="center" vertical="center" wrapText="1"/>
    </xf>
    <xf numFmtId="0" fontId="39" fillId="7" borderId="2" xfId="0" applyFont="1" applyFill="1" applyBorder="1" applyAlignment="1" applyProtection="1">
      <alignment horizontal="center" vertical="center" wrapText="1"/>
    </xf>
    <xf numFmtId="0" fontId="0" fillId="0" borderId="2" xfId="0" applyFill="1" applyBorder="1" applyAlignment="1" applyProtection="1">
      <alignment horizontal="left" vertical="top" wrapText="1"/>
    </xf>
    <xf numFmtId="9" fontId="34" fillId="0" borderId="2" xfId="0" applyNumberFormat="1" applyFont="1" applyFill="1" applyBorder="1" applyAlignment="1" applyProtection="1">
      <alignment horizontal="left" vertical="center" wrapText="1"/>
    </xf>
    <xf numFmtId="49" fontId="34" fillId="0" borderId="2" xfId="4" applyNumberFormat="1" applyFont="1" applyFill="1" applyBorder="1" applyAlignment="1" applyProtection="1">
      <alignment horizontal="left" vertical="center" wrapText="1"/>
    </xf>
    <xf numFmtId="0" fontId="49" fillId="0" borderId="2" xfId="0" applyFont="1" applyFill="1" applyBorder="1" applyAlignment="1" applyProtection="1">
      <alignment horizontal="left" vertical="center" wrapText="1"/>
      <protection locked="0"/>
    </xf>
    <xf numFmtId="0" fontId="49" fillId="0" borderId="2" xfId="0" applyFont="1" applyFill="1" applyBorder="1" applyAlignment="1" applyProtection="1">
      <alignment horizontal="left" vertical="top" wrapText="1"/>
      <protection locked="0"/>
    </xf>
    <xf numFmtId="9" fontId="49" fillId="0" borderId="2" xfId="0" applyNumberFormat="1" applyFont="1" applyFill="1" applyBorder="1" applyAlignment="1" applyProtection="1">
      <alignment horizontal="left" vertical="center" wrapText="1"/>
      <protection locked="0"/>
    </xf>
    <xf numFmtId="0" fontId="0" fillId="0" borderId="0" xfId="0" applyFont="1" applyAlignment="1" applyProtection="1">
      <alignment horizontal="left" vertical="top" wrapText="1"/>
      <protection locked="0"/>
    </xf>
    <xf numFmtId="9" fontId="34" fillId="0" borderId="2" xfId="0" applyNumberFormat="1" applyFont="1" applyFill="1" applyBorder="1" applyAlignment="1" applyProtection="1">
      <alignment horizontal="left" vertical="center" wrapText="1"/>
      <protection locked="0"/>
    </xf>
    <xf numFmtId="0" fontId="49" fillId="0" borderId="2" xfId="0" applyFont="1" applyFill="1" applyBorder="1" applyAlignment="1" applyProtection="1">
      <alignment vertical="center" wrapText="1"/>
      <protection locked="0"/>
    </xf>
    <xf numFmtId="0" fontId="19" fillId="4" borderId="6" xfId="0" applyFont="1" applyFill="1" applyBorder="1" applyAlignment="1" applyProtection="1">
      <alignment horizontal="center" vertical="center" wrapText="1"/>
    </xf>
    <xf numFmtId="0" fontId="54" fillId="7" borderId="3" xfId="0" applyFont="1" applyFill="1" applyBorder="1" applyAlignment="1" applyProtection="1">
      <alignment horizontal="center" vertical="center"/>
    </xf>
    <xf numFmtId="0" fontId="53" fillId="7" borderId="2" xfId="0" applyFont="1" applyFill="1" applyBorder="1" applyAlignment="1" applyProtection="1">
      <alignment horizontal="center" vertical="center"/>
    </xf>
    <xf numFmtId="0" fontId="2" fillId="9" borderId="7" xfId="2" applyFont="1" applyFill="1" applyAlignment="1">
      <alignment horizontal="center" vertical="center" wrapText="1"/>
    </xf>
    <xf numFmtId="0" fontId="57" fillId="8" borderId="48" xfId="3" applyFont="1" applyFill="1" applyBorder="1" applyAlignment="1" applyProtection="1">
      <alignment horizontal="center" vertical="center" wrapText="1"/>
    </xf>
    <xf numFmtId="0" fontId="57" fillId="8" borderId="49" xfId="3" applyFont="1" applyFill="1" applyBorder="1" applyAlignment="1" applyProtection="1">
      <alignment horizontal="center" vertical="center" wrapText="1"/>
    </xf>
    <xf numFmtId="0" fontId="57" fillId="8" borderId="50" xfId="3" applyFont="1" applyFill="1" applyBorder="1" applyAlignment="1" applyProtection="1">
      <alignment horizontal="center" vertical="center" wrapText="1"/>
    </xf>
    <xf numFmtId="0" fontId="2" fillId="9" borderId="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7"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7" xfId="2" applyFont="1" applyFill="1" applyBorder="1" applyAlignment="1">
      <alignment horizontal="center" vertical="center" wrapText="1"/>
    </xf>
    <xf numFmtId="0" fontId="2" fillId="11" borderId="7" xfId="2" applyFont="1" applyFill="1" applyAlignment="1">
      <alignment horizontal="center" vertical="center" wrapText="1"/>
    </xf>
    <xf numFmtId="1" fontId="58" fillId="8" borderId="32" xfId="0" applyNumberFormat="1" applyFont="1" applyFill="1" applyBorder="1" applyAlignment="1" applyProtection="1">
      <alignment horizontal="left" vertical="center" wrapText="1"/>
    </xf>
    <xf numFmtId="1" fontId="58" fillId="8" borderId="33" xfId="0" applyNumberFormat="1" applyFont="1" applyFill="1" applyBorder="1" applyAlignment="1" applyProtection="1">
      <alignment horizontal="left" vertical="center" wrapText="1"/>
    </xf>
    <xf numFmtId="1" fontId="58" fillId="8" borderId="34" xfId="0" applyNumberFormat="1" applyFont="1" applyFill="1" applyBorder="1" applyAlignment="1" applyProtection="1">
      <alignment horizontal="left" vertical="center" wrapText="1"/>
    </xf>
    <xf numFmtId="10" fontId="21" fillId="5" borderId="2" xfId="0" applyNumberFormat="1" applyFont="1" applyFill="1" applyBorder="1" applyAlignment="1">
      <alignment horizontal="center" vertical="center" wrapText="1"/>
    </xf>
    <xf numFmtId="0" fontId="2" fillId="6" borderId="2" xfId="0" applyFont="1" applyFill="1" applyBorder="1" applyAlignment="1">
      <alignment vertical="center" wrapText="1"/>
    </xf>
    <xf numFmtId="0" fontId="2" fillId="0" borderId="6"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10" fillId="3" borderId="2" xfId="0" applyNumberFormat="1" applyFont="1" applyFill="1" applyBorder="1" applyAlignment="1">
      <alignment horizontal="center" vertical="center" wrapText="1"/>
    </xf>
    <xf numFmtId="10" fontId="21" fillId="6" borderId="2"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45" fillId="8" borderId="32" xfId="0" applyFont="1" applyFill="1" applyBorder="1" applyAlignment="1">
      <alignment horizontal="left" vertical="center" wrapText="1"/>
    </xf>
    <xf numFmtId="0" fontId="45" fillId="8" borderId="33" xfId="0" applyFont="1" applyFill="1" applyBorder="1" applyAlignment="1">
      <alignment horizontal="left" vertical="center" wrapText="1"/>
    </xf>
    <xf numFmtId="0" fontId="45" fillId="8" borderId="34" xfId="0" applyFont="1" applyFill="1" applyBorder="1" applyAlignment="1">
      <alignment horizontal="left" vertical="center" wrapText="1"/>
    </xf>
    <xf numFmtId="0" fontId="45" fillId="8" borderId="35" xfId="0" applyFont="1" applyFill="1" applyBorder="1" applyAlignment="1">
      <alignment horizontal="left" vertical="center" wrapText="1"/>
    </xf>
    <xf numFmtId="0" fontId="45" fillId="8" borderId="0"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5" fillId="8" borderId="37" xfId="0" applyFont="1" applyFill="1" applyBorder="1" applyAlignment="1">
      <alignment horizontal="left" vertical="center" wrapText="1"/>
    </xf>
    <xf numFmtId="0" fontId="45" fillId="8" borderId="38" xfId="0" applyFont="1" applyFill="1" applyBorder="1" applyAlignment="1">
      <alignment horizontal="left" vertical="center" wrapText="1"/>
    </xf>
    <xf numFmtId="0" fontId="45" fillId="8" borderId="39" xfId="0" applyFont="1" applyFill="1" applyBorder="1" applyAlignment="1">
      <alignment horizontal="left" vertical="center" wrapText="1"/>
    </xf>
    <xf numFmtId="10" fontId="7" fillId="0" borderId="2" xfId="0" applyNumberFormat="1" applyFont="1" applyFill="1" applyBorder="1" applyAlignment="1">
      <alignment vertical="center" wrapText="1"/>
    </xf>
    <xf numFmtId="10" fontId="7" fillId="0" borderId="1" xfId="0" applyNumberFormat="1" applyFont="1" applyFill="1" applyBorder="1" applyAlignment="1">
      <alignment vertical="center" wrapText="1"/>
    </xf>
    <xf numFmtId="10" fontId="7" fillId="0" borderId="10" xfId="0" applyNumberFormat="1" applyFont="1" applyFill="1" applyBorder="1" applyAlignment="1">
      <alignment vertical="center" wrapText="1"/>
    </xf>
    <xf numFmtId="10" fontId="7" fillId="0" borderId="3" xfId="0" applyNumberFormat="1" applyFont="1" applyFill="1" applyBorder="1" applyAlignment="1">
      <alignment vertical="center" wrapText="1"/>
    </xf>
    <xf numFmtId="10" fontId="21" fillId="3"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5" fillId="7" borderId="28" xfId="0" applyFont="1" applyFill="1" applyBorder="1" applyAlignment="1">
      <alignment horizontal="center" vertical="center" wrapText="1"/>
    </xf>
    <xf numFmtId="0" fontId="45" fillId="7" borderId="29" xfId="0" applyFont="1" applyFill="1" applyBorder="1" applyAlignment="1">
      <alignment horizontal="center" vertical="center" wrapText="1"/>
    </xf>
    <xf numFmtId="0" fontId="31" fillId="15" borderId="18" xfId="0" applyFont="1" applyFill="1" applyBorder="1" applyAlignment="1">
      <alignment horizontal="center" vertical="center" wrapText="1"/>
    </xf>
    <xf numFmtId="0" fontId="31" fillId="15"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1" fontId="11" fillId="8" borderId="40" xfId="0" applyNumberFormat="1" applyFont="1" applyFill="1" applyBorder="1" applyAlignment="1" applyProtection="1">
      <alignment horizontal="left"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371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0.96261682242990654</c:v>
                </c:pt>
                <c:pt idx="2">
                  <c:v>0.95575221238938046</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8.8495575221238937E-3</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3.7383177570093455E-2</c:v>
                </c:pt>
                <c:pt idx="2">
                  <c:v>3.5398230088495575E-2</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41168888"/>
        <c:axId val="441170456"/>
      </c:lineChart>
      <c:catAx>
        <c:axId val="441168888"/>
        <c:scaling>
          <c:orientation val="minMax"/>
        </c:scaling>
        <c:delete val="0"/>
        <c:axPos val="b"/>
        <c:numFmt formatCode="General" sourceLinked="0"/>
        <c:majorTickMark val="out"/>
        <c:minorTickMark val="none"/>
        <c:tickLblPos val="nextTo"/>
        <c:txPr>
          <a:bodyPr/>
          <a:lstStyle/>
          <a:p>
            <a:pPr>
              <a:defRPr lang="en-US"/>
            </a:pPr>
            <a:endParaRPr lang="en-US"/>
          </a:p>
        </c:txPr>
        <c:crossAx val="441170456"/>
        <c:crosses val="autoZero"/>
        <c:auto val="1"/>
        <c:lblAlgn val="ctr"/>
        <c:lblOffset val="100"/>
        <c:noMultiLvlLbl val="0"/>
      </c:catAx>
      <c:valAx>
        <c:axId val="4411704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1168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0.94000000000000006</c:v>
                </c:pt>
                <c:pt idx="1">
                  <c:v>0</c:v>
                </c:pt>
                <c:pt idx="2">
                  <c:v>0.06</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0.95575221238938046</c:v>
                </c:pt>
                <c:pt idx="1">
                  <c:v>8.8495575221238937E-3</c:v>
                </c:pt>
                <c:pt idx="2">
                  <c:v>3.5398230088495575E-2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0.94230769230769229</c:v>
                </c:pt>
                <c:pt idx="1">
                  <c:v>0</c:v>
                </c:pt>
                <c:pt idx="2">
                  <c:v>5.7692307692307696E-2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0.97959183673469385</c:v>
                </c:pt>
                <c:pt idx="1">
                  <c:v>2.0408163265306121E-2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0.94871794871794879</c:v>
                </c:pt>
                <c:pt idx="1">
                  <c:v>0.94000000000000006</c:v>
                </c:pt>
                <c:pt idx="2">
                  <c:v>0.94230769230769229</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5.128205128205128E-2</c:v>
                </c:pt>
                <c:pt idx="1">
                  <c:v>0.06</c:v>
                </c:pt>
                <c:pt idx="2">
                  <c:v>5.7692307692307696E-2</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1170064"/>
        <c:axId val="441169280"/>
      </c:lineChart>
      <c:catAx>
        <c:axId val="441170064"/>
        <c:scaling>
          <c:orientation val="minMax"/>
        </c:scaling>
        <c:delete val="0"/>
        <c:axPos val="b"/>
        <c:numFmt formatCode="General" sourceLinked="0"/>
        <c:majorTickMark val="out"/>
        <c:minorTickMark val="none"/>
        <c:tickLblPos val="nextTo"/>
        <c:txPr>
          <a:bodyPr/>
          <a:lstStyle/>
          <a:p>
            <a:pPr>
              <a:defRPr lang="en-US"/>
            </a:pPr>
            <a:endParaRPr lang="en-US"/>
          </a:p>
        </c:txPr>
        <c:crossAx val="441169280"/>
        <c:crosses val="autoZero"/>
        <c:auto val="1"/>
        <c:lblAlgn val="ctr"/>
        <c:lblOffset val="100"/>
        <c:noMultiLvlLbl val="0"/>
      </c:catAx>
      <c:valAx>
        <c:axId val="441169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11700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52745992"/>
        <c:axId val="452746776"/>
      </c:lineChart>
      <c:catAx>
        <c:axId val="452745992"/>
        <c:scaling>
          <c:orientation val="minMax"/>
        </c:scaling>
        <c:delete val="0"/>
        <c:axPos val="b"/>
        <c:majorTickMark val="out"/>
        <c:minorTickMark val="none"/>
        <c:tickLblPos val="nextTo"/>
        <c:txPr>
          <a:bodyPr/>
          <a:lstStyle/>
          <a:p>
            <a:pPr>
              <a:defRPr lang="en-US"/>
            </a:pPr>
            <a:endParaRPr lang="en-US"/>
          </a:p>
        </c:txPr>
        <c:crossAx val="452746776"/>
        <c:crosses val="autoZero"/>
        <c:auto val="1"/>
        <c:lblAlgn val="ctr"/>
        <c:lblOffset val="100"/>
        <c:noMultiLvlLbl val="0"/>
      </c:catAx>
      <c:valAx>
        <c:axId val="4527467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27459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0.94444444444444442</c:v>
                </c:pt>
                <c:pt idx="2">
                  <c:v>0.94736842105263164</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5.5555555555555552E-2</c:v>
                </c:pt>
                <c:pt idx="2">
                  <c:v>5.2631578947368418E-2</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52748344"/>
        <c:axId val="452747560"/>
      </c:lineChart>
      <c:catAx>
        <c:axId val="452748344"/>
        <c:scaling>
          <c:orientation val="minMax"/>
        </c:scaling>
        <c:delete val="0"/>
        <c:axPos val="b"/>
        <c:numFmt formatCode="General" sourceLinked="0"/>
        <c:majorTickMark val="out"/>
        <c:minorTickMark val="none"/>
        <c:tickLblPos val="nextTo"/>
        <c:txPr>
          <a:bodyPr/>
          <a:lstStyle/>
          <a:p>
            <a:pPr>
              <a:defRPr lang="en-US"/>
            </a:pPr>
            <a:endParaRPr lang="en-US"/>
          </a:p>
        </c:txPr>
        <c:crossAx val="452747560"/>
        <c:crosses val="autoZero"/>
        <c:auto val="1"/>
        <c:lblAlgn val="ctr"/>
        <c:lblOffset val="100"/>
        <c:noMultiLvlLbl val="0"/>
      </c:catAx>
      <c:valAx>
        <c:axId val="4527475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27483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0.9375</c:v>
                </c:pt>
                <c:pt idx="2">
                  <c:v>0.9375</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6.25E-2</c:v>
                </c:pt>
                <c:pt idx="2">
                  <c:v>6.25E-2</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52745600"/>
        <c:axId val="452750304"/>
      </c:lineChart>
      <c:catAx>
        <c:axId val="452745600"/>
        <c:scaling>
          <c:orientation val="minMax"/>
        </c:scaling>
        <c:delete val="0"/>
        <c:axPos val="b"/>
        <c:numFmt formatCode="General" sourceLinked="0"/>
        <c:majorTickMark val="out"/>
        <c:minorTickMark val="none"/>
        <c:tickLblPos val="nextTo"/>
        <c:txPr>
          <a:bodyPr/>
          <a:lstStyle/>
          <a:p>
            <a:pPr>
              <a:defRPr lang="en-US"/>
            </a:pPr>
            <a:endParaRPr lang="en-US"/>
          </a:p>
        </c:txPr>
        <c:crossAx val="452750304"/>
        <c:crosses val="autoZero"/>
        <c:auto val="1"/>
        <c:lblAlgn val="ctr"/>
        <c:lblOffset val="100"/>
        <c:noMultiLvlLbl val="0"/>
      </c:catAx>
      <c:valAx>
        <c:axId val="4527503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27456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0.91666666666666674</c:v>
                </c:pt>
                <c:pt idx="2">
                  <c:v>0.8666666666666667</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8.3333333333333329E-2</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52749128"/>
        <c:axId val="452750696"/>
      </c:lineChart>
      <c:catAx>
        <c:axId val="452749128"/>
        <c:scaling>
          <c:orientation val="minMax"/>
        </c:scaling>
        <c:delete val="0"/>
        <c:axPos val="b"/>
        <c:numFmt formatCode="General" sourceLinked="0"/>
        <c:majorTickMark val="out"/>
        <c:minorTickMark val="none"/>
        <c:tickLblPos val="nextTo"/>
        <c:txPr>
          <a:bodyPr/>
          <a:lstStyle/>
          <a:p>
            <a:pPr>
              <a:defRPr lang="en-US"/>
            </a:pPr>
            <a:endParaRPr lang="en-US"/>
          </a:p>
        </c:txPr>
        <c:crossAx val="452750696"/>
        <c:crosses val="autoZero"/>
        <c:auto val="1"/>
        <c:lblAlgn val="ctr"/>
        <c:lblOffset val="100"/>
        <c:noMultiLvlLbl val="0"/>
      </c:catAx>
      <c:valAx>
        <c:axId val="45275069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27491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65"/>
          <c:y val="2.7777777777793829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0.91666666666666663</c:v>
                </c:pt>
                <c:pt idx="1">
                  <c:v>0.91666666666666663</c:v>
                </c:pt>
                <c:pt idx="2">
                  <c:v>0.91666666666666674</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8.3333333333333329E-2</c:v>
                </c:pt>
                <c:pt idx="1">
                  <c:v>8.3333333333333329E-2</c:v>
                </c:pt>
                <c:pt idx="2">
                  <c:v>8.3333333333333329E-2</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41168496"/>
        <c:axId val="441170848"/>
      </c:lineChart>
      <c:catAx>
        <c:axId val="441168496"/>
        <c:scaling>
          <c:orientation val="minMax"/>
        </c:scaling>
        <c:delete val="0"/>
        <c:axPos val="b"/>
        <c:numFmt formatCode="General" sourceLinked="0"/>
        <c:majorTickMark val="out"/>
        <c:minorTickMark val="none"/>
        <c:tickLblPos val="nextTo"/>
        <c:txPr>
          <a:bodyPr/>
          <a:lstStyle/>
          <a:p>
            <a:pPr>
              <a:defRPr lang="en-US"/>
            </a:pPr>
            <a:endParaRPr lang="en-US"/>
          </a:p>
        </c:txPr>
        <c:crossAx val="441170848"/>
        <c:crosses val="autoZero"/>
        <c:auto val="1"/>
        <c:lblAlgn val="ctr"/>
        <c:lblOffset val="100"/>
        <c:noMultiLvlLbl val="0"/>
      </c:catAx>
      <c:valAx>
        <c:axId val="4411708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1168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0.94444444444444442</c:v>
                </c:pt>
                <c:pt idx="1">
                  <c:v>0</c:v>
                </c:pt>
                <c:pt idx="2">
                  <c:v>5.5555555555555552E-2</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0.94736842105263164</c:v>
                </c:pt>
                <c:pt idx="1">
                  <c:v>0</c:v>
                </c:pt>
                <c:pt idx="2">
                  <c:v>5.2631578947368418E-2</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0.8666666666666667</c:v>
                </c:pt>
                <c:pt idx="1">
                  <c:v>6.6666666666666666E-2</c:v>
                </c:pt>
                <c:pt idx="2">
                  <c:v>6.6666666666666666E-2</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1</c:v>
                </c:pt>
                <c:pt idx="1">
                  <c:v>1</c:v>
                </c:pt>
                <c:pt idx="2">
                  <c:v>0.97959183673469385</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2.0408163265306121E-2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41166536"/>
        <c:axId val="441171240"/>
      </c:lineChart>
      <c:catAx>
        <c:axId val="441166536"/>
        <c:scaling>
          <c:orientation val="minMax"/>
        </c:scaling>
        <c:delete val="0"/>
        <c:axPos val="b"/>
        <c:numFmt formatCode="General" sourceLinked="0"/>
        <c:majorTickMark val="out"/>
        <c:minorTickMark val="none"/>
        <c:tickLblPos val="nextTo"/>
        <c:txPr>
          <a:bodyPr/>
          <a:lstStyle/>
          <a:p>
            <a:pPr>
              <a:defRPr lang="en-US"/>
            </a:pPr>
            <a:endParaRPr lang="en-US"/>
          </a:p>
        </c:txPr>
        <c:crossAx val="441171240"/>
        <c:crosses val="autoZero"/>
        <c:auto val="1"/>
        <c:lblAlgn val="ctr"/>
        <c:lblOffset val="100"/>
        <c:noMultiLvlLbl val="0"/>
      </c:catAx>
      <c:valAx>
        <c:axId val="4411712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1166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53282784"/>
        <c:axId val="453285528"/>
      </c:lineChart>
      <c:catAx>
        <c:axId val="453282784"/>
        <c:scaling>
          <c:orientation val="minMax"/>
        </c:scaling>
        <c:delete val="0"/>
        <c:axPos val="b"/>
        <c:numFmt formatCode="General" sourceLinked="0"/>
        <c:majorTickMark val="out"/>
        <c:minorTickMark val="none"/>
        <c:tickLblPos val="nextTo"/>
        <c:txPr>
          <a:bodyPr/>
          <a:lstStyle/>
          <a:p>
            <a:pPr>
              <a:defRPr lang="en-US"/>
            </a:pPr>
            <a:endParaRPr lang="en-US"/>
          </a:p>
        </c:txPr>
        <c:crossAx val="453285528"/>
        <c:crosses val="autoZero"/>
        <c:auto val="1"/>
        <c:lblAlgn val="ctr"/>
        <c:lblOffset val="100"/>
        <c:noMultiLvlLbl val="0"/>
      </c:catAx>
      <c:valAx>
        <c:axId val="4532855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32827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55494032"/>
        <c:axId val="455494424"/>
      </c:lineChart>
      <c:catAx>
        <c:axId val="455494032"/>
        <c:scaling>
          <c:orientation val="minMax"/>
        </c:scaling>
        <c:delete val="0"/>
        <c:axPos val="b"/>
        <c:numFmt formatCode="General" sourceLinked="0"/>
        <c:majorTickMark val="out"/>
        <c:minorTickMark val="none"/>
        <c:tickLblPos val="nextTo"/>
        <c:txPr>
          <a:bodyPr/>
          <a:lstStyle/>
          <a:p>
            <a:pPr>
              <a:defRPr lang="en-US"/>
            </a:pPr>
            <a:endParaRPr lang="en-US"/>
          </a:p>
        </c:txPr>
        <c:crossAx val="455494424"/>
        <c:crosses val="autoZero"/>
        <c:auto val="1"/>
        <c:lblAlgn val="ctr"/>
        <c:lblOffset val="100"/>
        <c:noMultiLvlLbl val="0"/>
      </c:catAx>
      <c:valAx>
        <c:axId val="45549442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549403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0.92307692307692313</c:v>
                </c:pt>
                <c:pt idx="2">
                  <c:v>0.9285714285714286</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7.6923076923076927E-2</c:v>
                </c:pt>
                <c:pt idx="2">
                  <c:v>7.1428571428571425E-2</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55495992"/>
        <c:axId val="455491680"/>
      </c:lineChart>
      <c:catAx>
        <c:axId val="455495992"/>
        <c:scaling>
          <c:orientation val="minMax"/>
        </c:scaling>
        <c:delete val="0"/>
        <c:axPos val="b"/>
        <c:numFmt formatCode="General" sourceLinked="0"/>
        <c:majorTickMark val="out"/>
        <c:minorTickMark val="none"/>
        <c:tickLblPos val="nextTo"/>
        <c:txPr>
          <a:bodyPr/>
          <a:lstStyle/>
          <a:p>
            <a:pPr>
              <a:defRPr lang="en-US"/>
            </a:pPr>
            <a:endParaRPr lang="en-US"/>
          </a:p>
        </c:txPr>
        <c:crossAx val="455491680"/>
        <c:crosses val="autoZero"/>
        <c:auto val="1"/>
        <c:lblAlgn val="ctr"/>
        <c:lblOffset val="100"/>
        <c:noMultiLvlLbl val="0"/>
      </c:catAx>
      <c:valAx>
        <c:axId val="45549168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54959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0.96261682242990654</c:v>
                </c:pt>
                <c:pt idx="1">
                  <c:v>0</c:v>
                </c:pt>
                <c:pt idx="2">
                  <c:v>3.7383177570093455E-2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topLeftCell="A10" zoomScale="70" zoomScaleNormal="70" workbookViewId="0">
      <selection activeCell="A2" sqref="A2"/>
    </sheetView>
  </sheetViews>
  <sheetFormatPr defaultColWidth="9.140625" defaultRowHeight="12.75" x14ac:dyDescent="0.2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x14ac:dyDescent="0.3">
      <c r="A1" s="21" t="s">
        <v>430</v>
      </c>
      <c r="B1" s="21"/>
      <c r="C1" s="12"/>
      <c r="D1" s="12"/>
      <c r="E1" s="12"/>
      <c r="F1" s="12"/>
      <c r="G1" s="12"/>
      <c r="H1" s="12"/>
      <c r="I1" s="12"/>
    </row>
    <row r="2" spans="1:9" s="13" customFormat="1" ht="27" customHeight="1" thickTop="1" thickBot="1" x14ac:dyDescent="0.3">
      <c r="A2" s="19" t="s">
        <v>72</v>
      </c>
      <c r="B2" s="20"/>
      <c r="C2" s="17"/>
      <c r="D2" s="17"/>
      <c r="E2" s="17"/>
      <c r="F2" s="25" t="s">
        <v>50</v>
      </c>
      <c r="G2" s="18" t="s">
        <v>210</v>
      </c>
      <c r="H2" s="18" t="s">
        <v>211</v>
      </c>
      <c r="I2" s="18" t="s">
        <v>212</v>
      </c>
    </row>
    <row r="3" spans="1:9" s="13" customFormat="1" ht="27" customHeight="1" thickTop="1" thickBot="1" x14ac:dyDescent="0.3">
      <c r="A3" s="19" t="s">
        <v>78</v>
      </c>
      <c r="B3" s="20"/>
      <c r="C3" s="17"/>
      <c r="D3" s="17"/>
      <c r="E3" s="17"/>
      <c r="F3" s="25" t="s">
        <v>68</v>
      </c>
      <c r="G3" s="25" t="s">
        <v>69</v>
      </c>
      <c r="H3" s="25" t="s">
        <v>70</v>
      </c>
      <c r="I3" s="25" t="s">
        <v>71</v>
      </c>
    </row>
    <row r="4" spans="1:9" s="13" customFormat="1" ht="27" customHeight="1" thickTop="1" thickBot="1" x14ac:dyDescent="0.3">
      <c r="A4" s="19" t="s">
        <v>73</v>
      </c>
      <c r="B4" s="20"/>
      <c r="C4" s="20"/>
      <c r="D4" s="20"/>
      <c r="E4" s="20"/>
      <c r="F4" s="25" t="s">
        <v>51</v>
      </c>
      <c r="G4" s="20"/>
      <c r="H4" s="20"/>
      <c r="I4" s="18"/>
    </row>
    <row r="5" spans="1:9" ht="8.25" customHeight="1" thickTop="1" x14ac:dyDescent="0.25">
      <c r="B5" s="14"/>
      <c r="C5" s="14"/>
      <c r="D5" s="14"/>
      <c r="E5" s="14"/>
      <c r="F5" s="14"/>
      <c r="G5" s="14"/>
      <c r="H5" s="14"/>
    </row>
    <row r="6" spans="1:9" ht="8.25" customHeight="1" thickBot="1" x14ac:dyDescent="0.3">
      <c r="B6" s="14"/>
      <c r="C6" s="15"/>
      <c r="D6" s="15"/>
      <c r="E6" s="14"/>
      <c r="F6" s="14"/>
      <c r="G6" s="15"/>
      <c r="H6" s="15"/>
    </row>
    <row r="7" spans="1:9" s="38" customFormat="1" ht="55.5" thickTop="1" thickBot="1" x14ac:dyDescent="0.3">
      <c r="A7" s="36"/>
      <c r="B7" s="36"/>
      <c r="C7" s="39" t="s">
        <v>52</v>
      </c>
      <c r="D7" s="39" t="s">
        <v>58</v>
      </c>
      <c r="E7" s="37"/>
      <c r="F7" s="36"/>
      <c r="G7" s="40" t="s">
        <v>59</v>
      </c>
      <c r="H7" s="40" t="s">
        <v>60</v>
      </c>
    </row>
    <row r="8" spans="1:9" s="29" customFormat="1" ht="17.25" thickTop="1" thickBot="1" x14ac:dyDescent="0.3">
      <c r="A8" s="452" t="s">
        <v>61</v>
      </c>
      <c r="B8" s="455" t="s">
        <v>53</v>
      </c>
      <c r="C8" s="27" t="s">
        <v>54</v>
      </c>
      <c r="D8" s="27" t="s">
        <v>54</v>
      </c>
      <c r="E8" s="28"/>
      <c r="F8" s="449" t="s">
        <v>76</v>
      </c>
      <c r="G8" s="27" t="s">
        <v>216</v>
      </c>
      <c r="H8" s="27" t="s">
        <v>216</v>
      </c>
    </row>
    <row r="9" spans="1:9" s="29" customFormat="1" ht="17.25" thickTop="1" thickBot="1" x14ac:dyDescent="0.3">
      <c r="A9" s="453"/>
      <c r="B9" s="455"/>
      <c r="C9" s="27" t="s">
        <v>55</v>
      </c>
      <c r="D9" s="27" t="s">
        <v>55</v>
      </c>
      <c r="E9" s="28"/>
      <c r="F9" s="450"/>
      <c r="G9" s="27" t="s">
        <v>217</v>
      </c>
      <c r="H9" s="27" t="s">
        <v>217</v>
      </c>
    </row>
    <row r="10" spans="1:9" s="29" customFormat="1" ht="17.25" thickTop="1" thickBot="1" x14ac:dyDescent="0.3">
      <c r="A10" s="453"/>
      <c r="B10" s="455"/>
      <c r="C10" s="27" t="s">
        <v>56</v>
      </c>
      <c r="D10" s="27" t="s">
        <v>56</v>
      </c>
      <c r="E10" s="28"/>
      <c r="F10" s="450"/>
      <c r="G10" s="27" t="s">
        <v>218</v>
      </c>
      <c r="H10" s="27" t="s">
        <v>218</v>
      </c>
    </row>
    <row r="11" spans="1:9" s="29" customFormat="1" ht="17.25" thickTop="1" thickBot="1" x14ac:dyDescent="0.3">
      <c r="A11" s="453"/>
      <c r="B11" s="455"/>
      <c r="C11" s="27" t="s">
        <v>57</v>
      </c>
      <c r="D11" s="27" t="s">
        <v>57</v>
      </c>
      <c r="E11" s="28"/>
      <c r="F11" s="451"/>
      <c r="G11" s="27" t="s">
        <v>219</v>
      </c>
      <c r="H11" s="27" t="s">
        <v>219</v>
      </c>
    </row>
    <row r="12" spans="1:9" s="29" customFormat="1" ht="6" customHeight="1" thickTop="1" thickBot="1" x14ac:dyDescent="0.3">
      <c r="A12" s="453"/>
      <c r="B12" s="26"/>
      <c r="C12" s="26"/>
      <c r="D12" s="26"/>
      <c r="E12" s="28"/>
      <c r="F12" s="26"/>
      <c r="G12" s="32"/>
      <c r="H12" s="32"/>
    </row>
    <row r="13" spans="1:9" s="29" customFormat="1" ht="17.25" thickTop="1" thickBot="1" x14ac:dyDescent="0.3">
      <c r="A13" s="453"/>
      <c r="B13" s="455" t="s">
        <v>213</v>
      </c>
      <c r="C13" s="27" t="s">
        <v>54</v>
      </c>
      <c r="D13" s="27" t="s">
        <v>54</v>
      </c>
      <c r="E13" s="28"/>
      <c r="F13" s="449" t="s">
        <v>88</v>
      </c>
      <c r="G13" s="27" t="s">
        <v>216</v>
      </c>
      <c r="H13" s="27" t="s">
        <v>216</v>
      </c>
    </row>
    <row r="14" spans="1:9" s="29" customFormat="1" ht="17.25" thickTop="1" thickBot="1" x14ac:dyDescent="0.3">
      <c r="A14" s="453"/>
      <c r="B14" s="455"/>
      <c r="C14" s="27" t="s">
        <v>55</v>
      </c>
      <c r="D14" s="27" t="s">
        <v>55</v>
      </c>
      <c r="E14" s="28"/>
      <c r="F14" s="450"/>
      <c r="G14" s="27" t="s">
        <v>217</v>
      </c>
      <c r="H14" s="27" t="s">
        <v>217</v>
      </c>
    </row>
    <row r="15" spans="1:9" s="29" customFormat="1" ht="17.25" thickTop="1" thickBot="1" x14ac:dyDescent="0.3">
      <c r="A15" s="453"/>
      <c r="B15" s="455"/>
      <c r="C15" s="27" t="s">
        <v>56</v>
      </c>
      <c r="D15" s="27" t="s">
        <v>56</v>
      </c>
      <c r="E15" s="28"/>
      <c r="F15" s="450"/>
      <c r="G15" s="27" t="s">
        <v>218</v>
      </c>
      <c r="H15" s="27" t="s">
        <v>218</v>
      </c>
    </row>
    <row r="16" spans="1:9" s="29" customFormat="1" ht="17.25" thickTop="1" thickBot="1" x14ac:dyDescent="0.3">
      <c r="A16" s="453"/>
      <c r="B16" s="455"/>
      <c r="C16" s="27" t="s">
        <v>57</v>
      </c>
      <c r="D16" s="27" t="s">
        <v>57</v>
      </c>
      <c r="E16" s="28"/>
      <c r="F16" s="451"/>
      <c r="G16" s="27" t="s">
        <v>219</v>
      </c>
      <c r="H16" s="27" t="s">
        <v>219</v>
      </c>
    </row>
    <row r="17" spans="1:8" s="29" customFormat="1" ht="6" customHeight="1" thickTop="1" thickBot="1" x14ac:dyDescent="0.3">
      <c r="A17" s="453"/>
      <c r="B17" s="26"/>
      <c r="C17" s="26"/>
      <c r="D17" s="26"/>
      <c r="E17" s="28"/>
      <c r="F17" s="26"/>
      <c r="G17" s="26"/>
      <c r="H17" s="26"/>
    </row>
    <row r="18" spans="1:8" s="29" customFormat="1" ht="17.25" customHeight="1" thickTop="1" thickBot="1" x14ac:dyDescent="0.3">
      <c r="A18" s="453"/>
      <c r="B18" s="455" t="s">
        <v>214</v>
      </c>
      <c r="C18" s="27" t="s">
        <v>54</v>
      </c>
      <c r="D18" s="27" t="s">
        <v>54</v>
      </c>
      <c r="E18" s="28"/>
      <c r="F18" s="445" t="s">
        <v>267</v>
      </c>
      <c r="G18" s="27" t="s">
        <v>216</v>
      </c>
      <c r="H18" s="27" t="s">
        <v>216</v>
      </c>
    </row>
    <row r="19" spans="1:8" s="29" customFormat="1" ht="17.25" thickTop="1" thickBot="1" x14ac:dyDescent="0.3">
      <c r="A19" s="453"/>
      <c r="B19" s="455"/>
      <c r="C19" s="27" t="s">
        <v>55</v>
      </c>
      <c r="D19" s="27" t="s">
        <v>55</v>
      </c>
      <c r="E19" s="28"/>
      <c r="F19" s="445"/>
      <c r="G19" s="27" t="s">
        <v>217</v>
      </c>
      <c r="H19" s="27" t="s">
        <v>217</v>
      </c>
    </row>
    <row r="20" spans="1:8" s="29" customFormat="1" ht="17.25" thickTop="1" thickBot="1" x14ac:dyDescent="0.3">
      <c r="A20" s="453"/>
      <c r="B20" s="455"/>
      <c r="C20" s="27" t="s">
        <v>56</v>
      </c>
      <c r="D20" s="27" t="s">
        <v>56</v>
      </c>
      <c r="E20" s="28"/>
      <c r="F20" s="445"/>
      <c r="G20" s="27" t="s">
        <v>218</v>
      </c>
      <c r="H20" s="27" t="s">
        <v>218</v>
      </c>
    </row>
    <row r="21" spans="1:8" s="29" customFormat="1" ht="17.25" thickTop="1" thickBot="1" x14ac:dyDescent="0.3">
      <c r="A21" s="453"/>
      <c r="B21" s="455"/>
      <c r="C21" s="27" t="s">
        <v>57</v>
      </c>
      <c r="D21" s="27" t="s">
        <v>57</v>
      </c>
      <c r="E21" s="28"/>
      <c r="F21" s="445"/>
      <c r="G21" s="27" t="s">
        <v>219</v>
      </c>
      <c r="H21" s="27" t="s">
        <v>219</v>
      </c>
    </row>
    <row r="22" spans="1:8" s="29" customFormat="1" ht="6" customHeight="1" thickTop="1" thickBot="1" x14ac:dyDescent="0.3">
      <c r="A22" s="453"/>
      <c r="B22" s="26"/>
      <c r="C22" s="26"/>
      <c r="D22" s="26"/>
      <c r="E22" s="28"/>
      <c r="F22" s="26"/>
      <c r="G22" s="26"/>
      <c r="H22" s="26"/>
    </row>
    <row r="23" spans="1:8" s="29" customFormat="1" ht="17.25" customHeight="1" thickTop="1" thickBot="1" x14ac:dyDescent="0.3">
      <c r="A23" s="453"/>
      <c r="B23" s="455" t="s">
        <v>215</v>
      </c>
      <c r="C23" s="27" t="s">
        <v>54</v>
      </c>
      <c r="D23" s="27" t="s">
        <v>54</v>
      </c>
      <c r="E23" s="28"/>
      <c r="F23" s="445" t="s">
        <v>241</v>
      </c>
      <c r="G23" s="27" t="s">
        <v>216</v>
      </c>
      <c r="H23" s="27" t="s">
        <v>216</v>
      </c>
    </row>
    <row r="24" spans="1:8" s="29" customFormat="1" ht="17.25" thickTop="1" thickBot="1" x14ac:dyDescent="0.3">
      <c r="A24" s="453"/>
      <c r="B24" s="455"/>
      <c r="C24" s="27" t="s">
        <v>55</v>
      </c>
      <c r="D24" s="27" t="s">
        <v>55</v>
      </c>
      <c r="E24" s="28"/>
      <c r="F24" s="445"/>
      <c r="G24" s="27" t="s">
        <v>217</v>
      </c>
      <c r="H24" s="27" t="s">
        <v>217</v>
      </c>
    </row>
    <row r="25" spans="1:8" s="29" customFormat="1" ht="17.25" thickTop="1" thickBot="1" x14ac:dyDescent="0.3">
      <c r="A25" s="453"/>
      <c r="B25" s="455"/>
      <c r="C25" s="27" t="s">
        <v>56</v>
      </c>
      <c r="D25" s="27" t="s">
        <v>56</v>
      </c>
      <c r="E25" s="28"/>
      <c r="F25" s="445"/>
      <c r="G25" s="27" t="s">
        <v>218</v>
      </c>
      <c r="H25" s="27" t="s">
        <v>218</v>
      </c>
    </row>
    <row r="26" spans="1:8" s="29" customFormat="1" ht="17.25" thickTop="1" thickBot="1" x14ac:dyDescent="0.3">
      <c r="A26" s="454"/>
      <c r="B26" s="455"/>
      <c r="C26" s="27" t="s">
        <v>57</v>
      </c>
      <c r="D26" s="27" t="s">
        <v>57</v>
      </c>
      <c r="E26" s="28"/>
      <c r="F26" s="445"/>
      <c r="G26" s="27" t="s">
        <v>219</v>
      </c>
      <c r="H26" s="27" t="s">
        <v>219</v>
      </c>
    </row>
    <row r="27" spans="1:8" ht="6" customHeight="1" thickTop="1" thickBot="1" x14ac:dyDescent="0.3">
      <c r="A27" s="14"/>
      <c r="B27" s="14"/>
      <c r="C27" s="14"/>
      <c r="D27" s="14"/>
      <c r="E27" s="14"/>
      <c r="F27" s="26"/>
      <c r="G27" s="26"/>
      <c r="H27" s="26"/>
    </row>
    <row r="28" spans="1:8" ht="17.25" thickTop="1" thickBot="1" x14ac:dyDescent="0.3">
      <c r="F28" s="445" t="s">
        <v>242</v>
      </c>
      <c r="G28" s="27" t="s">
        <v>216</v>
      </c>
      <c r="H28" s="27" t="s">
        <v>216</v>
      </c>
    </row>
    <row r="29" spans="1:8" ht="17.25" thickTop="1" thickBot="1" x14ac:dyDescent="0.3">
      <c r="F29" s="445"/>
      <c r="G29" s="27" t="s">
        <v>217</v>
      </c>
      <c r="H29" s="27" t="s">
        <v>217</v>
      </c>
    </row>
    <row r="30" spans="1:8" ht="17.25" customHeight="1" thickTop="1" thickBot="1" x14ac:dyDescent="0.3">
      <c r="A30" s="446" t="s">
        <v>231</v>
      </c>
      <c r="F30" s="445"/>
      <c r="G30" s="27" t="s">
        <v>218</v>
      </c>
      <c r="H30" s="27" t="s">
        <v>218</v>
      </c>
    </row>
    <row r="31" spans="1:8" ht="19.5" customHeight="1" thickTop="1" thickBot="1" x14ac:dyDescent="0.3">
      <c r="A31" s="447"/>
      <c r="F31" s="445"/>
      <c r="G31" s="27" t="s">
        <v>219</v>
      </c>
      <c r="H31" s="27" t="s">
        <v>219</v>
      </c>
    </row>
    <row r="32" spans="1:8" ht="6" customHeight="1" thickTop="1" thickBot="1" x14ac:dyDescent="0.3">
      <c r="A32" s="447"/>
      <c r="F32" s="26"/>
      <c r="G32" s="26"/>
      <c r="H32" s="26"/>
    </row>
    <row r="33" spans="1:8" ht="19.5" customHeight="1" thickTop="1" thickBot="1" x14ac:dyDescent="0.3">
      <c r="A33" s="447"/>
      <c r="F33" s="445" t="s">
        <v>38</v>
      </c>
      <c r="G33" s="27" t="s">
        <v>216</v>
      </c>
      <c r="H33" s="27" t="s">
        <v>216</v>
      </c>
    </row>
    <row r="34" spans="1:8" ht="19.5" customHeight="1" thickTop="1" thickBot="1" x14ac:dyDescent="0.3">
      <c r="A34" s="447"/>
      <c r="F34" s="445"/>
      <c r="G34" s="27" t="s">
        <v>217</v>
      </c>
      <c r="H34" s="27" t="s">
        <v>217</v>
      </c>
    </row>
    <row r="35" spans="1:8" ht="19.5" customHeight="1" thickTop="1" thickBot="1" x14ac:dyDescent="0.3">
      <c r="A35" s="448"/>
      <c r="F35" s="445"/>
      <c r="G35" s="27" t="s">
        <v>218</v>
      </c>
      <c r="H35" s="27" t="s">
        <v>218</v>
      </c>
    </row>
    <row r="36" spans="1:8" ht="16.5" thickBot="1" x14ac:dyDescent="0.3">
      <c r="F36" s="445"/>
      <c r="G36" s="27" t="s">
        <v>219</v>
      </c>
      <c r="H36" s="27" t="s">
        <v>219</v>
      </c>
    </row>
    <row r="37" spans="1:8" ht="6" customHeight="1" thickTop="1" thickBot="1" x14ac:dyDescent="0.3">
      <c r="F37" s="26"/>
      <c r="G37" s="26"/>
      <c r="H37" s="26"/>
    </row>
    <row r="38" spans="1:8" ht="16.5" customHeight="1" thickTop="1" thickBot="1" x14ac:dyDescent="0.3">
      <c r="F38" s="445" t="s">
        <v>268</v>
      </c>
      <c r="G38" s="27" t="s">
        <v>216</v>
      </c>
      <c r="H38" s="27" t="s">
        <v>216</v>
      </c>
    </row>
    <row r="39" spans="1:8" ht="17.25" thickTop="1" thickBot="1" x14ac:dyDescent="0.3">
      <c r="F39" s="445"/>
      <c r="G39" s="27" t="s">
        <v>217</v>
      </c>
      <c r="H39" s="27" t="s">
        <v>217</v>
      </c>
    </row>
    <row r="40" spans="1:8" ht="17.25" thickTop="1" thickBot="1" x14ac:dyDescent="0.3">
      <c r="F40" s="445"/>
      <c r="G40" s="27" t="s">
        <v>218</v>
      </c>
      <c r="H40" s="27" t="s">
        <v>218</v>
      </c>
    </row>
    <row r="41" spans="1:8" ht="17.25" thickTop="1" thickBot="1" x14ac:dyDescent="0.3">
      <c r="F41" s="445"/>
      <c r="G41" s="27" t="s">
        <v>219</v>
      </c>
      <c r="H41" s="27" t="s">
        <v>219</v>
      </c>
    </row>
    <row r="42" spans="1:8" ht="13.5" customHeight="1" thickTop="1" x14ac:dyDescent="0.25"/>
    <row r="43" spans="1:8" ht="12.75" customHeight="1" x14ac:dyDescent="0.25"/>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election activeCell="H17" sqref="B2:H17"/>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3" t="s">
        <v>433</v>
      </c>
      <c r="C2" s="485" t="s">
        <v>19</v>
      </c>
      <c r="D2" s="486"/>
      <c r="E2" s="487" t="s">
        <v>20</v>
      </c>
      <c r="F2" s="488"/>
      <c r="G2" s="489" t="s">
        <v>21</v>
      </c>
      <c r="H2" s="490"/>
    </row>
    <row r="3" spans="1:40" ht="50.25" customHeight="1" thickTop="1" thickBot="1" x14ac:dyDescent="0.3">
      <c r="B3" s="484"/>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PRIORITY'!Q6+'3. % BY PRIORITY'!Q7</f>
        <v>108</v>
      </c>
      <c r="D5" s="164">
        <f>'3. % BY PRIORITY'!U6</f>
        <v>0.95575221238938046</v>
      </c>
      <c r="E5" s="125">
        <f>'3. % BY PRIORITY'!Q9</f>
        <v>1</v>
      </c>
      <c r="F5" s="121">
        <f>'3. % BY PRIORITY'!U9</f>
        <v>8.8495575221238937E-3</v>
      </c>
      <c r="G5" s="126">
        <f>'3. % BY PRIORITY'!Q13+'3. % BY PRIORITY'!Q14</f>
        <v>4</v>
      </c>
      <c r="H5" s="123">
        <f>'3. % BY PRIORITY'!U13</f>
        <v>3.5398230088495575E-2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191</v>
      </c>
      <c r="C7" s="124">
        <f>'3. % BY PRIORITY'!Q28+'3. % BY PRIORITY'!Q29</f>
        <v>49</v>
      </c>
      <c r="D7" s="164">
        <f>'3. % BY PRIORITY'!U28</f>
        <v>0.94230769230769229</v>
      </c>
      <c r="E7" s="127">
        <f>'3. % BY PRIORITY'!Q31</f>
        <v>0</v>
      </c>
      <c r="F7" s="121">
        <f>'3. % BY PRIORITY'!U31</f>
        <v>0</v>
      </c>
      <c r="G7" s="126">
        <f>'3. % BY PRIORITY'!Q35+'3. % BY PRIORITY'!Q36</f>
        <v>3</v>
      </c>
      <c r="H7" s="123">
        <f>'3. % BY PRIORITY'!U35</f>
        <v>5.7692307692307696E-2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192</v>
      </c>
      <c r="C8" s="124">
        <f>'3. % BY PRIORITY'!Q50+'3. % BY PRIORITY'!Q51</f>
        <v>11</v>
      </c>
      <c r="D8" s="164">
        <f>'3. % BY PRIORITY'!U50</f>
        <v>0.91666666666666674</v>
      </c>
      <c r="E8" s="127">
        <f>'3. % BY PRIORITY'!Q53</f>
        <v>0</v>
      </c>
      <c r="F8" s="121">
        <f>'3. % BY PRIORITY'!U53</f>
        <v>0</v>
      </c>
      <c r="G8" s="126">
        <f>'3. % BY PRIORITY'!Q57+'3. % BY PRIORITY'!Q58</f>
        <v>1</v>
      </c>
      <c r="H8" s="123">
        <f>'3. % BY PRIORITY'!U57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193</v>
      </c>
      <c r="C9" s="124">
        <f>'3. % BY PRIORITY'!Q72+'3. % BY PRIORITY'!Q73</f>
        <v>48</v>
      </c>
      <c r="D9" s="164">
        <f>'3. % BY PRIORITY'!U72</f>
        <v>0.97959183673469385</v>
      </c>
      <c r="E9" s="127">
        <f>'3. % BY PRIORITY'!Q75</f>
        <v>1</v>
      </c>
      <c r="F9" s="121">
        <f>'3. % BY PRIORITY'!U75</f>
        <v>2.0408163265306121E-2</v>
      </c>
      <c r="G9" s="126">
        <f>'3. % BY PRIORITY'!Q79+'3. % BY PRIORITY'!Q80</f>
        <v>0</v>
      </c>
      <c r="H9" s="123">
        <f>'3. % BY PRIORITY'!U79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PORTFOLIO'!Q6+'5. % BY PORTFOLIO'!Q7</f>
        <v>16</v>
      </c>
      <c r="D11" s="164">
        <f>'5. % BY PORTFOLIO'!U6</f>
        <v>1</v>
      </c>
      <c r="E11" s="127">
        <f>'5. % BY PORTFOLIO'!Q9</f>
        <v>0</v>
      </c>
      <c r="F11" s="121">
        <f>'5. % BY PORTFOLIO'!U9</f>
        <v>0</v>
      </c>
      <c r="G11" s="126">
        <f>'5. % BY PORTFOLIO'!Q13+'5. % BY PORTFOLIO'!Q14</f>
        <v>0</v>
      </c>
      <c r="H11" s="123">
        <f>'5. % BY PORTFOLIO'!U13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PORTFOLIO'!Q29+'5. % BY PORTFOLIO'!Q30</f>
        <v>18</v>
      </c>
      <c r="D12" s="164">
        <f>'5. % BY PORTFOLIO'!U29</f>
        <v>0.94736842105263164</v>
      </c>
      <c r="E12" s="128">
        <f>'5. % BY PORTFOLIO'!Q32</f>
        <v>0</v>
      </c>
      <c r="F12" s="121">
        <f>'5. % BY PORTFOLIO'!U32</f>
        <v>0</v>
      </c>
      <c r="G12" s="126">
        <f>'5. % BY PORTFOLIO'!Q36+'5. % BY PORTFOLIO'!Q37</f>
        <v>1</v>
      </c>
      <c r="H12" s="123">
        <f>'5. % BY PORTFOLIO'!U36</f>
        <v>5.2631578947368418E-2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270</v>
      </c>
      <c r="C13" s="124">
        <f>'5. % BY PORTFOLIO'!Q51+'5. % BY PORTFOLIO'!Q52</f>
        <v>15</v>
      </c>
      <c r="D13" s="164">
        <f>'5. % BY PORTFOLIO'!U51</f>
        <v>0.9375</v>
      </c>
      <c r="E13" s="128">
        <f>'5. % BY PORTFOLIO'!Q54</f>
        <v>0</v>
      </c>
      <c r="F13" s="121">
        <f>'5. % BY PORTFOLIO'!U54</f>
        <v>0</v>
      </c>
      <c r="G13" s="126">
        <f>'5. % BY PORTFOLIO'!Q58+'5. % BY PORTFOLIO'!Q59</f>
        <v>1</v>
      </c>
      <c r="H13" s="123">
        <f>'5. % BY PORTFOLIO'!U58</f>
        <v>6.25E-2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PORTFOLIO'!Q73+'5. % BY PORTFOLIO'!Q74</f>
        <v>13</v>
      </c>
      <c r="D14" s="164">
        <f>'5. % BY PORTFOLIO'!U73</f>
        <v>0.8666666666666667</v>
      </c>
      <c r="E14" s="128">
        <f>'5. % BY PORTFOLIO'!Q76</f>
        <v>1</v>
      </c>
      <c r="F14" s="121">
        <f>'5. % BY PORTFOLIO'!U76</f>
        <v>6.6666666666666666E-2</v>
      </c>
      <c r="G14" s="126">
        <f>'5. % BY PORTFOLIO'!Q80+'5. % BY PORTFOLIO'!Q81</f>
        <v>1</v>
      </c>
      <c r="H14" s="123">
        <f>'5. % BY PORTFOLIO'!U80</f>
        <v>6.6666666666666666E-2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PORTFOLIO'!Q95+'5. % BY PORTFOLIO'!Q96</f>
        <v>20</v>
      </c>
      <c r="D15" s="164">
        <f>'5. % BY PORTFOLIO'!U95</f>
        <v>1</v>
      </c>
      <c r="E15" s="128">
        <f>'5. % BY PORTFOLIO'!Q98</f>
        <v>0</v>
      </c>
      <c r="F15" s="121">
        <f>'5. % BY PORTFOLIO'!U98</f>
        <v>0</v>
      </c>
      <c r="G15" s="126">
        <f>'5. % BY PORTFOLIO'!Q102+'5. % BY PORTFOLIO'!Q103</f>
        <v>0</v>
      </c>
      <c r="H15" s="123">
        <f>'5. % BY PORTFOLIO'!U102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PORTFOLIO'!Q117+'5. % BY PORTFOLIO'!Q118</f>
        <v>13</v>
      </c>
      <c r="D16" s="164">
        <f>'5. % BY PORTFOLIO'!U117</f>
        <v>1</v>
      </c>
      <c r="E16" s="128">
        <f>'5. % BY PORTFOLIO'!Q120</f>
        <v>0</v>
      </c>
      <c r="F16" s="121">
        <f>'5. % BY PORTFOLIO'!U120</f>
        <v>0</v>
      </c>
      <c r="G16" s="126">
        <f>'5. % BY PORTFOLIO'!Q124+'5. % BY PORTFOLIO'!Q125</f>
        <v>0</v>
      </c>
      <c r="H16" s="123">
        <f>'5. % BY PORTFOLIO'!U124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269</v>
      </c>
      <c r="C17" s="124">
        <f>'5. % BY PORTFOLIO'!Q139+'5. % BY PORTFOLIO'!Q140</f>
        <v>13</v>
      </c>
      <c r="D17" s="164">
        <f>'5. % BY PORTFOLIO'!U139</f>
        <v>0.9285714285714286</v>
      </c>
      <c r="E17" s="128">
        <f>'5. % BY PORTFOLIO'!Q142</f>
        <v>0</v>
      </c>
      <c r="F17" s="121">
        <f>'5. % BY PORTFOLIO'!U142</f>
        <v>0</v>
      </c>
      <c r="G17" s="126">
        <f>'5. % BY PORTFOLIO'!Q146+'5. % BY PORTFOLIO'!Q147</f>
        <v>1</v>
      </c>
      <c r="H17" s="123">
        <f>'5. % BY PORTFOLIO'!U146</f>
        <v>7.1428571428571425E-2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3" t="s">
        <v>434</v>
      </c>
      <c r="C2" s="485" t="s">
        <v>19</v>
      </c>
      <c r="D2" s="486"/>
      <c r="E2" s="487" t="s">
        <v>20</v>
      </c>
      <c r="F2" s="488"/>
      <c r="G2" s="489" t="s">
        <v>21</v>
      </c>
      <c r="H2" s="490"/>
    </row>
    <row r="3" spans="1:40" ht="50.25" customHeight="1" thickTop="1" thickBot="1" x14ac:dyDescent="0.3">
      <c r="B3" s="484"/>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PRIORITY'!X6+'3. % BY PRIORITY'!X7</f>
        <v>0</v>
      </c>
      <c r="D5" s="164" t="e">
        <f>'3. % BY PRIORITY'!AB6</f>
        <v>#DIV/0!</v>
      </c>
      <c r="E5" s="125">
        <f>'3. % BY PRIORITY'!X9+'3. % BY PRIORITY'!X10+'3. % BY PRIORITY'!X11</f>
        <v>0</v>
      </c>
      <c r="F5" s="121" t="e">
        <f>'3. % BY PRIORITY'!AB9</f>
        <v>#DIV/0!</v>
      </c>
      <c r="G5" s="126">
        <f>'3. % BY PRIORITY'!X13+'3. % BY PRIORITY'!X14</f>
        <v>0</v>
      </c>
      <c r="H5" s="123" t="e">
        <f>'3. % BY PRIORITY'!AB13</f>
        <v>#DIV/0!</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191</v>
      </c>
      <c r="C7" s="124">
        <f>'3. % BY PRIORITY'!X28+'3. % BY PRIORITY'!X29</f>
        <v>0</v>
      </c>
      <c r="D7" s="164" t="e">
        <f>'3. % BY PRIORITY'!AB28</f>
        <v>#DIV/0!</v>
      </c>
      <c r="E7" s="127">
        <f>'3. % BY PRIORITY'!X31+'3. % BY PRIORITY'!X32+'3. % BY PRIORITY'!X33</f>
        <v>0</v>
      </c>
      <c r="F7" s="121" t="e">
        <f>'3. % BY PRIORITY'!AB31</f>
        <v>#DIV/0!</v>
      </c>
      <c r="G7" s="126">
        <f>'3. % BY PRIORITY'!X35+'3. % BY PRIORITY'!X36</f>
        <v>0</v>
      </c>
      <c r="H7" s="123" t="e">
        <f>'3. % BY PRIORITY'!AB35</f>
        <v>#DIV/0!</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192</v>
      </c>
      <c r="C8" s="124">
        <f>'3. % BY PRIORITY'!X50+'3. % BY PRIORITY'!X51</f>
        <v>0</v>
      </c>
      <c r="D8" s="164" t="e">
        <f>'3. % BY PRIORITY'!AB50</f>
        <v>#DIV/0!</v>
      </c>
      <c r="E8" s="127">
        <f>'3. % BY PRIORITY'!X53+'3. % BY PRIORITY'!X54+'3. % BY PRIORITY'!X55</f>
        <v>0</v>
      </c>
      <c r="F8" s="121" t="e">
        <f>'3. % BY PRIORITY'!AB53</f>
        <v>#DIV/0!</v>
      </c>
      <c r="G8" s="126">
        <f>'3. % BY PRIORITY'!X57+'3. % BY PRIORITY'!X58</f>
        <v>0</v>
      </c>
      <c r="H8" s="123" t="e">
        <f>'3. % BY PRIORITY'!AB57</f>
        <v>#DIV/0!</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193</v>
      </c>
      <c r="C9" s="124">
        <f>'3. % BY PRIORITY'!X72+'3. % BY PRIORITY'!X73</f>
        <v>0</v>
      </c>
      <c r="D9" s="164" t="e">
        <f>'3. % BY PRIORITY'!AB72</f>
        <v>#DIV/0!</v>
      </c>
      <c r="E9" s="127">
        <f>'3. % BY PRIORITY'!X75+'3. % BY PRIORITY'!X76+'3. % BY PRIORITY'!X77</f>
        <v>0</v>
      </c>
      <c r="F9" s="121" t="e">
        <f>'3. % BY PRIORITY'!AB75</f>
        <v>#DIV/0!</v>
      </c>
      <c r="G9" s="126">
        <f>'3. % BY PRIORITY'!X79+'3. % BY PRIORITY'!X80</f>
        <v>0</v>
      </c>
      <c r="H9" s="123" t="e">
        <f>'3. % BY PRIORITY'!AB79</f>
        <v>#DIV/0!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PORTFOLIO'!X6+'5. % BY PORTFOLIO'!X7</f>
        <v>0</v>
      </c>
      <c r="D11" s="164" t="e">
        <f>'5. % BY PORTFOLIO'!AB6</f>
        <v>#DIV/0!</v>
      </c>
      <c r="E11" s="127">
        <f>'5. % BY PORTFOLIO'!X9+'5. % BY PORTFOLIO'!X10+'5. % BY PORTFOLIO'!X11</f>
        <v>0</v>
      </c>
      <c r="F11" s="121" t="e">
        <f>'5. % BY PORTFOLIO'!AB9</f>
        <v>#DIV/0!</v>
      </c>
      <c r="G11" s="126">
        <f>'5. % BY PORTFOLIO'!X13+'5. % BY PORTFOLIO'!X14</f>
        <v>0</v>
      </c>
      <c r="H11" s="123" t="e">
        <f>'5. % BY PORTFOLIO'!AB13</f>
        <v>#DIV/0!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PORTFOLIO'!X29+'5. % BY PORTFOLIO'!X30</f>
        <v>0</v>
      </c>
      <c r="D12" s="164" t="e">
        <f>'5. % BY PORTFOLIO'!AB29</f>
        <v>#DIV/0!</v>
      </c>
      <c r="E12" s="128">
        <f>'5. % BY PORTFOLIO'!X32+'5. % BY PORTFOLIO'!X33+'5. % BY PORTFOLIO'!X34</f>
        <v>0</v>
      </c>
      <c r="F12" s="121" t="e">
        <f>'5. % BY PORTFOLIO'!AB32</f>
        <v>#DIV/0!</v>
      </c>
      <c r="G12" s="126">
        <f>'5. % BY PORTFOLIO'!X36+'5. % BY PORTFOLIO'!X37</f>
        <v>0</v>
      </c>
      <c r="H12" s="123" t="e">
        <f>'5. % BY PORTFOLIO'!AB36</f>
        <v>#DIV/0!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270</v>
      </c>
      <c r="C13" s="124">
        <f>'5. % BY PORTFOLIO'!X51+'5. % BY PORTFOLIO'!X52</f>
        <v>0</v>
      </c>
      <c r="D13" s="164" t="e">
        <f>'5. % BY PORTFOLIO'!AB51</f>
        <v>#DIV/0!</v>
      </c>
      <c r="E13" s="128">
        <f>'5. % BY PORTFOLIO'!X54+'5. % BY PORTFOLIO'!X55+'5. % BY PORTFOLIO'!X56</f>
        <v>0</v>
      </c>
      <c r="F13" s="121" t="e">
        <f>'5. % BY PORTFOLIO'!AB54</f>
        <v>#DIV/0!</v>
      </c>
      <c r="G13" s="126">
        <f>'5. % BY PORTFOLIO'!X58+'5. % BY PORTFOLIO'!X59</f>
        <v>0</v>
      </c>
      <c r="H13" s="123" t="e">
        <f>'5. % BY PORTFOLIO'!AB58</f>
        <v>#DIV/0!</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PORTFOLIO'!X73+'5. % BY PORTFOLIO'!X74</f>
        <v>0</v>
      </c>
      <c r="D14" s="164" t="e">
        <f>'5. % BY PORTFOLIO'!AB73</f>
        <v>#DIV/0!</v>
      </c>
      <c r="E14" s="128">
        <f>'5. % BY PORTFOLIO'!X76+'5. % BY PORTFOLIO'!X77+'5. % BY PORTFOLIO'!X78</f>
        <v>0</v>
      </c>
      <c r="F14" s="121" t="e">
        <f>'5. % BY PORTFOLIO'!AB76</f>
        <v>#DIV/0!</v>
      </c>
      <c r="G14" s="126">
        <f>'5. % BY PORTFOLIO'!X80+'5. % BY PORTFOLIO'!X81</f>
        <v>0</v>
      </c>
      <c r="H14" s="123" t="e">
        <f>'5. % BY PORTFOLIO'!AB80</f>
        <v>#DIV/0!</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PORTFOLIO'!X95+'5. % BY PORTFOLIO'!X96</f>
        <v>0</v>
      </c>
      <c r="D15" s="164" t="e">
        <f>'5. % BY PORTFOLIO'!AB95</f>
        <v>#DIV/0!</v>
      </c>
      <c r="E15" s="128">
        <f>'5. % BY PORTFOLIO'!X98+'5. % BY PORTFOLIO'!X99+'5. % BY PORTFOLIO'!X100</f>
        <v>0</v>
      </c>
      <c r="F15" s="121" t="e">
        <f>'5. % BY PORTFOLIO'!AB98</f>
        <v>#DIV/0!</v>
      </c>
      <c r="G15" s="126">
        <f>'5. % BY PORTFOLIO'!X102+'5. % BY PORTFOLIO'!X103</f>
        <v>0</v>
      </c>
      <c r="H15" s="123" t="e">
        <f>'5. % BY PORTFOLIO'!AB102</f>
        <v>#DIV/0!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PORTFOLIO'!X117+'5. % BY PORTFOLIO'!X118</f>
        <v>0</v>
      </c>
      <c r="D16" s="164" t="e">
        <f>'5. % BY PORTFOLIO'!AB117</f>
        <v>#DIV/0!</v>
      </c>
      <c r="E16" s="128">
        <f>'5. % BY PORTFOLIO'!X120+'5. % BY PORTFOLIO'!X121+'5. % BY PORTFOLIO'!X122</f>
        <v>0</v>
      </c>
      <c r="F16" s="121" t="e">
        <f>'5. % BY PORTFOLIO'!AB120</f>
        <v>#DIV/0!</v>
      </c>
      <c r="G16" s="126">
        <f>'5. % BY PORTFOLIO'!X124+'5. % BY PORTFOLIO'!X125</f>
        <v>0</v>
      </c>
      <c r="H16" s="123" t="e">
        <f>'5. % BY PORTFOLIO'!AB124</f>
        <v>#DIV/0!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269</v>
      </c>
      <c r="C17" s="124">
        <f>'5. % BY PORTFOLIO'!X139+'5. % BY PORTFOLIO'!X140</f>
        <v>0</v>
      </c>
      <c r="D17" s="164" t="e">
        <f>'5. % BY PORTFOLIO'!AB139</f>
        <v>#DIV/0!</v>
      </c>
      <c r="E17" s="128">
        <f>'5. % BY PORTFOLIO'!X142+'5. % BY PORTFOLIO'!X143+'5. % BY PORTFOLIO'!X144</f>
        <v>0</v>
      </c>
      <c r="F17" s="121" t="e">
        <f>'5. % BY PORTFOLIO'!AB142</f>
        <v>#DIV/0!</v>
      </c>
      <c r="G17" s="126">
        <f>'5. % BY PORTFOLIO'!X146+'5. % BY PORTFOLIO'!X147</f>
        <v>0</v>
      </c>
      <c r="H17" s="123" t="e">
        <f>'5. % BY PORTFOLIO'!AB146</f>
        <v>#DIV/0!</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x14ac:dyDescent="0.2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x14ac:dyDescent="0.3">
      <c r="A1" s="325" t="s">
        <v>62</v>
      </c>
    </row>
    <row r="2" spans="1:7" ht="24" customHeight="1" x14ac:dyDescent="0.25">
      <c r="A2" s="491" t="s">
        <v>230</v>
      </c>
      <c r="B2" s="492"/>
      <c r="C2" s="492"/>
      <c r="D2" s="492"/>
      <c r="E2" s="492"/>
      <c r="F2" s="492"/>
      <c r="G2" s="493"/>
    </row>
    <row r="3" spans="1:7" ht="24" customHeight="1" x14ac:dyDescent="0.25">
      <c r="A3" s="494"/>
      <c r="B3" s="495"/>
      <c r="C3" s="495"/>
      <c r="D3" s="495"/>
      <c r="E3" s="495"/>
      <c r="F3" s="495"/>
      <c r="G3" s="496"/>
    </row>
    <row r="4" spans="1:7" ht="24" customHeight="1" thickBot="1" x14ac:dyDescent="0.3">
      <c r="A4" s="497"/>
      <c r="B4" s="498"/>
      <c r="C4" s="498"/>
      <c r="D4" s="498"/>
      <c r="E4" s="498"/>
      <c r="F4" s="498"/>
      <c r="G4" s="499"/>
    </row>
    <row r="5" spans="1:7" x14ac:dyDescent="0.25">
      <c r="A5" s="225" t="s">
        <v>422</v>
      </c>
      <c r="B5" t="s">
        <v>271</v>
      </c>
    </row>
    <row r="7" spans="1:7" x14ac:dyDescent="0.25">
      <c r="A7" s="225" t="s">
        <v>229</v>
      </c>
      <c r="B7" t="s">
        <v>272</v>
      </c>
    </row>
    <row r="8" spans="1:7" x14ac:dyDescent="0.25">
      <c r="A8" s="227" t="s">
        <v>192</v>
      </c>
      <c r="B8" s="226">
        <v>14</v>
      </c>
    </row>
    <row r="9" spans="1:7" x14ac:dyDescent="0.25">
      <c r="A9" s="373" t="s">
        <v>85</v>
      </c>
      <c r="B9" s="226">
        <v>1</v>
      </c>
    </row>
    <row r="10" spans="1:7" x14ac:dyDescent="0.25">
      <c r="A10" s="373" t="s">
        <v>92</v>
      </c>
      <c r="B10" s="226">
        <v>7</v>
      </c>
    </row>
    <row r="11" spans="1:7" x14ac:dyDescent="0.25">
      <c r="A11" s="373" t="s">
        <v>269</v>
      </c>
      <c r="B11" s="226">
        <v>6</v>
      </c>
    </row>
    <row r="12" spans="1:7" x14ac:dyDescent="0.25">
      <c r="A12" s="227" t="s">
        <v>193</v>
      </c>
      <c r="B12" s="226">
        <v>50</v>
      </c>
    </row>
    <row r="13" spans="1:7" x14ac:dyDescent="0.25">
      <c r="A13" s="373" t="s">
        <v>85</v>
      </c>
      <c r="B13" s="226">
        <v>12</v>
      </c>
    </row>
    <row r="14" spans="1:7" x14ac:dyDescent="0.25">
      <c r="A14" s="373" t="s">
        <v>90</v>
      </c>
      <c r="B14" s="226">
        <v>7</v>
      </c>
    </row>
    <row r="15" spans="1:7" x14ac:dyDescent="0.25">
      <c r="A15" s="373" t="s">
        <v>270</v>
      </c>
      <c r="B15" s="226">
        <v>4</v>
      </c>
    </row>
    <row r="16" spans="1:7" x14ac:dyDescent="0.25">
      <c r="A16" s="373" t="s">
        <v>77</v>
      </c>
      <c r="B16" s="226">
        <v>5</v>
      </c>
    </row>
    <row r="17" spans="1:2" x14ac:dyDescent="0.25">
      <c r="A17" s="373" t="s">
        <v>92</v>
      </c>
      <c r="B17" s="226">
        <v>8</v>
      </c>
    </row>
    <row r="18" spans="1:2" x14ac:dyDescent="0.25">
      <c r="A18" s="373" t="s">
        <v>269</v>
      </c>
      <c r="B18" s="226">
        <v>7</v>
      </c>
    </row>
    <row r="19" spans="1:2" x14ac:dyDescent="0.25">
      <c r="A19" s="373" t="s">
        <v>5</v>
      </c>
      <c r="B19" s="226">
        <v>7</v>
      </c>
    </row>
    <row r="20" spans="1:2" x14ac:dyDescent="0.25">
      <c r="A20" s="227" t="s">
        <v>191</v>
      </c>
      <c r="B20" s="226">
        <v>58</v>
      </c>
    </row>
    <row r="21" spans="1:2" x14ac:dyDescent="0.25">
      <c r="A21" s="373" t="s">
        <v>85</v>
      </c>
      <c r="B21" s="226">
        <v>7</v>
      </c>
    </row>
    <row r="22" spans="1:2" x14ac:dyDescent="0.25">
      <c r="A22" s="373" t="s">
        <v>90</v>
      </c>
      <c r="B22" s="226">
        <v>8</v>
      </c>
    </row>
    <row r="23" spans="1:2" x14ac:dyDescent="0.25">
      <c r="A23" s="373" t="s">
        <v>270</v>
      </c>
      <c r="B23" s="226">
        <v>13</v>
      </c>
    </row>
    <row r="24" spans="1:2" x14ac:dyDescent="0.25">
      <c r="A24" s="373" t="s">
        <v>77</v>
      </c>
      <c r="B24" s="226">
        <v>15</v>
      </c>
    </row>
    <row r="25" spans="1:2" x14ac:dyDescent="0.25">
      <c r="A25" s="373" t="s">
        <v>92</v>
      </c>
      <c r="B25" s="226">
        <v>5</v>
      </c>
    </row>
    <row r="26" spans="1:2" x14ac:dyDescent="0.25">
      <c r="A26" s="373" t="s">
        <v>269</v>
      </c>
      <c r="B26" s="226">
        <v>3</v>
      </c>
    </row>
    <row r="27" spans="1:2" x14ac:dyDescent="0.25">
      <c r="A27" s="373" t="s">
        <v>5</v>
      </c>
      <c r="B27" s="226">
        <v>7</v>
      </c>
    </row>
    <row r="28" spans="1:2" x14ac:dyDescent="0.25">
      <c r="A28" s="227" t="s">
        <v>227</v>
      </c>
      <c r="B28" s="226"/>
    </row>
    <row r="29" spans="1:2" x14ac:dyDescent="0.25">
      <c r="A29" s="373" t="s">
        <v>227</v>
      </c>
      <c r="B29" s="226"/>
    </row>
    <row r="30" spans="1:2" x14ac:dyDescent="0.25">
      <c r="A30" s="227" t="s">
        <v>228</v>
      </c>
      <c r="B30" s="226">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2"/>
  <sheetViews>
    <sheetView tabSelected="1" zoomScale="60" zoomScaleNormal="60" zoomScaleSheetLayoutView="30" workbookViewId="0">
      <pane xSplit="5" ySplit="3" topLeftCell="L101" activePane="bottomRight" state="frozen"/>
      <selection pane="topRight" activeCell="G1" sqref="G1"/>
      <selection pane="bottomLeft" activeCell="A3" sqref="A3"/>
      <selection pane="bottomRight" activeCell="E126" sqref="E126"/>
    </sheetView>
  </sheetViews>
  <sheetFormatPr defaultColWidth="9.140625" defaultRowHeight="15.75" x14ac:dyDescent="0.25"/>
  <cols>
    <col min="1" max="1" width="12.7109375" style="136" customWidth="1"/>
    <col min="2" max="2" width="18.85546875" style="41" customWidth="1"/>
    <col min="3" max="3" width="37" style="130" customWidth="1"/>
    <col min="4" max="4" width="37" style="131" customWidth="1"/>
    <col min="5" max="5" width="26.5703125" style="41" customWidth="1"/>
    <col min="6" max="7" width="39.7109375" style="130" customWidth="1"/>
    <col min="8" max="8" width="22.5703125" style="339" customWidth="1"/>
    <col min="9" max="9" width="39.7109375" style="130" customWidth="1"/>
    <col min="10" max="10" width="51.7109375" style="43" customWidth="1"/>
    <col min="11" max="12" width="39.7109375" style="43" customWidth="1"/>
    <col min="13" max="13" width="22.5703125" style="129" customWidth="1"/>
    <col min="14" max="14" width="52.5703125" style="43" customWidth="1"/>
    <col min="15" max="15" width="52.42578125" style="240" customWidth="1"/>
    <col min="16" max="17" width="41.85546875" style="240" customWidth="1"/>
    <col min="18" max="18" width="20.85546875" style="43" customWidth="1"/>
    <col min="19" max="19" width="66" style="352" customWidth="1"/>
    <col min="20" max="21" width="47.42578125" style="240" hidden="1" customWidth="1"/>
    <col min="22" max="22" width="25.28515625" style="129" hidden="1" customWidth="1"/>
    <col min="23" max="23" width="35.85546875" style="418" hidden="1" customWidth="1"/>
    <col min="24" max="24" width="22.140625" style="131" customWidth="1"/>
    <col min="25" max="26" width="22.140625" style="41" customWidth="1"/>
    <col min="27" max="27" width="23.5703125" style="131" hidden="1" customWidth="1"/>
    <col min="28" max="28" width="9.140625" style="242" hidden="1" customWidth="1"/>
    <col min="29" max="38" width="9.140625" style="319" customWidth="1"/>
    <col min="39" max="47" width="9.140625" style="319"/>
    <col min="48" max="16384" width="9.140625" style="41"/>
  </cols>
  <sheetData>
    <row r="1" spans="1:51" s="319" customFormat="1" ht="19.5" thickBot="1" x14ac:dyDescent="0.35">
      <c r="A1" s="222" t="s">
        <v>62</v>
      </c>
      <c r="C1" s="320"/>
      <c r="D1" s="321"/>
      <c r="F1" s="320"/>
      <c r="G1" s="320"/>
      <c r="H1" s="338"/>
      <c r="I1" s="320"/>
      <c r="J1" s="42"/>
      <c r="K1" s="42"/>
      <c r="L1" s="42"/>
      <c r="M1" s="322"/>
      <c r="N1" s="42"/>
      <c r="O1" s="323"/>
      <c r="P1" s="323"/>
      <c r="Q1" s="323"/>
      <c r="R1" s="42"/>
      <c r="S1" s="351"/>
      <c r="T1" s="323"/>
      <c r="U1" s="323"/>
      <c r="V1" s="322"/>
      <c r="W1" s="404"/>
      <c r="X1" s="321"/>
      <c r="AA1" s="321"/>
      <c r="AB1" s="324"/>
    </row>
    <row r="2" spans="1:51" ht="48.75" customHeight="1" thickTop="1" x14ac:dyDescent="0.25">
      <c r="A2" s="456" t="s">
        <v>226</v>
      </c>
      <c r="B2" s="457"/>
      <c r="C2" s="457"/>
      <c r="D2" s="458"/>
      <c r="E2" s="319"/>
      <c r="F2" s="320"/>
      <c r="G2" s="320"/>
      <c r="H2" s="338"/>
      <c r="I2" s="320"/>
      <c r="J2" s="42"/>
      <c r="K2" s="42"/>
      <c r="L2" s="42"/>
      <c r="M2" s="322"/>
      <c r="N2" s="42"/>
      <c r="O2" s="323"/>
      <c r="P2" s="323"/>
      <c r="Q2" s="323"/>
      <c r="R2" s="42"/>
      <c r="S2" s="351"/>
      <c r="T2" s="323"/>
      <c r="U2" s="323"/>
      <c r="V2" s="322"/>
      <c r="W2" s="404"/>
      <c r="X2" s="321"/>
      <c r="Y2" s="319"/>
      <c r="Z2" s="319"/>
      <c r="AA2" s="321"/>
      <c r="AB2" s="324"/>
      <c r="AV2" s="319"/>
      <c r="AW2" s="319"/>
      <c r="AX2" s="319"/>
      <c r="AY2" s="319"/>
    </row>
    <row r="3" spans="1:51" s="53" customFormat="1" ht="47.25" x14ac:dyDescent="0.25">
      <c r="A3" s="326" t="s">
        <v>209</v>
      </c>
      <c r="B3" s="327" t="s">
        <v>101</v>
      </c>
      <c r="C3" s="328" t="s">
        <v>0</v>
      </c>
      <c r="D3" s="327" t="s">
        <v>429</v>
      </c>
      <c r="E3" s="327" t="s">
        <v>86</v>
      </c>
      <c r="F3" s="327" t="s">
        <v>418</v>
      </c>
      <c r="G3" s="327" t="s">
        <v>261</v>
      </c>
      <c r="H3" s="327" t="s">
        <v>84</v>
      </c>
      <c r="I3" s="327" t="s">
        <v>237</v>
      </c>
      <c r="J3" s="327" t="s">
        <v>243</v>
      </c>
      <c r="K3" s="327" t="s">
        <v>419</v>
      </c>
      <c r="L3" s="327" t="s">
        <v>220</v>
      </c>
      <c r="M3" s="327" t="s">
        <v>7</v>
      </c>
      <c r="N3" s="327" t="s">
        <v>221</v>
      </c>
      <c r="O3" s="327" t="s">
        <v>420</v>
      </c>
      <c r="P3" s="327" t="s">
        <v>421</v>
      </c>
      <c r="Q3" s="327" t="s">
        <v>232</v>
      </c>
      <c r="R3" s="327" t="s">
        <v>8</v>
      </c>
      <c r="S3" s="327" t="s">
        <v>238</v>
      </c>
      <c r="T3" s="327" t="s">
        <v>244</v>
      </c>
      <c r="U3" s="327" t="s">
        <v>422</v>
      </c>
      <c r="V3" s="327" t="s">
        <v>74</v>
      </c>
      <c r="W3" s="327" t="s">
        <v>239</v>
      </c>
      <c r="X3" s="327" t="s">
        <v>3</v>
      </c>
      <c r="Y3" s="327" t="s">
        <v>67</v>
      </c>
      <c r="Z3" s="327" t="s">
        <v>4</v>
      </c>
      <c r="AA3" s="327" t="s">
        <v>87</v>
      </c>
      <c r="AB3" s="326" t="s">
        <v>89</v>
      </c>
      <c r="AC3" s="143"/>
      <c r="AD3" s="143"/>
      <c r="AE3" s="143"/>
      <c r="AF3" s="143"/>
      <c r="AG3" s="143"/>
      <c r="AH3" s="143"/>
      <c r="AI3" s="143"/>
      <c r="AJ3" s="143"/>
      <c r="AK3" s="143"/>
      <c r="AL3" s="143"/>
      <c r="AM3" s="143"/>
      <c r="AN3" s="143"/>
      <c r="AO3" s="143"/>
      <c r="AP3" s="143"/>
      <c r="AQ3" s="143"/>
      <c r="AR3" s="143"/>
      <c r="AS3" s="143"/>
      <c r="AT3" s="143"/>
      <c r="AU3" s="143"/>
    </row>
    <row r="4" spans="1:51" s="244" customFormat="1" ht="21" x14ac:dyDescent="0.35">
      <c r="A4" s="329" t="s">
        <v>206</v>
      </c>
      <c r="B4" s="374"/>
      <c r="C4" s="376"/>
      <c r="D4" s="374"/>
      <c r="E4" s="374"/>
      <c r="F4" s="374"/>
      <c r="G4" s="374"/>
      <c r="H4" s="374"/>
      <c r="I4" s="374"/>
      <c r="J4" s="374"/>
      <c r="K4" s="374"/>
      <c r="L4" s="374"/>
      <c r="M4" s="374"/>
      <c r="N4" s="374"/>
      <c r="O4" s="377"/>
      <c r="P4" s="377"/>
      <c r="Q4" s="377"/>
      <c r="R4" s="374"/>
      <c r="S4" s="377"/>
      <c r="T4" s="415"/>
      <c r="U4" s="377"/>
      <c r="V4" s="374"/>
      <c r="W4" s="374"/>
      <c r="X4" s="374"/>
      <c r="Y4" s="374"/>
      <c r="Z4" s="374"/>
      <c r="AA4" s="374"/>
      <c r="AB4" s="378">
        <v>1</v>
      </c>
      <c r="AC4" s="379"/>
      <c r="AD4" s="379"/>
      <c r="AE4" s="379"/>
      <c r="AF4" s="379"/>
      <c r="AG4" s="379"/>
      <c r="AH4" s="379"/>
      <c r="AI4" s="379"/>
      <c r="AJ4" s="379"/>
      <c r="AK4" s="379"/>
      <c r="AL4" s="379"/>
      <c r="AM4" s="379"/>
      <c r="AN4" s="379"/>
      <c r="AO4" s="379"/>
      <c r="AP4" s="379"/>
      <c r="AQ4" s="379"/>
      <c r="AR4" s="379"/>
      <c r="AS4" s="379"/>
      <c r="AT4" s="379"/>
      <c r="AU4" s="379"/>
    </row>
    <row r="5" spans="1:51" ht="103.5" customHeight="1" x14ac:dyDescent="0.25">
      <c r="A5" s="184" t="s">
        <v>105</v>
      </c>
      <c r="B5" s="183" t="s">
        <v>98</v>
      </c>
      <c r="C5" s="163" t="s">
        <v>273</v>
      </c>
      <c r="D5" s="334" t="s">
        <v>274</v>
      </c>
      <c r="E5" s="134">
        <v>43497</v>
      </c>
      <c r="F5" s="422"/>
      <c r="G5" s="422"/>
      <c r="H5" s="132" t="s">
        <v>43</v>
      </c>
      <c r="I5" s="422" t="s">
        <v>541</v>
      </c>
      <c r="J5" s="354" t="s">
        <v>692</v>
      </c>
      <c r="K5" s="354"/>
      <c r="L5" s="354"/>
      <c r="M5" s="132" t="s">
        <v>41</v>
      </c>
      <c r="N5" s="354"/>
      <c r="O5" s="436" t="s">
        <v>749</v>
      </c>
      <c r="P5" s="436"/>
      <c r="Q5" s="436"/>
      <c r="R5" s="350" t="s">
        <v>41</v>
      </c>
      <c r="S5" s="437"/>
      <c r="T5" s="405"/>
      <c r="U5" s="405"/>
      <c r="V5" s="132" t="s">
        <v>46</v>
      </c>
      <c r="W5" s="409"/>
      <c r="X5" s="133" t="s">
        <v>191</v>
      </c>
      <c r="Y5" s="161" t="s">
        <v>77</v>
      </c>
      <c r="Z5" s="161" t="s">
        <v>326</v>
      </c>
      <c r="AA5" s="356" t="s">
        <v>396</v>
      </c>
      <c r="AB5" s="243">
        <v>2</v>
      </c>
    </row>
    <row r="6" spans="1:51" ht="103.5" customHeight="1" x14ac:dyDescent="0.25">
      <c r="A6" s="184" t="s">
        <v>106</v>
      </c>
      <c r="B6" s="183" t="s">
        <v>98</v>
      </c>
      <c r="C6" s="163" t="s">
        <v>275</v>
      </c>
      <c r="D6" s="334" t="s">
        <v>466</v>
      </c>
      <c r="E6" s="134">
        <v>43282</v>
      </c>
      <c r="F6" s="422" t="s">
        <v>542</v>
      </c>
      <c r="G6" s="422"/>
      <c r="H6" s="132" t="s">
        <v>41</v>
      </c>
      <c r="I6" s="422"/>
      <c r="J6" s="354" t="s">
        <v>694</v>
      </c>
      <c r="K6" s="354"/>
      <c r="L6" s="354"/>
      <c r="M6" s="132" t="s">
        <v>40</v>
      </c>
      <c r="N6" s="354"/>
      <c r="O6" s="436" t="s">
        <v>831</v>
      </c>
      <c r="P6" s="436"/>
      <c r="Q6" s="436"/>
      <c r="R6" s="350" t="s">
        <v>40</v>
      </c>
      <c r="S6" s="437"/>
      <c r="T6" s="405"/>
      <c r="U6" s="405"/>
      <c r="V6" s="132" t="s">
        <v>46</v>
      </c>
      <c r="W6" s="409"/>
      <c r="X6" s="133" t="s">
        <v>191</v>
      </c>
      <c r="Y6" s="161" t="s">
        <v>77</v>
      </c>
      <c r="Z6" s="161" t="s">
        <v>326</v>
      </c>
      <c r="AA6" s="356" t="s">
        <v>396</v>
      </c>
      <c r="AB6" s="243">
        <v>3</v>
      </c>
    </row>
    <row r="7" spans="1:51" ht="120" x14ac:dyDescent="0.25">
      <c r="A7" s="184" t="s">
        <v>107</v>
      </c>
      <c r="B7" s="183" t="s">
        <v>98</v>
      </c>
      <c r="C7" s="163" t="s">
        <v>276</v>
      </c>
      <c r="D7" s="334" t="s">
        <v>467</v>
      </c>
      <c r="E7" s="134">
        <v>43525</v>
      </c>
      <c r="F7" s="422" t="s">
        <v>543</v>
      </c>
      <c r="G7" s="422"/>
      <c r="H7" s="132" t="s">
        <v>41</v>
      </c>
      <c r="I7" s="422"/>
      <c r="J7" s="354" t="s">
        <v>693</v>
      </c>
      <c r="K7" s="433"/>
      <c r="L7" s="354"/>
      <c r="M7" s="132" t="s">
        <v>41</v>
      </c>
      <c r="N7" s="354"/>
      <c r="O7" s="436" t="s">
        <v>750</v>
      </c>
      <c r="P7" s="436"/>
      <c r="Q7" s="436"/>
      <c r="R7" s="350" t="s">
        <v>41</v>
      </c>
      <c r="S7" s="437"/>
      <c r="T7" s="405"/>
      <c r="U7" s="405"/>
      <c r="V7" s="132" t="s">
        <v>46</v>
      </c>
      <c r="W7" s="409"/>
      <c r="X7" s="133" t="s">
        <v>191</v>
      </c>
      <c r="Y7" s="161" t="s">
        <v>77</v>
      </c>
      <c r="Z7" s="161" t="s">
        <v>326</v>
      </c>
      <c r="AA7" s="356" t="s">
        <v>396</v>
      </c>
      <c r="AB7" s="243">
        <v>4</v>
      </c>
    </row>
    <row r="8" spans="1:51" ht="105" customHeight="1" x14ac:dyDescent="0.25">
      <c r="A8" s="184" t="s">
        <v>108</v>
      </c>
      <c r="B8" s="183" t="s">
        <v>98</v>
      </c>
      <c r="C8" s="163" t="s">
        <v>277</v>
      </c>
      <c r="D8" s="334" t="s">
        <v>441</v>
      </c>
      <c r="E8" s="134">
        <v>43525</v>
      </c>
      <c r="F8" s="422" t="s">
        <v>544</v>
      </c>
      <c r="G8" s="422"/>
      <c r="H8" s="132" t="s">
        <v>41</v>
      </c>
      <c r="I8" s="422"/>
      <c r="J8" s="354" t="s">
        <v>695</v>
      </c>
      <c r="K8" s="354"/>
      <c r="L8" s="354"/>
      <c r="M8" s="132" t="s">
        <v>41</v>
      </c>
      <c r="N8" s="354"/>
      <c r="O8" s="436" t="s">
        <v>832</v>
      </c>
      <c r="P8" s="436"/>
      <c r="Q8" s="436"/>
      <c r="R8" s="350" t="s">
        <v>41</v>
      </c>
      <c r="S8" s="437"/>
      <c r="T8" s="405"/>
      <c r="U8" s="405"/>
      <c r="V8" s="132" t="s">
        <v>46</v>
      </c>
      <c r="W8" s="409"/>
      <c r="X8" s="133" t="s">
        <v>191</v>
      </c>
      <c r="Y8" s="161" t="s">
        <v>77</v>
      </c>
      <c r="Z8" s="161" t="s">
        <v>326</v>
      </c>
      <c r="AA8" s="356" t="s">
        <v>396</v>
      </c>
      <c r="AB8" s="243">
        <v>5</v>
      </c>
    </row>
    <row r="9" spans="1:51" ht="103.5" customHeight="1" x14ac:dyDescent="0.25">
      <c r="A9" s="184" t="s">
        <v>109</v>
      </c>
      <c r="B9" s="183" t="s">
        <v>98</v>
      </c>
      <c r="C9" s="163" t="s">
        <v>245</v>
      </c>
      <c r="D9" s="334" t="s">
        <v>468</v>
      </c>
      <c r="E9" s="134">
        <v>43525</v>
      </c>
      <c r="F9" s="422" t="s">
        <v>611</v>
      </c>
      <c r="G9" s="422"/>
      <c r="H9" s="132" t="s">
        <v>41</v>
      </c>
      <c r="I9" s="422"/>
      <c r="J9" s="354" t="s">
        <v>739</v>
      </c>
      <c r="K9" s="354"/>
      <c r="L9" s="354"/>
      <c r="M9" s="132" t="s">
        <v>41</v>
      </c>
      <c r="N9" s="354"/>
      <c r="O9" s="436" t="s">
        <v>833</v>
      </c>
      <c r="P9" s="436"/>
      <c r="Q9" s="436"/>
      <c r="R9" s="350" t="s">
        <v>44</v>
      </c>
      <c r="S9" s="436"/>
      <c r="T9" s="405"/>
      <c r="U9" s="405"/>
      <c r="V9" s="132" t="s">
        <v>46</v>
      </c>
      <c r="W9" s="409"/>
      <c r="X9" s="133" t="s">
        <v>191</v>
      </c>
      <c r="Y9" s="161" t="s">
        <v>77</v>
      </c>
      <c r="Z9" s="161" t="s">
        <v>326</v>
      </c>
      <c r="AA9" s="356" t="s">
        <v>396</v>
      </c>
      <c r="AB9" s="243">
        <v>6</v>
      </c>
    </row>
    <row r="10" spans="1:51" ht="103.5" customHeight="1" x14ac:dyDescent="0.25">
      <c r="A10" s="184" t="s">
        <v>110</v>
      </c>
      <c r="B10" s="183" t="s">
        <v>98</v>
      </c>
      <c r="C10" s="163" t="s">
        <v>245</v>
      </c>
      <c r="D10" s="334" t="s">
        <v>469</v>
      </c>
      <c r="E10" s="134">
        <v>43344</v>
      </c>
      <c r="F10" s="422" t="s">
        <v>545</v>
      </c>
      <c r="G10" s="422"/>
      <c r="H10" s="132" t="s">
        <v>41</v>
      </c>
      <c r="I10" s="422"/>
      <c r="J10" s="354" t="s">
        <v>698</v>
      </c>
      <c r="K10" s="354"/>
      <c r="L10" s="354"/>
      <c r="M10" s="410" t="s">
        <v>40</v>
      </c>
      <c r="N10" s="354" t="s">
        <v>697</v>
      </c>
      <c r="O10" s="436" t="s">
        <v>751</v>
      </c>
      <c r="P10" s="436"/>
      <c r="Q10" s="436"/>
      <c r="R10" s="350" t="s">
        <v>40</v>
      </c>
      <c r="S10" s="437"/>
      <c r="T10" s="405"/>
      <c r="U10" s="405"/>
      <c r="V10" s="132" t="s">
        <v>46</v>
      </c>
      <c r="W10" s="409"/>
      <c r="X10" s="133" t="s">
        <v>191</v>
      </c>
      <c r="Y10" s="161" t="s">
        <v>77</v>
      </c>
      <c r="Z10" s="161" t="s">
        <v>326</v>
      </c>
      <c r="AA10" s="356" t="s">
        <v>396</v>
      </c>
      <c r="AB10" s="243">
        <v>7</v>
      </c>
    </row>
    <row r="11" spans="1:51" ht="103.5" customHeight="1" x14ac:dyDescent="0.25">
      <c r="A11" s="184" t="s">
        <v>111</v>
      </c>
      <c r="B11" s="183" t="s">
        <v>97</v>
      </c>
      <c r="C11" s="163" t="s">
        <v>245</v>
      </c>
      <c r="D11" s="334" t="s">
        <v>458</v>
      </c>
      <c r="E11" s="134">
        <v>43525</v>
      </c>
      <c r="F11" s="422"/>
      <c r="G11" s="422"/>
      <c r="H11" s="132" t="s">
        <v>43</v>
      </c>
      <c r="I11" s="422"/>
      <c r="J11" s="354"/>
      <c r="K11" s="354"/>
      <c r="L11" s="354"/>
      <c r="M11" s="132" t="s">
        <v>43</v>
      </c>
      <c r="N11" s="354"/>
      <c r="O11" s="436" t="s">
        <v>834</v>
      </c>
      <c r="P11" s="436"/>
      <c r="Q11" s="436"/>
      <c r="R11" s="350" t="s">
        <v>41</v>
      </c>
      <c r="S11" s="437"/>
      <c r="T11" s="353"/>
      <c r="U11" s="405"/>
      <c r="V11" s="132" t="s">
        <v>46</v>
      </c>
      <c r="W11" s="409"/>
      <c r="X11" s="133" t="s">
        <v>191</v>
      </c>
      <c r="Y11" s="161" t="s">
        <v>77</v>
      </c>
      <c r="Z11" s="161" t="s">
        <v>326</v>
      </c>
      <c r="AA11" s="356" t="s">
        <v>397</v>
      </c>
      <c r="AB11" s="243">
        <v>8</v>
      </c>
    </row>
    <row r="12" spans="1:51" ht="103.5" customHeight="1" x14ac:dyDescent="0.25">
      <c r="A12" s="184" t="s">
        <v>112</v>
      </c>
      <c r="B12" s="183" t="s">
        <v>326</v>
      </c>
      <c r="C12" s="163" t="s">
        <v>245</v>
      </c>
      <c r="D12" s="334" t="s">
        <v>500</v>
      </c>
      <c r="E12" s="134">
        <v>43525</v>
      </c>
      <c r="F12" s="422"/>
      <c r="G12" s="422"/>
      <c r="H12" s="132" t="s">
        <v>43</v>
      </c>
      <c r="I12" s="422"/>
      <c r="J12" s="354"/>
      <c r="K12" s="354"/>
      <c r="L12" s="354"/>
      <c r="M12" s="132" t="s">
        <v>43</v>
      </c>
      <c r="N12" s="354"/>
      <c r="O12" s="436"/>
      <c r="P12" s="436"/>
      <c r="Q12" s="436"/>
      <c r="R12" s="350" t="s">
        <v>43</v>
      </c>
      <c r="S12" s="437"/>
      <c r="T12" s="405"/>
      <c r="U12" s="405"/>
      <c r="V12" s="132" t="s">
        <v>46</v>
      </c>
      <c r="W12" s="409"/>
      <c r="X12" s="133" t="s">
        <v>191</v>
      </c>
      <c r="Y12" s="161" t="s">
        <v>77</v>
      </c>
      <c r="Z12" s="161" t="s">
        <v>326</v>
      </c>
      <c r="AA12" s="356" t="s">
        <v>398</v>
      </c>
      <c r="AB12" s="243">
        <v>9</v>
      </c>
    </row>
    <row r="13" spans="1:51" ht="103.5" customHeight="1" x14ac:dyDescent="0.25">
      <c r="A13" s="184" t="s">
        <v>113</v>
      </c>
      <c r="B13" s="183" t="s">
        <v>326</v>
      </c>
      <c r="C13" s="163" t="s">
        <v>245</v>
      </c>
      <c r="D13" s="334" t="s">
        <v>501</v>
      </c>
      <c r="E13" s="134">
        <v>43525</v>
      </c>
      <c r="F13" s="422"/>
      <c r="G13" s="422"/>
      <c r="H13" s="132" t="s">
        <v>43</v>
      </c>
      <c r="I13" s="422"/>
      <c r="J13" s="354"/>
      <c r="K13" s="354"/>
      <c r="L13" s="354"/>
      <c r="M13" s="132" t="s">
        <v>43</v>
      </c>
      <c r="N13" s="354"/>
      <c r="O13" s="436"/>
      <c r="P13" s="436"/>
      <c r="Q13" s="436"/>
      <c r="R13" s="350" t="s">
        <v>43</v>
      </c>
      <c r="S13" s="437"/>
      <c r="T13" s="405"/>
      <c r="U13" s="405"/>
      <c r="V13" s="132" t="s">
        <v>46</v>
      </c>
      <c r="W13" s="409"/>
      <c r="X13" s="133" t="s">
        <v>191</v>
      </c>
      <c r="Y13" s="161" t="s">
        <v>77</v>
      </c>
      <c r="Z13" s="161" t="s">
        <v>326</v>
      </c>
      <c r="AA13" s="356" t="s">
        <v>398</v>
      </c>
      <c r="AB13" s="243">
        <v>10</v>
      </c>
    </row>
    <row r="14" spans="1:51" ht="103.5" customHeight="1" x14ac:dyDescent="0.25">
      <c r="A14" s="184" t="s">
        <v>114</v>
      </c>
      <c r="B14" s="183" t="s">
        <v>100</v>
      </c>
      <c r="C14" s="163" t="s">
        <v>278</v>
      </c>
      <c r="D14" s="347" t="s">
        <v>464</v>
      </c>
      <c r="E14" s="134">
        <v>43525</v>
      </c>
      <c r="F14" s="422" t="s">
        <v>585</v>
      </c>
      <c r="G14" s="422"/>
      <c r="H14" s="132" t="s">
        <v>41</v>
      </c>
      <c r="I14" s="422"/>
      <c r="J14" s="354" t="s">
        <v>720</v>
      </c>
      <c r="K14" s="354"/>
      <c r="L14" s="354"/>
      <c r="M14" s="132" t="s">
        <v>41</v>
      </c>
      <c r="N14" s="354"/>
      <c r="O14" s="436" t="s">
        <v>835</v>
      </c>
      <c r="P14" s="436"/>
      <c r="Q14" s="436"/>
      <c r="R14" s="350" t="s">
        <v>41</v>
      </c>
      <c r="S14" s="437"/>
      <c r="T14" s="405"/>
      <c r="U14" s="354"/>
      <c r="V14" s="132" t="s">
        <v>46</v>
      </c>
      <c r="W14" s="409"/>
      <c r="X14" s="133" t="s">
        <v>191</v>
      </c>
      <c r="Y14" s="161" t="s">
        <v>77</v>
      </c>
      <c r="Z14" s="161" t="s">
        <v>326</v>
      </c>
      <c r="AA14" s="356" t="s">
        <v>399</v>
      </c>
      <c r="AB14" s="243">
        <v>11</v>
      </c>
    </row>
    <row r="15" spans="1:51" ht="103.5" customHeight="1" x14ac:dyDescent="0.25">
      <c r="A15" s="184" t="s">
        <v>115</v>
      </c>
      <c r="B15" s="183" t="s">
        <v>102</v>
      </c>
      <c r="C15" s="163" t="s">
        <v>246</v>
      </c>
      <c r="D15" s="334" t="s">
        <v>279</v>
      </c>
      <c r="E15" s="134">
        <v>43525</v>
      </c>
      <c r="F15" s="422">
        <v>0.37</v>
      </c>
      <c r="G15" s="422">
        <v>2.95</v>
      </c>
      <c r="H15" s="132" t="s">
        <v>41</v>
      </c>
      <c r="I15" s="422"/>
      <c r="J15" s="354">
        <v>0.64</v>
      </c>
      <c r="K15" s="354">
        <v>1.01</v>
      </c>
      <c r="L15" s="354">
        <v>2.95</v>
      </c>
      <c r="M15" s="132" t="s">
        <v>41</v>
      </c>
      <c r="N15" s="354"/>
      <c r="O15" s="436" t="s">
        <v>851</v>
      </c>
      <c r="P15" s="438" t="s">
        <v>804</v>
      </c>
      <c r="Q15" s="438" t="s">
        <v>805</v>
      </c>
      <c r="R15" s="350" t="s">
        <v>41</v>
      </c>
      <c r="S15" s="437"/>
      <c r="T15" s="405"/>
      <c r="U15" s="405"/>
      <c r="V15" s="132" t="s">
        <v>46</v>
      </c>
      <c r="W15" s="409"/>
      <c r="X15" s="133" t="s">
        <v>191</v>
      </c>
      <c r="Y15" s="161" t="s">
        <v>77</v>
      </c>
      <c r="Z15" s="161" t="s">
        <v>395</v>
      </c>
      <c r="AA15" s="356" t="s">
        <v>400</v>
      </c>
      <c r="AB15" s="243">
        <v>12</v>
      </c>
    </row>
    <row r="16" spans="1:51" ht="103.5" customHeight="1" x14ac:dyDescent="0.25">
      <c r="A16" s="184" t="s">
        <v>116</v>
      </c>
      <c r="B16" s="183" t="s">
        <v>102</v>
      </c>
      <c r="C16" s="163" t="s">
        <v>280</v>
      </c>
      <c r="D16" s="334" t="s">
        <v>465</v>
      </c>
      <c r="E16" s="134">
        <v>43282</v>
      </c>
      <c r="F16" s="422" t="s">
        <v>574</v>
      </c>
      <c r="G16" s="422"/>
      <c r="H16" s="132" t="s">
        <v>41</v>
      </c>
      <c r="I16" s="422"/>
      <c r="J16" s="354" t="s">
        <v>721</v>
      </c>
      <c r="K16" s="354"/>
      <c r="L16" s="354"/>
      <c r="M16" s="132" t="s">
        <v>40</v>
      </c>
      <c r="N16" s="354" t="s">
        <v>696</v>
      </c>
      <c r="O16" s="436" t="s">
        <v>836</v>
      </c>
      <c r="P16" s="436"/>
      <c r="Q16" s="436"/>
      <c r="R16" s="350" t="s">
        <v>40</v>
      </c>
      <c r="S16" s="437"/>
      <c r="T16" s="405"/>
      <c r="U16" s="405"/>
      <c r="V16" s="132" t="s">
        <v>46</v>
      </c>
      <c r="W16" s="409"/>
      <c r="X16" s="133" t="s">
        <v>191</v>
      </c>
      <c r="Y16" s="161" t="s">
        <v>77</v>
      </c>
      <c r="Z16" s="161" t="s">
        <v>395</v>
      </c>
      <c r="AA16" s="356" t="s">
        <v>400</v>
      </c>
      <c r="AB16" s="243">
        <v>13</v>
      </c>
    </row>
    <row r="17" spans="1:28" ht="103.5" customHeight="1" x14ac:dyDescent="0.25">
      <c r="A17" s="184" t="s">
        <v>117</v>
      </c>
      <c r="B17" s="183" t="s">
        <v>102</v>
      </c>
      <c r="C17" s="163" t="s">
        <v>281</v>
      </c>
      <c r="D17" s="334" t="s">
        <v>282</v>
      </c>
      <c r="E17" s="134">
        <v>43525</v>
      </c>
      <c r="F17" s="422" t="s">
        <v>536</v>
      </c>
      <c r="G17" s="422" t="s">
        <v>536</v>
      </c>
      <c r="H17" s="132" t="s">
        <v>41</v>
      </c>
      <c r="I17" s="422"/>
      <c r="J17" s="354">
        <v>10.66</v>
      </c>
      <c r="K17" s="354">
        <v>12</v>
      </c>
      <c r="L17" s="354">
        <v>13</v>
      </c>
      <c r="M17" s="132" t="s">
        <v>41</v>
      </c>
      <c r="N17" s="354"/>
      <c r="O17" s="436" t="s">
        <v>806</v>
      </c>
      <c r="P17" s="436" t="s">
        <v>807</v>
      </c>
      <c r="Q17" s="436" t="s">
        <v>808</v>
      </c>
      <c r="R17" s="350" t="s">
        <v>41</v>
      </c>
      <c r="S17" s="437"/>
      <c r="T17" s="405"/>
      <c r="U17" s="405"/>
      <c r="V17" s="132" t="s">
        <v>46</v>
      </c>
      <c r="W17" s="409"/>
      <c r="X17" s="133" t="s">
        <v>191</v>
      </c>
      <c r="Y17" s="161" t="s">
        <v>77</v>
      </c>
      <c r="Z17" s="161" t="s">
        <v>395</v>
      </c>
      <c r="AA17" s="356" t="s">
        <v>400</v>
      </c>
      <c r="AB17" s="243">
        <v>14</v>
      </c>
    </row>
    <row r="18" spans="1:28" ht="121.5" customHeight="1" x14ac:dyDescent="0.25">
      <c r="A18" s="184" t="s">
        <v>118</v>
      </c>
      <c r="B18" s="183" t="s">
        <v>266</v>
      </c>
      <c r="C18" s="163" t="s">
        <v>283</v>
      </c>
      <c r="D18" s="334" t="s">
        <v>436</v>
      </c>
      <c r="E18" s="134">
        <v>43221</v>
      </c>
      <c r="F18" s="423" t="s">
        <v>580</v>
      </c>
      <c r="G18" s="423"/>
      <c r="H18" s="132" t="s">
        <v>40</v>
      </c>
      <c r="I18" s="422" t="s">
        <v>581</v>
      </c>
      <c r="J18" s="434" t="s">
        <v>687</v>
      </c>
      <c r="K18" s="434"/>
      <c r="L18" s="434"/>
      <c r="M18" s="132" t="s">
        <v>40</v>
      </c>
      <c r="N18" s="354"/>
      <c r="O18" s="438" t="s">
        <v>837</v>
      </c>
      <c r="P18" s="436"/>
      <c r="Q18" s="436"/>
      <c r="R18" s="350" t="s">
        <v>40</v>
      </c>
      <c r="S18" s="437"/>
      <c r="T18" s="408"/>
      <c r="U18" s="408"/>
      <c r="V18" s="132" t="s">
        <v>46</v>
      </c>
      <c r="W18" s="409"/>
      <c r="X18" s="133" t="s">
        <v>191</v>
      </c>
      <c r="Y18" s="161" t="s">
        <v>77</v>
      </c>
      <c r="Z18" s="161" t="s">
        <v>395</v>
      </c>
      <c r="AA18" s="356" t="s">
        <v>401</v>
      </c>
      <c r="AB18" s="243">
        <v>15</v>
      </c>
    </row>
    <row r="19" spans="1:28" ht="103.5" customHeight="1" x14ac:dyDescent="0.25">
      <c r="A19" s="184" t="s">
        <v>119</v>
      </c>
      <c r="B19" s="183" t="s">
        <v>266</v>
      </c>
      <c r="C19" s="163" t="s">
        <v>283</v>
      </c>
      <c r="D19" s="334" t="s">
        <v>437</v>
      </c>
      <c r="E19" s="134">
        <v>43374</v>
      </c>
      <c r="F19" s="423" t="s">
        <v>576</v>
      </c>
      <c r="G19" s="423"/>
      <c r="H19" s="132" t="s">
        <v>41</v>
      </c>
      <c r="I19" s="422"/>
      <c r="J19" s="434" t="s">
        <v>710</v>
      </c>
      <c r="K19" s="434"/>
      <c r="L19" s="434"/>
      <c r="M19" s="132" t="s">
        <v>40</v>
      </c>
      <c r="N19" s="354"/>
      <c r="O19" s="438" t="s">
        <v>836</v>
      </c>
      <c r="P19" s="436"/>
      <c r="Q19" s="436"/>
      <c r="R19" s="350" t="s">
        <v>40</v>
      </c>
      <c r="S19" s="437"/>
      <c r="T19" s="408"/>
      <c r="U19" s="408"/>
      <c r="V19" s="132" t="s">
        <v>46</v>
      </c>
      <c r="W19" s="409"/>
      <c r="X19" s="133" t="s">
        <v>191</v>
      </c>
      <c r="Y19" s="161" t="s">
        <v>77</v>
      </c>
      <c r="Z19" s="161" t="s">
        <v>395</v>
      </c>
      <c r="AA19" s="356" t="s">
        <v>402</v>
      </c>
      <c r="AB19" s="243">
        <v>16</v>
      </c>
    </row>
    <row r="20" spans="1:28" ht="111" customHeight="1" x14ac:dyDescent="0.25">
      <c r="A20" s="184" t="s">
        <v>120</v>
      </c>
      <c r="B20" s="183" t="s">
        <v>94</v>
      </c>
      <c r="C20" s="163" t="s">
        <v>284</v>
      </c>
      <c r="D20" s="334" t="s">
        <v>510</v>
      </c>
      <c r="E20" s="134">
        <v>43525</v>
      </c>
      <c r="F20" s="422" t="s">
        <v>537</v>
      </c>
      <c r="G20" s="422"/>
      <c r="H20" s="132" t="s">
        <v>41</v>
      </c>
      <c r="I20" s="422"/>
      <c r="J20" s="354" t="s">
        <v>704</v>
      </c>
      <c r="K20" s="354"/>
      <c r="L20" s="354"/>
      <c r="M20" s="132" t="s">
        <v>41</v>
      </c>
      <c r="N20" s="354"/>
      <c r="O20" s="436" t="s">
        <v>752</v>
      </c>
      <c r="P20" s="436"/>
      <c r="Q20" s="436"/>
      <c r="R20" s="350" t="s">
        <v>41</v>
      </c>
      <c r="S20" s="437"/>
      <c r="T20" s="354"/>
      <c r="U20" s="354"/>
      <c r="V20" s="132" t="s">
        <v>46</v>
      </c>
      <c r="W20" s="354"/>
      <c r="X20" s="133" t="s">
        <v>191</v>
      </c>
      <c r="Y20" s="161" t="s">
        <v>85</v>
      </c>
      <c r="Z20" s="161" t="s">
        <v>327</v>
      </c>
      <c r="AA20" s="356" t="s">
        <v>403</v>
      </c>
      <c r="AB20" s="243">
        <v>17</v>
      </c>
    </row>
    <row r="21" spans="1:28" ht="195" x14ac:dyDescent="0.25">
      <c r="A21" s="184" t="s">
        <v>121</v>
      </c>
      <c r="B21" s="183" t="s">
        <v>327</v>
      </c>
      <c r="C21" s="163" t="s">
        <v>284</v>
      </c>
      <c r="D21" s="334" t="s">
        <v>470</v>
      </c>
      <c r="E21" s="134">
        <v>43282</v>
      </c>
      <c r="F21" s="422"/>
      <c r="G21" s="422"/>
      <c r="H21" s="132" t="s">
        <v>43</v>
      </c>
      <c r="I21" s="422"/>
      <c r="J21" s="354" t="s">
        <v>742</v>
      </c>
      <c r="K21" s="354"/>
      <c r="L21" s="354"/>
      <c r="M21" s="132" t="s">
        <v>27</v>
      </c>
      <c r="N21" s="354"/>
      <c r="O21" s="436" t="s">
        <v>794</v>
      </c>
      <c r="P21" s="436"/>
      <c r="Q21" s="436"/>
      <c r="R21" s="350" t="s">
        <v>42</v>
      </c>
      <c r="S21" s="437"/>
      <c r="T21" s="405"/>
      <c r="U21" s="405"/>
      <c r="V21" s="132" t="s">
        <v>46</v>
      </c>
      <c r="W21" s="409"/>
      <c r="X21" s="133" t="s">
        <v>191</v>
      </c>
      <c r="Y21" s="161" t="s">
        <v>85</v>
      </c>
      <c r="Z21" s="161" t="s">
        <v>327</v>
      </c>
      <c r="AA21" s="356" t="s">
        <v>403</v>
      </c>
      <c r="AB21" s="243">
        <v>18</v>
      </c>
    </row>
    <row r="22" spans="1:28" ht="103.5" customHeight="1" x14ac:dyDescent="0.25">
      <c r="A22" s="184" t="s">
        <v>122</v>
      </c>
      <c r="B22" s="183" t="s">
        <v>327</v>
      </c>
      <c r="C22" s="163" t="s">
        <v>284</v>
      </c>
      <c r="D22" s="334" t="s">
        <v>471</v>
      </c>
      <c r="E22" s="134">
        <v>43435</v>
      </c>
      <c r="F22" s="422"/>
      <c r="G22" s="422"/>
      <c r="H22" s="132" t="s">
        <v>43</v>
      </c>
      <c r="I22" s="422"/>
      <c r="J22" s="354" t="s">
        <v>734</v>
      </c>
      <c r="K22" s="354"/>
      <c r="L22" s="354"/>
      <c r="M22" s="410" t="s">
        <v>41</v>
      </c>
      <c r="N22" s="354" t="s">
        <v>650</v>
      </c>
      <c r="O22" s="436" t="s">
        <v>793</v>
      </c>
      <c r="P22" s="436"/>
      <c r="Q22" s="436" t="s">
        <v>795</v>
      </c>
      <c r="R22" s="350" t="s">
        <v>40</v>
      </c>
      <c r="S22" s="437"/>
      <c r="T22" s="405"/>
      <c r="U22" s="405"/>
      <c r="V22" s="132" t="s">
        <v>46</v>
      </c>
      <c r="W22" s="409"/>
      <c r="X22" s="133" t="s">
        <v>191</v>
      </c>
      <c r="Y22" s="161" t="s">
        <v>85</v>
      </c>
      <c r="Z22" s="161" t="s">
        <v>327</v>
      </c>
      <c r="AA22" s="356" t="s">
        <v>403</v>
      </c>
      <c r="AB22" s="243">
        <v>19</v>
      </c>
    </row>
    <row r="23" spans="1:28" ht="103.5" customHeight="1" x14ac:dyDescent="0.25">
      <c r="A23" s="184" t="s">
        <v>123</v>
      </c>
      <c r="B23" s="183" t="s">
        <v>99</v>
      </c>
      <c r="C23" s="163" t="s">
        <v>285</v>
      </c>
      <c r="D23" s="334" t="s">
        <v>482</v>
      </c>
      <c r="E23" s="134">
        <v>43374</v>
      </c>
      <c r="F23" s="423" t="s">
        <v>533</v>
      </c>
      <c r="G23" s="423"/>
      <c r="H23" s="132" t="s">
        <v>41</v>
      </c>
      <c r="I23" s="422"/>
      <c r="J23" s="434" t="s">
        <v>649</v>
      </c>
      <c r="K23" s="435">
        <v>2</v>
      </c>
      <c r="L23" s="434"/>
      <c r="M23" s="132" t="s">
        <v>40</v>
      </c>
      <c r="N23" s="354"/>
      <c r="O23" s="438" t="s">
        <v>775</v>
      </c>
      <c r="P23" s="438"/>
      <c r="Q23" s="438"/>
      <c r="R23" s="350" t="s">
        <v>40</v>
      </c>
      <c r="S23" s="437"/>
      <c r="T23" s="408"/>
      <c r="U23" s="408"/>
      <c r="V23" s="410" t="s">
        <v>46</v>
      </c>
      <c r="W23" s="409"/>
      <c r="X23" s="133" t="s">
        <v>191</v>
      </c>
      <c r="Y23" s="161" t="s">
        <v>85</v>
      </c>
      <c r="Z23" s="161" t="s">
        <v>327</v>
      </c>
      <c r="AA23" s="356" t="s">
        <v>404</v>
      </c>
      <c r="AB23" s="243">
        <v>20</v>
      </c>
    </row>
    <row r="24" spans="1:28" ht="103.5" customHeight="1" x14ac:dyDescent="0.25">
      <c r="A24" s="184" t="s">
        <v>124</v>
      </c>
      <c r="B24" s="183" t="s">
        <v>99</v>
      </c>
      <c r="C24" s="163" t="s">
        <v>286</v>
      </c>
      <c r="D24" s="334" t="s">
        <v>287</v>
      </c>
      <c r="E24" s="134">
        <v>43525</v>
      </c>
      <c r="F24" s="423" t="s">
        <v>532</v>
      </c>
      <c r="G24" s="423"/>
      <c r="H24" s="132" t="s">
        <v>41</v>
      </c>
      <c r="I24" s="422"/>
      <c r="J24" s="434" t="s">
        <v>648</v>
      </c>
      <c r="K24" s="435">
        <v>4</v>
      </c>
      <c r="L24" s="434"/>
      <c r="M24" s="132" t="s">
        <v>41</v>
      </c>
      <c r="N24" s="354"/>
      <c r="O24" s="438" t="s">
        <v>776</v>
      </c>
      <c r="P24" s="438"/>
      <c r="Q24" s="438"/>
      <c r="R24" s="350" t="s">
        <v>41</v>
      </c>
      <c r="S24" s="437"/>
      <c r="T24" s="408"/>
      <c r="U24" s="408"/>
      <c r="V24" s="132" t="s">
        <v>46</v>
      </c>
      <c r="W24" s="409"/>
      <c r="X24" s="133" t="s">
        <v>191</v>
      </c>
      <c r="Y24" s="161" t="s">
        <v>85</v>
      </c>
      <c r="Z24" s="161" t="s">
        <v>327</v>
      </c>
      <c r="AA24" s="356" t="s">
        <v>404</v>
      </c>
      <c r="AB24" s="243">
        <v>21</v>
      </c>
    </row>
    <row r="25" spans="1:28" ht="195" customHeight="1" x14ac:dyDescent="0.25">
      <c r="A25" s="184" t="s">
        <v>125</v>
      </c>
      <c r="B25" s="183" t="s">
        <v>264</v>
      </c>
      <c r="C25" s="163" t="s">
        <v>288</v>
      </c>
      <c r="D25" s="334" t="s">
        <v>484</v>
      </c>
      <c r="E25" s="134">
        <v>43282</v>
      </c>
      <c r="F25" s="422" t="s">
        <v>619</v>
      </c>
      <c r="G25" s="422"/>
      <c r="H25" s="132" t="s">
        <v>41</v>
      </c>
      <c r="I25" s="422" t="s">
        <v>620</v>
      </c>
      <c r="J25" s="354" t="s">
        <v>730</v>
      </c>
      <c r="K25" s="354"/>
      <c r="L25" s="354"/>
      <c r="M25" s="132" t="s">
        <v>40</v>
      </c>
      <c r="N25" s="354" t="s">
        <v>731</v>
      </c>
      <c r="O25" s="436" t="s">
        <v>827</v>
      </c>
      <c r="P25" s="436"/>
      <c r="Q25" s="436"/>
      <c r="R25" s="350" t="s">
        <v>40</v>
      </c>
      <c r="S25" s="436"/>
      <c r="T25" s="405"/>
      <c r="U25" s="405"/>
      <c r="V25" s="132" t="s">
        <v>46</v>
      </c>
      <c r="W25" s="409"/>
      <c r="X25" s="133" t="s">
        <v>191</v>
      </c>
      <c r="Y25" s="161" t="s">
        <v>85</v>
      </c>
      <c r="Z25" s="161" t="s">
        <v>327</v>
      </c>
      <c r="AA25" s="356" t="s">
        <v>405</v>
      </c>
      <c r="AB25" s="243">
        <v>22</v>
      </c>
    </row>
    <row r="26" spans="1:28" ht="103.5" customHeight="1" x14ac:dyDescent="0.25">
      <c r="A26" s="184" t="s">
        <v>126</v>
      </c>
      <c r="B26" s="183" t="s">
        <v>328</v>
      </c>
      <c r="C26" s="163" t="s">
        <v>289</v>
      </c>
      <c r="D26" s="334" t="s">
        <v>473</v>
      </c>
      <c r="E26" s="134">
        <v>43252</v>
      </c>
      <c r="F26" s="422" t="s">
        <v>567</v>
      </c>
      <c r="G26" s="422"/>
      <c r="H26" s="132" t="s">
        <v>40</v>
      </c>
      <c r="I26" s="422"/>
      <c r="J26" s="354" t="s">
        <v>687</v>
      </c>
      <c r="K26" s="354"/>
      <c r="L26" s="354"/>
      <c r="M26" s="132" t="s">
        <v>40</v>
      </c>
      <c r="N26" s="354"/>
      <c r="O26" s="436" t="s">
        <v>799</v>
      </c>
      <c r="P26" s="436"/>
      <c r="Q26" s="436"/>
      <c r="R26" s="350" t="s">
        <v>40</v>
      </c>
      <c r="S26" s="437"/>
      <c r="T26" s="405"/>
      <c r="U26" s="405"/>
      <c r="V26" s="132" t="s">
        <v>46</v>
      </c>
      <c r="W26" s="409"/>
      <c r="X26" s="133" t="s">
        <v>191</v>
      </c>
      <c r="Y26" s="161" t="s">
        <v>85</v>
      </c>
      <c r="Z26" s="161" t="s">
        <v>327</v>
      </c>
      <c r="AA26" s="356" t="s">
        <v>406</v>
      </c>
      <c r="AB26" s="243">
        <v>23</v>
      </c>
    </row>
    <row r="27" spans="1:28" ht="103.5" customHeight="1" x14ac:dyDescent="0.25">
      <c r="A27" s="184" t="s">
        <v>127</v>
      </c>
      <c r="B27" s="183" t="s">
        <v>95</v>
      </c>
      <c r="C27" s="163" t="s">
        <v>290</v>
      </c>
      <c r="D27" s="334" t="s">
        <v>291</v>
      </c>
      <c r="E27" s="134">
        <v>43525</v>
      </c>
      <c r="F27" s="423">
        <v>0.97</v>
      </c>
      <c r="G27" s="422"/>
      <c r="H27" s="132" t="s">
        <v>41</v>
      </c>
      <c r="I27" s="422"/>
      <c r="J27" s="434">
        <v>0.97</v>
      </c>
      <c r="K27" s="434">
        <v>0.97</v>
      </c>
      <c r="L27" s="434">
        <v>0.97</v>
      </c>
      <c r="M27" s="132" t="s">
        <v>41</v>
      </c>
      <c r="N27" s="354"/>
      <c r="O27" s="438">
        <v>0.97</v>
      </c>
      <c r="P27" s="436"/>
      <c r="Q27" s="438">
        <v>0.97</v>
      </c>
      <c r="R27" s="350" t="s">
        <v>41</v>
      </c>
      <c r="S27" s="437"/>
      <c r="T27" s="405"/>
      <c r="U27" s="405"/>
      <c r="V27" s="132" t="s">
        <v>46</v>
      </c>
      <c r="W27" s="409"/>
      <c r="X27" s="133" t="s">
        <v>191</v>
      </c>
      <c r="Y27" s="161" t="s">
        <v>90</v>
      </c>
      <c r="Z27" s="161" t="s">
        <v>326</v>
      </c>
      <c r="AA27" s="356" t="s">
        <v>407</v>
      </c>
      <c r="AB27" s="243">
        <v>24</v>
      </c>
    </row>
    <row r="28" spans="1:28" ht="103.5" customHeight="1" x14ac:dyDescent="0.25">
      <c r="A28" s="184" t="s">
        <v>128</v>
      </c>
      <c r="B28" s="183" t="s">
        <v>95</v>
      </c>
      <c r="C28" s="163" t="s">
        <v>292</v>
      </c>
      <c r="D28" s="334" t="s">
        <v>486</v>
      </c>
      <c r="E28" s="134">
        <v>43525</v>
      </c>
      <c r="F28" s="422" t="s">
        <v>538</v>
      </c>
      <c r="G28" s="422"/>
      <c r="H28" s="132" t="s">
        <v>41</v>
      </c>
      <c r="I28" s="422"/>
      <c r="J28" s="354" t="s">
        <v>663</v>
      </c>
      <c r="K28" s="354"/>
      <c r="L28" s="354"/>
      <c r="M28" s="132" t="s">
        <v>41</v>
      </c>
      <c r="N28" s="354"/>
      <c r="O28" s="436" t="s">
        <v>767</v>
      </c>
      <c r="P28" s="436"/>
      <c r="Q28" s="436"/>
      <c r="R28" s="350" t="s">
        <v>41</v>
      </c>
      <c r="S28" s="437"/>
      <c r="T28" s="405"/>
      <c r="U28" s="354"/>
      <c r="V28" s="132" t="s">
        <v>46</v>
      </c>
      <c r="W28" s="409"/>
      <c r="X28" s="133" t="s">
        <v>191</v>
      </c>
      <c r="Y28" s="161" t="s">
        <v>90</v>
      </c>
      <c r="Z28" s="161" t="s">
        <v>326</v>
      </c>
      <c r="AA28" s="356" t="s">
        <v>407</v>
      </c>
      <c r="AB28" s="243">
        <v>25</v>
      </c>
    </row>
    <row r="29" spans="1:28" ht="103.5" customHeight="1" x14ac:dyDescent="0.25">
      <c r="A29" s="184" t="s">
        <v>129</v>
      </c>
      <c r="B29" s="183" t="s">
        <v>95</v>
      </c>
      <c r="C29" s="163" t="s">
        <v>293</v>
      </c>
      <c r="D29" s="334" t="s">
        <v>487</v>
      </c>
      <c r="E29" s="134">
        <v>43405</v>
      </c>
      <c r="F29" s="422" t="s">
        <v>540</v>
      </c>
      <c r="G29" s="422"/>
      <c r="H29" s="132" t="s">
        <v>41</v>
      </c>
      <c r="I29" s="422"/>
      <c r="J29" s="354" t="s">
        <v>664</v>
      </c>
      <c r="K29" s="354"/>
      <c r="L29" s="354"/>
      <c r="M29" s="132" t="s">
        <v>41</v>
      </c>
      <c r="N29" s="354"/>
      <c r="O29" s="426" t="s">
        <v>765</v>
      </c>
      <c r="P29" s="436"/>
      <c r="Q29" s="436"/>
      <c r="R29" s="350" t="s">
        <v>40</v>
      </c>
      <c r="S29" s="437"/>
      <c r="T29" s="354"/>
      <c r="U29" s="405"/>
      <c r="V29" s="132" t="s">
        <v>46</v>
      </c>
      <c r="W29" s="409"/>
      <c r="X29" s="133" t="s">
        <v>191</v>
      </c>
      <c r="Y29" s="161" t="s">
        <v>90</v>
      </c>
      <c r="Z29" s="161" t="s">
        <v>326</v>
      </c>
      <c r="AA29" s="356" t="s">
        <v>90</v>
      </c>
      <c r="AB29" s="243">
        <v>26</v>
      </c>
    </row>
    <row r="30" spans="1:28" ht="103.5" customHeight="1" x14ac:dyDescent="0.25">
      <c r="A30" s="184" t="s">
        <v>130</v>
      </c>
      <c r="B30" s="183" t="s">
        <v>95</v>
      </c>
      <c r="C30" s="163" t="s">
        <v>294</v>
      </c>
      <c r="D30" s="334" t="s">
        <v>488</v>
      </c>
      <c r="E30" s="134">
        <v>43466</v>
      </c>
      <c r="F30" s="422"/>
      <c r="G30" s="422"/>
      <c r="H30" s="132" t="s">
        <v>43</v>
      </c>
      <c r="I30" s="422"/>
      <c r="J30" s="354"/>
      <c r="K30" s="354"/>
      <c r="L30" s="354"/>
      <c r="M30" s="132" t="s">
        <v>43</v>
      </c>
      <c r="N30" s="354"/>
      <c r="O30" s="436" t="s">
        <v>766</v>
      </c>
      <c r="P30" s="436"/>
      <c r="Q30" s="436"/>
      <c r="R30" s="350" t="s">
        <v>41</v>
      </c>
      <c r="S30" s="437"/>
      <c r="T30" s="405"/>
      <c r="U30" s="405"/>
      <c r="V30" s="132" t="s">
        <v>46</v>
      </c>
      <c r="W30" s="409"/>
      <c r="X30" s="133" t="s">
        <v>191</v>
      </c>
      <c r="Y30" s="161" t="s">
        <v>90</v>
      </c>
      <c r="Z30" s="161" t="s">
        <v>326</v>
      </c>
      <c r="AA30" s="356" t="s">
        <v>90</v>
      </c>
      <c r="AB30" s="243">
        <v>27</v>
      </c>
    </row>
    <row r="31" spans="1:28" ht="103.5" customHeight="1" x14ac:dyDescent="0.25">
      <c r="A31" s="184" t="s">
        <v>131</v>
      </c>
      <c r="B31" s="183" t="s">
        <v>95</v>
      </c>
      <c r="C31" s="163" t="s">
        <v>294</v>
      </c>
      <c r="D31" s="334" t="s">
        <v>489</v>
      </c>
      <c r="E31" s="134">
        <v>43191</v>
      </c>
      <c r="F31" s="422" t="s">
        <v>610</v>
      </c>
      <c r="G31" s="422"/>
      <c r="H31" s="410" t="s">
        <v>40</v>
      </c>
      <c r="I31" s="422"/>
      <c r="J31" s="354" t="s">
        <v>688</v>
      </c>
      <c r="K31" s="354"/>
      <c r="L31" s="354"/>
      <c r="M31" s="132" t="s">
        <v>40</v>
      </c>
      <c r="N31" s="354"/>
      <c r="O31" s="436" t="s">
        <v>768</v>
      </c>
      <c r="P31" s="436"/>
      <c r="Q31" s="436"/>
      <c r="R31" s="350" t="s">
        <v>40</v>
      </c>
      <c r="S31" s="437"/>
      <c r="T31" s="353"/>
      <c r="U31" s="354"/>
      <c r="V31" s="132" t="s">
        <v>46</v>
      </c>
      <c r="W31" s="413"/>
      <c r="X31" s="133" t="s">
        <v>191</v>
      </c>
      <c r="Y31" s="161" t="s">
        <v>90</v>
      </c>
      <c r="Z31" s="161" t="s">
        <v>326</v>
      </c>
      <c r="AA31" s="356" t="s">
        <v>90</v>
      </c>
      <c r="AB31" s="243">
        <v>28</v>
      </c>
    </row>
    <row r="32" spans="1:28" ht="150" x14ac:dyDescent="0.25">
      <c r="A32" s="184" t="s">
        <v>132</v>
      </c>
      <c r="B32" s="183" t="s">
        <v>95</v>
      </c>
      <c r="C32" s="163" t="s">
        <v>295</v>
      </c>
      <c r="D32" s="334" t="s">
        <v>235</v>
      </c>
      <c r="E32" s="134">
        <v>43525</v>
      </c>
      <c r="F32" s="422" t="s">
        <v>624</v>
      </c>
      <c r="G32" s="422"/>
      <c r="H32" s="132" t="s">
        <v>27</v>
      </c>
      <c r="I32" s="422" t="s">
        <v>623</v>
      </c>
      <c r="J32" s="354" t="s">
        <v>665</v>
      </c>
      <c r="K32" s="354" t="s">
        <v>713</v>
      </c>
      <c r="L32" s="354"/>
      <c r="M32" s="132" t="s">
        <v>27</v>
      </c>
      <c r="N32" s="354" t="s">
        <v>666</v>
      </c>
      <c r="O32" s="436" t="s">
        <v>772</v>
      </c>
      <c r="P32" s="436" t="s">
        <v>773</v>
      </c>
      <c r="Q32" s="436"/>
      <c r="R32" s="350" t="s">
        <v>27</v>
      </c>
      <c r="S32" s="426" t="s">
        <v>774</v>
      </c>
      <c r="T32" s="353"/>
      <c r="U32" s="354"/>
      <c r="V32" s="132" t="s">
        <v>46</v>
      </c>
      <c r="W32" s="353"/>
      <c r="X32" s="133" t="s">
        <v>191</v>
      </c>
      <c r="Y32" s="161" t="s">
        <v>90</v>
      </c>
      <c r="Z32" s="161" t="s">
        <v>326</v>
      </c>
      <c r="AA32" s="356" t="s">
        <v>90</v>
      </c>
      <c r="AB32" s="243">
        <v>29</v>
      </c>
    </row>
    <row r="33" spans="1:28" ht="103.5" customHeight="1" x14ac:dyDescent="0.25">
      <c r="A33" s="184" t="s">
        <v>133</v>
      </c>
      <c r="B33" s="183" t="s">
        <v>95</v>
      </c>
      <c r="C33" s="163" t="s">
        <v>296</v>
      </c>
      <c r="D33" s="334" t="s">
        <v>490</v>
      </c>
      <c r="E33" s="134">
        <v>43525</v>
      </c>
      <c r="F33" s="422" t="s">
        <v>586</v>
      </c>
      <c r="G33" s="422"/>
      <c r="H33" s="132" t="s">
        <v>41</v>
      </c>
      <c r="I33" s="422"/>
      <c r="J33" s="354" t="s">
        <v>714</v>
      </c>
      <c r="K33" s="434">
        <v>1</v>
      </c>
      <c r="L33" s="434">
        <v>1</v>
      </c>
      <c r="M33" s="132" t="s">
        <v>41</v>
      </c>
      <c r="N33" s="354"/>
      <c r="O33" s="436" t="s">
        <v>777</v>
      </c>
      <c r="P33" s="436" t="s">
        <v>838</v>
      </c>
      <c r="Q33" s="438">
        <v>1</v>
      </c>
      <c r="R33" s="350" t="s">
        <v>41</v>
      </c>
      <c r="S33" s="437"/>
      <c r="T33" s="405"/>
      <c r="U33" s="405"/>
      <c r="V33" s="132" t="s">
        <v>46</v>
      </c>
      <c r="W33" s="409"/>
      <c r="X33" s="133" t="s">
        <v>191</v>
      </c>
      <c r="Y33" s="161" t="s">
        <v>90</v>
      </c>
      <c r="Z33" s="161" t="s">
        <v>326</v>
      </c>
      <c r="AA33" s="356" t="s">
        <v>90</v>
      </c>
      <c r="AB33" s="243">
        <v>30</v>
      </c>
    </row>
    <row r="34" spans="1:28" ht="103.5" customHeight="1" x14ac:dyDescent="0.25">
      <c r="A34" s="184" t="s">
        <v>134</v>
      </c>
      <c r="B34" s="183" t="s">
        <v>95</v>
      </c>
      <c r="C34" s="163" t="s">
        <v>297</v>
      </c>
      <c r="D34" s="334" t="s">
        <v>298</v>
      </c>
      <c r="E34" s="134">
        <v>43525</v>
      </c>
      <c r="F34" s="422"/>
      <c r="G34" s="422"/>
      <c r="H34" s="132" t="s">
        <v>43</v>
      </c>
      <c r="I34" s="422"/>
      <c r="J34" s="354"/>
      <c r="K34" s="354"/>
      <c r="L34" s="354"/>
      <c r="M34" s="132" t="s">
        <v>43</v>
      </c>
      <c r="N34" s="354"/>
      <c r="O34" s="436" t="s">
        <v>769</v>
      </c>
      <c r="P34" s="436"/>
      <c r="Q34" s="436"/>
      <c r="R34" s="350" t="s">
        <v>41</v>
      </c>
      <c r="S34" s="437"/>
      <c r="T34" s="405"/>
      <c r="U34" s="405"/>
      <c r="V34" s="132" t="s">
        <v>46</v>
      </c>
      <c r="W34" s="409"/>
      <c r="X34" s="133" t="s">
        <v>191</v>
      </c>
      <c r="Y34" s="161" t="s">
        <v>90</v>
      </c>
      <c r="Z34" s="161" t="s">
        <v>326</v>
      </c>
      <c r="AA34" s="356" t="s">
        <v>90</v>
      </c>
      <c r="AB34" s="243">
        <v>31</v>
      </c>
    </row>
    <row r="35" spans="1:28" ht="103.5" customHeight="1" x14ac:dyDescent="0.25">
      <c r="A35" s="184" t="s">
        <v>135</v>
      </c>
      <c r="B35" s="183" t="s">
        <v>265</v>
      </c>
      <c r="C35" s="163" t="s">
        <v>299</v>
      </c>
      <c r="D35" s="334" t="s">
        <v>441</v>
      </c>
      <c r="E35" s="134">
        <v>43525</v>
      </c>
      <c r="F35" s="422" t="s">
        <v>596</v>
      </c>
      <c r="G35" s="422"/>
      <c r="H35" s="132" t="s">
        <v>41</v>
      </c>
      <c r="I35" s="422"/>
      <c r="J35" s="354" t="s">
        <v>711</v>
      </c>
      <c r="K35" s="354">
        <v>1</v>
      </c>
      <c r="L35" s="354">
        <v>2</v>
      </c>
      <c r="M35" s="132" t="s">
        <v>41</v>
      </c>
      <c r="N35" s="354"/>
      <c r="O35" s="436" t="s">
        <v>852</v>
      </c>
      <c r="P35" s="436"/>
      <c r="Q35" s="436"/>
      <c r="R35" s="350" t="s">
        <v>41</v>
      </c>
      <c r="S35" s="439"/>
      <c r="T35" s="405"/>
      <c r="U35" s="405"/>
      <c r="V35" s="132" t="s">
        <v>46</v>
      </c>
      <c r="W35" s="409"/>
      <c r="X35" s="133" t="s">
        <v>191</v>
      </c>
      <c r="Y35" s="161" t="s">
        <v>92</v>
      </c>
      <c r="Z35" s="161" t="s">
        <v>326</v>
      </c>
      <c r="AA35" s="356" t="s">
        <v>92</v>
      </c>
      <c r="AB35" s="243">
        <v>32</v>
      </c>
    </row>
    <row r="36" spans="1:28" ht="103.5" customHeight="1" x14ac:dyDescent="0.25">
      <c r="A36" s="184" t="s">
        <v>136</v>
      </c>
      <c r="B36" s="183" t="s">
        <v>265</v>
      </c>
      <c r="C36" s="163" t="s">
        <v>300</v>
      </c>
      <c r="D36" s="334" t="s">
        <v>442</v>
      </c>
      <c r="E36" s="134">
        <v>43191</v>
      </c>
      <c r="F36" s="422" t="s">
        <v>588</v>
      </c>
      <c r="G36" s="422"/>
      <c r="H36" s="132" t="s">
        <v>40</v>
      </c>
      <c r="I36" s="422"/>
      <c r="J36" s="434" t="s">
        <v>687</v>
      </c>
      <c r="K36" s="354"/>
      <c r="L36" s="354"/>
      <c r="M36" s="132" t="s">
        <v>40</v>
      </c>
      <c r="N36" s="354"/>
      <c r="O36" s="436" t="s">
        <v>837</v>
      </c>
      <c r="P36" s="436"/>
      <c r="Q36" s="436"/>
      <c r="R36" s="350" t="s">
        <v>40</v>
      </c>
      <c r="S36" s="439"/>
      <c r="T36" s="405"/>
      <c r="U36" s="405"/>
      <c r="V36" s="132" t="s">
        <v>46</v>
      </c>
      <c r="W36" s="409"/>
      <c r="X36" s="133" t="s">
        <v>191</v>
      </c>
      <c r="Y36" s="161" t="s">
        <v>92</v>
      </c>
      <c r="Z36" s="161" t="s">
        <v>326</v>
      </c>
      <c r="AA36" s="356" t="s">
        <v>92</v>
      </c>
      <c r="AB36" s="243">
        <v>33</v>
      </c>
    </row>
    <row r="37" spans="1:28" ht="103.5" customHeight="1" x14ac:dyDescent="0.25">
      <c r="A37" s="184" t="s">
        <v>137</v>
      </c>
      <c r="B37" s="183" t="s">
        <v>265</v>
      </c>
      <c r="C37" s="163" t="s">
        <v>300</v>
      </c>
      <c r="D37" s="334" t="s">
        <v>443</v>
      </c>
      <c r="E37" s="134">
        <v>43435</v>
      </c>
      <c r="F37" s="422"/>
      <c r="G37" s="422"/>
      <c r="H37" s="132" t="s">
        <v>43</v>
      </c>
      <c r="I37" s="422"/>
      <c r="J37" s="354" t="s">
        <v>706</v>
      </c>
      <c r="K37" s="354"/>
      <c r="L37" s="354"/>
      <c r="M37" s="132" t="s">
        <v>41</v>
      </c>
      <c r="N37" s="354"/>
      <c r="O37" s="436" t="s">
        <v>745</v>
      </c>
      <c r="P37" s="436"/>
      <c r="Q37" s="436"/>
      <c r="R37" s="350" t="s">
        <v>40</v>
      </c>
      <c r="S37" s="439"/>
      <c r="T37" s="353"/>
      <c r="U37" s="405"/>
      <c r="V37" s="132" t="s">
        <v>46</v>
      </c>
      <c r="W37" s="409"/>
      <c r="X37" s="133" t="s">
        <v>191</v>
      </c>
      <c r="Y37" s="161" t="s">
        <v>92</v>
      </c>
      <c r="Z37" s="161" t="s">
        <v>326</v>
      </c>
      <c r="AA37" s="356" t="s">
        <v>92</v>
      </c>
      <c r="AB37" s="243">
        <v>34</v>
      </c>
    </row>
    <row r="38" spans="1:28" ht="103.5" customHeight="1" x14ac:dyDescent="0.25">
      <c r="A38" s="184" t="s">
        <v>138</v>
      </c>
      <c r="B38" s="183" t="s">
        <v>265</v>
      </c>
      <c r="C38" s="163" t="s">
        <v>300</v>
      </c>
      <c r="D38" s="334" t="s">
        <v>444</v>
      </c>
      <c r="E38" s="134">
        <v>43344</v>
      </c>
      <c r="F38" s="422" t="s">
        <v>589</v>
      </c>
      <c r="G38" s="422"/>
      <c r="H38" s="132" t="s">
        <v>41</v>
      </c>
      <c r="I38" s="422"/>
      <c r="J38" s="354" t="s">
        <v>712</v>
      </c>
      <c r="K38" s="354"/>
      <c r="L38" s="354"/>
      <c r="M38" s="132" t="s">
        <v>40</v>
      </c>
      <c r="N38" s="354"/>
      <c r="O38" s="436" t="s">
        <v>836</v>
      </c>
      <c r="P38" s="436"/>
      <c r="Q38" s="436"/>
      <c r="R38" s="350" t="s">
        <v>40</v>
      </c>
      <c r="S38" s="439"/>
      <c r="T38" s="405"/>
      <c r="U38" s="405"/>
      <c r="V38" s="132" t="s">
        <v>46</v>
      </c>
      <c r="W38" s="409"/>
      <c r="X38" s="133" t="s">
        <v>191</v>
      </c>
      <c r="Y38" s="161" t="s">
        <v>92</v>
      </c>
      <c r="Z38" s="161" t="s">
        <v>326</v>
      </c>
      <c r="AA38" s="356" t="s">
        <v>92</v>
      </c>
      <c r="AB38" s="243">
        <v>35</v>
      </c>
    </row>
    <row r="39" spans="1:28" ht="103.5" customHeight="1" x14ac:dyDescent="0.25">
      <c r="A39" s="184" t="s">
        <v>139</v>
      </c>
      <c r="B39" s="183" t="s">
        <v>265</v>
      </c>
      <c r="C39" s="163" t="s">
        <v>300</v>
      </c>
      <c r="D39" s="334" t="s">
        <v>445</v>
      </c>
      <c r="E39" s="134">
        <v>43525</v>
      </c>
      <c r="F39" s="422"/>
      <c r="G39" s="422"/>
      <c r="H39" s="132" t="s">
        <v>43</v>
      </c>
      <c r="I39" s="422"/>
      <c r="J39" s="354" t="s">
        <v>707</v>
      </c>
      <c r="K39" s="354"/>
      <c r="L39" s="354"/>
      <c r="M39" s="132" t="s">
        <v>41</v>
      </c>
      <c r="N39" s="354"/>
      <c r="O39" s="436" t="s">
        <v>839</v>
      </c>
      <c r="P39" s="436"/>
      <c r="Q39" s="436"/>
      <c r="R39" s="350" t="s">
        <v>41</v>
      </c>
      <c r="S39" s="439"/>
      <c r="T39" s="405"/>
      <c r="U39" s="405"/>
      <c r="V39" s="132" t="s">
        <v>46</v>
      </c>
      <c r="W39" s="409"/>
      <c r="X39" s="133" t="s">
        <v>191</v>
      </c>
      <c r="Y39" s="161" t="s">
        <v>92</v>
      </c>
      <c r="Z39" s="161" t="s">
        <v>326</v>
      </c>
      <c r="AA39" s="356" t="s">
        <v>92</v>
      </c>
      <c r="AB39" s="243">
        <v>36</v>
      </c>
    </row>
    <row r="40" spans="1:28" ht="123" customHeight="1" x14ac:dyDescent="0.25">
      <c r="A40" s="184" t="s">
        <v>140</v>
      </c>
      <c r="B40" s="183" t="s">
        <v>234</v>
      </c>
      <c r="C40" s="163" t="s">
        <v>301</v>
      </c>
      <c r="D40" s="334" t="s">
        <v>492</v>
      </c>
      <c r="E40" s="134">
        <v>43252</v>
      </c>
      <c r="F40" s="422" t="s">
        <v>597</v>
      </c>
      <c r="G40" s="422"/>
      <c r="H40" s="132" t="s">
        <v>40</v>
      </c>
      <c r="I40" s="422" t="s">
        <v>598</v>
      </c>
      <c r="J40" s="354" t="s">
        <v>679</v>
      </c>
      <c r="K40" s="354"/>
      <c r="L40" s="354"/>
      <c r="M40" s="132" t="s">
        <v>40</v>
      </c>
      <c r="N40" s="354"/>
      <c r="O40" s="436" t="s">
        <v>837</v>
      </c>
      <c r="P40" s="436"/>
      <c r="Q40" s="436"/>
      <c r="R40" s="350" t="s">
        <v>40</v>
      </c>
      <c r="S40" s="437"/>
      <c r="T40" s="405"/>
      <c r="U40" s="405"/>
      <c r="V40" s="132" t="s">
        <v>46</v>
      </c>
      <c r="W40" s="409"/>
      <c r="X40" s="133" t="s">
        <v>191</v>
      </c>
      <c r="Y40" s="161" t="s">
        <v>5</v>
      </c>
      <c r="Z40" s="161" t="s">
        <v>327</v>
      </c>
      <c r="AA40" s="356" t="s">
        <v>408</v>
      </c>
      <c r="AB40" s="243">
        <v>37</v>
      </c>
    </row>
    <row r="41" spans="1:28" ht="103.5" customHeight="1" x14ac:dyDescent="0.25">
      <c r="A41" s="184" t="s">
        <v>141</v>
      </c>
      <c r="B41" s="183" t="s">
        <v>234</v>
      </c>
      <c r="C41" s="163" t="s">
        <v>301</v>
      </c>
      <c r="D41" s="334" t="s">
        <v>302</v>
      </c>
      <c r="E41" s="134" t="s">
        <v>303</v>
      </c>
      <c r="F41" s="422"/>
      <c r="G41" s="422"/>
      <c r="H41" s="132" t="s">
        <v>43</v>
      </c>
      <c r="I41" s="422" t="s">
        <v>524</v>
      </c>
      <c r="J41" s="354" t="s">
        <v>715</v>
      </c>
      <c r="K41" s="354"/>
      <c r="L41" s="354"/>
      <c r="M41" s="132" t="s">
        <v>41</v>
      </c>
      <c r="N41" s="354"/>
      <c r="O41" s="436" t="s">
        <v>523</v>
      </c>
      <c r="P41" s="436"/>
      <c r="Q41" s="436"/>
      <c r="R41" s="350" t="s">
        <v>40</v>
      </c>
      <c r="S41" s="437"/>
      <c r="T41" s="405"/>
      <c r="U41" s="405"/>
      <c r="V41" s="132" t="s">
        <v>46</v>
      </c>
      <c r="W41" s="409"/>
      <c r="X41" s="133" t="s">
        <v>191</v>
      </c>
      <c r="Y41" s="161" t="s">
        <v>5</v>
      </c>
      <c r="Z41" s="161" t="s">
        <v>327</v>
      </c>
      <c r="AA41" s="356" t="s">
        <v>408</v>
      </c>
      <c r="AB41" s="243">
        <v>38</v>
      </c>
    </row>
    <row r="42" spans="1:28" ht="103.5" customHeight="1" x14ac:dyDescent="0.25">
      <c r="A42" s="184" t="s">
        <v>142</v>
      </c>
      <c r="B42" s="183" t="s">
        <v>234</v>
      </c>
      <c r="C42" s="163" t="s">
        <v>301</v>
      </c>
      <c r="D42" s="334" t="s">
        <v>494</v>
      </c>
      <c r="E42" s="134">
        <v>43344</v>
      </c>
      <c r="F42" s="422" t="s">
        <v>525</v>
      </c>
      <c r="G42" s="422"/>
      <c r="H42" s="132" t="s">
        <v>41</v>
      </c>
      <c r="I42" s="422"/>
      <c r="J42" s="354" t="s">
        <v>680</v>
      </c>
      <c r="K42" s="354"/>
      <c r="L42" s="354"/>
      <c r="M42" s="132" t="s">
        <v>40</v>
      </c>
      <c r="N42" s="354"/>
      <c r="O42" s="436" t="s">
        <v>840</v>
      </c>
      <c r="P42" s="436"/>
      <c r="Q42" s="436"/>
      <c r="R42" s="350" t="s">
        <v>40</v>
      </c>
      <c r="S42" s="437"/>
      <c r="T42" s="405"/>
      <c r="U42" s="405"/>
      <c r="V42" s="132" t="s">
        <v>46</v>
      </c>
      <c r="W42" s="409"/>
      <c r="X42" s="133" t="s">
        <v>191</v>
      </c>
      <c r="Y42" s="161" t="s">
        <v>5</v>
      </c>
      <c r="Z42" s="161" t="s">
        <v>327</v>
      </c>
      <c r="AA42" s="356" t="s">
        <v>408</v>
      </c>
      <c r="AB42" s="243">
        <v>39</v>
      </c>
    </row>
    <row r="43" spans="1:28" ht="103.5" customHeight="1" x14ac:dyDescent="0.25">
      <c r="A43" s="184" t="s">
        <v>143</v>
      </c>
      <c r="B43" s="183" t="s">
        <v>234</v>
      </c>
      <c r="C43" s="163" t="s">
        <v>304</v>
      </c>
      <c r="D43" s="334" t="s">
        <v>493</v>
      </c>
      <c r="E43" s="134">
        <v>43191</v>
      </c>
      <c r="F43" s="422" t="s">
        <v>527</v>
      </c>
      <c r="G43" s="422"/>
      <c r="H43" s="132" t="s">
        <v>40</v>
      </c>
      <c r="I43" s="422"/>
      <c r="J43" s="354" t="s">
        <v>700</v>
      </c>
      <c r="K43" s="354"/>
      <c r="L43" s="354"/>
      <c r="M43" s="132" t="s">
        <v>40</v>
      </c>
      <c r="N43" s="354"/>
      <c r="O43" s="436" t="s">
        <v>837</v>
      </c>
      <c r="P43" s="436"/>
      <c r="Q43" s="436"/>
      <c r="R43" s="350" t="s">
        <v>40</v>
      </c>
      <c r="S43" s="437"/>
      <c r="T43" s="405"/>
      <c r="U43" s="405"/>
      <c r="V43" s="132" t="s">
        <v>46</v>
      </c>
      <c r="W43" s="409"/>
      <c r="X43" s="133" t="s">
        <v>191</v>
      </c>
      <c r="Y43" s="161" t="s">
        <v>5</v>
      </c>
      <c r="Z43" s="161" t="s">
        <v>327</v>
      </c>
      <c r="AA43" s="356" t="s">
        <v>408</v>
      </c>
      <c r="AB43" s="243">
        <v>40</v>
      </c>
    </row>
    <row r="44" spans="1:28" ht="103.5" customHeight="1" x14ac:dyDescent="0.25">
      <c r="A44" s="184" t="s">
        <v>144</v>
      </c>
      <c r="B44" s="183" t="s">
        <v>328</v>
      </c>
      <c r="C44" s="163" t="s">
        <v>305</v>
      </c>
      <c r="D44" s="334" t="s">
        <v>474</v>
      </c>
      <c r="E44" s="134">
        <v>43374</v>
      </c>
      <c r="F44" s="422"/>
      <c r="G44" s="422"/>
      <c r="H44" s="132" t="s">
        <v>43</v>
      </c>
      <c r="I44" s="422"/>
      <c r="J44" s="354" t="s">
        <v>671</v>
      </c>
      <c r="K44" s="354"/>
      <c r="L44" s="354"/>
      <c r="M44" s="132" t="s">
        <v>41</v>
      </c>
      <c r="N44" s="354"/>
      <c r="O44" s="436" t="s">
        <v>841</v>
      </c>
      <c r="P44" s="436"/>
      <c r="Q44" s="436"/>
      <c r="R44" s="350" t="s">
        <v>40</v>
      </c>
      <c r="S44" s="437"/>
      <c r="T44" s="408"/>
      <c r="U44" s="405"/>
      <c r="V44" s="132" t="s">
        <v>46</v>
      </c>
      <c r="W44" s="409"/>
      <c r="X44" s="133" t="s">
        <v>191</v>
      </c>
      <c r="Y44" s="161" t="s">
        <v>5</v>
      </c>
      <c r="Z44" s="161" t="s">
        <v>327</v>
      </c>
      <c r="AA44" s="356" t="s">
        <v>409</v>
      </c>
      <c r="AB44" s="243">
        <v>41</v>
      </c>
    </row>
    <row r="45" spans="1:28" ht="103.5" customHeight="1" x14ac:dyDescent="0.25">
      <c r="A45" s="184" t="s">
        <v>145</v>
      </c>
      <c r="B45" s="183" t="s">
        <v>643</v>
      </c>
      <c r="C45" s="163" t="s">
        <v>306</v>
      </c>
      <c r="D45" s="334" t="s">
        <v>438</v>
      </c>
      <c r="E45" s="134">
        <v>43466</v>
      </c>
      <c r="F45" s="422"/>
      <c r="G45" s="422"/>
      <c r="H45" s="132" t="s">
        <v>43</v>
      </c>
      <c r="I45" s="422" t="s">
        <v>577</v>
      </c>
      <c r="J45" s="354" t="s">
        <v>667</v>
      </c>
      <c r="K45" s="354"/>
      <c r="L45" s="354"/>
      <c r="M45" s="132" t="s">
        <v>41</v>
      </c>
      <c r="N45" s="354"/>
      <c r="O45" s="436" t="s">
        <v>829</v>
      </c>
      <c r="P45" s="436"/>
      <c r="Q45" s="436"/>
      <c r="R45" s="350" t="s">
        <v>41</v>
      </c>
      <c r="S45" s="437"/>
      <c r="T45" s="405"/>
      <c r="U45" s="405"/>
      <c r="V45" s="132" t="s">
        <v>46</v>
      </c>
      <c r="W45" s="409"/>
      <c r="X45" s="133" t="s">
        <v>191</v>
      </c>
      <c r="Y45" s="161" t="s">
        <v>5</v>
      </c>
      <c r="Z45" s="161" t="s">
        <v>327</v>
      </c>
      <c r="AA45" s="356" t="s">
        <v>410</v>
      </c>
      <c r="AB45" s="243">
        <v>42</v>
      </c>
    </row>
    <row r="46" spans="1:28" ht="103.5" customHeight="1" x14ac:dyDescent="0.25">
      <c r="A46" s="184" t="s">
        <v>146</v>
      </c>
      <c r="B46" s="183" t="s">
        <v>643</v>
      </c>
      <c r="C46" s="163" t="s">
        <v>306</v>
      </c>
      <c r="D46" s="334" t="s">
        <v>439</v>
      </c>
      <c r="E46" s="134">
        <v>43525</v>
      </c>
      <c r="F46" s="422"/>
      <c r="G46" s="422"/>
      <c r="H46" s="132" t="s">
        <v>43</v>
      </c>
      <c r="I46" s="422" t="s">
        <v>577</v>
      </c>
      <c r="J46" s="354"/>
      <c r="K46" s="354"/>
      <c r="L46" s="354"/>
      <c r="M46" s="132" t="s">
        <v>43</v>
      </c>
      <c r="N46" s="354"/>
      <c r="O46" s="436" t="s">
        <v>594</v>
      </c>
      <c r="P46" s="436"/>
      <c r="Q46" s="436"/>
      <c r="R46" s="350" t="s">
        <v>43</v>
      </c>
      <c r="S46" s="437"/>
      <c r="T46" s="405"/>
      <c r="U46" s="405"/>
      <c r="V46" s="132" t="s">
        <v>46</v>
      </c>
      <c r="W46" s="409"/>
      <c r="X46" s="133" t="s">
        <v>191</v>
      </c>
      <c r="Y46" s="161" t="s">
        <v>5</v>
      </c>
      <c r="Z46" s="161" t="s">
        <v>327</v>
      </c>
      <c r="AA46" s="356" t="s">
        <v>410</v>
      </c>
      <c r="AB46" s="243">
        <v>43</v>
      </c>
    </row>
    <row r="47" spans="1:28" ht="103.5" customHeight="1" x14ac:dyDescent="0.25">
      <c r="A47" s="184" t="s">
        <v>147</v>
      </c>
      <c r="B47" s="183" t="s">
        <v>96</v>
      </c>
      <c r="C47" s="163" t="s">
        <v>307</v>
      </c>
      <c r="D47" s="334" t="s">
        <v>308</v>
      </c>
      <c r="E47" s="134">
        <v>43525</v>
      </c>
      <c r="F47" s="422" t="s">
        <v>547</v>
      </c>
      <c r="G47" s="422" t="s">
        <v>548</v>
      </c>
      <c r="H47" s="132" t="s">
        <v>41</v>
      </c>
      <c r="I47" s="422"/>
      <c r="J47" s="354" t="s">
        <v>630</v>
      </c>
      <c r="K47" s="354" t="s">
        <v>631</v>
      </c>
      <c r="L47" s="354" t="s">
        <v>548</v>
      </c>
      <c r="M47" s="132" t="s">
        <v>41</v>
      </c>
      <c r="N47" s="354" t="s">
        <v>632</v>
      </c>
      <c r="O47" s="436" t="s">
        <v>809</v>
      </c>
      <c r="P47" s="436" t="s">
        <v>810</v>
      </c>
      <c r="Q47" s="436" t="s">
        <v>548</v>
      </c>
      <c r="R47" s="350" t="s">
        <v>41</v>
      </c>
      <c r="S47" s="437" t="s">
        <v>826</v>
      </c>
      <c r="T47" s="405"/>
      <c r="U47" s="405"/>
      <c r="V47" s="132" t="s">
        <v>46</v>
      </c>
      <c r="W47" s="409"/>
      <c r="X47" s="133" t="s">
        <v>191</v>
      </c>
      <c r="Y47" s="161" t="s">
        <v>270</v>
      </c>
      <c r="Z47" s="161" t="s">
        <v>326</v>
      </c>
      <c r="AA47" s="356" t="s">
        <v>411</v>
      </c>
      <c r="AB47" s="243">
        <v>44</v>
      </c>
    </row>
    <row r="48" spans="1:28" ht="103.5" customHeight="1" x14ac:dyDescent="0.25">
      <c r="A48" s="184" t="s">
        <v>148</v>
      </c>
      <c r="B48" s="183" t="s">
        <v>96</v>
      </c>
      <c r="C48" s="163" t="s">
        <v>309</v>
      </c>
      <c r="D48" s="334" t="s">
        <v>310</v>
      </c>
      <c r="E48" s="134">
        <v>43525</v>
      </c>
      <c r="F48" s="423">
        <v>0.99</v>
      </c>
      <c r="G48" s="423">
        <v>0.99</v>
      </c>
      <c r="H48" s="132" t="s">
        <v>41</v>
      </c>
      <c r="I48" s="422"/>
      <c r="J48" s="434">
        <v>1</v>
      </c>
      <c r="K48" s="434">
        <v>0.99</v>
      </c>
      <c r="L48" s="434">
        <v>0.99</v>
      </c>
      <c r="M48" s="132" t="s">
        <v>41</v>
      </c>
      <c r="N48" s="354"/>
      <c r="O48" s="438">
        <v>0.99</v>
      </c>
      <c r="P48" s="438">
        <v>0.99</v>
      </c>
      <c r="Q48" s="438">
        <v>0.99</v>
      </c>
      <c r="R48" s="350" t="s">
        <v>41</v>
      </c>
      <c r="S48" s="437"/>
      <c r="T48" s="405"/>
      <c r="U48" s="405"/>
      <c r="V48" s="132" t="s">
        <v>46</v>
      </c>
      <c r="W48" s="409"/>
      <c r="X48" s="133" t="s">
        <v>191</v>
      </c>
      <c r="Y48" s="161" t="s">
        <v>270</v>
      </c>
      <c r="Z48" s="161" t="s">
        <v>326</v>
      </c>
      <c r="AA48" s="356" t="s">
        <v>411</v>
      </c>
      <c r="AB48" s="243">
        <v>45</v>
      </c>
    </row>
    <row r="49" spans="1:47" ht="103.5" customHeight="1" x14ac:dyDescent="0.25">
      <c r="A49" s="184" t="s">
        <v>149</v>
      </c>
      <c r="B49" s="183" t="s">
        <v>96</v>
      </c>
      <c r="C49" s="163" t="s">
        <v>309</v>
      </c>
      <c r="D49" s="334" t="s">
        <v>311</v>
      </c>
      <c r="E49" s="134">
        <v>43525</v>
      </c>
      <c r="F49" s="423">
        <v>0.81</v>
      </c>
      <c r="G49" s="423">
        <v>0.75</v>
      </c>
      <c r="H49" s="132" t="s">
        <v>41</v>
      </c>
      <c r="I49" s="422"/>
      <c r="J49" s="434">
        <v>0.84</v>
      </c>
      <c r="K49" s="434">
        <v>0.85</v>
      </c>
      <c r="L49" s="434">
        <v>0.75</v>
      </c>
      <c r="M49" s="132" t="s">
        <v>41</v>
      </c>
      <c r="N49" s="354"/>
      <c r="O49" s="438">
        <v>0.85</v>
      </c>
      <c r="P49" s="438">
        <v>0.85</v>
      </c>
      <c r="Q49" s="438">
        <v>0.75</v>
      </c>
      <c r="R49" s="350" t="s">
        <v>41</v>
      </c>
      <c r="S49" s="437"/>
      <c r="T49" s="405"/>
      <c r="U49" s="405"/>
      <c r="V49" s="132" t="s">
        <v>46</v>
      </c>
      <c r="W49" s="412"/>
      <c r="X49" s="133" t="s">
        <v>191</v>
      </c>
      <c r="Y49" s="161" t="s">
        <v>270</v>
      </c>
      <c r="Z49" s="161" t="s">
        <v>326</v>
      </c>
      <c r="AA49" s="356" t="s">
        <v>411</v>
      </c>
      <c r="AB49" s="243">
        <v>46</v>
      </c>
    </row>
    <row r="50" spans="1:47" ht="138.75" customHeight="1" x14ac:dyDescent="0.25">
      <c r="A50" s="184" t="s">
        <v>150</v>
      </c>
      <c r="B50" s="183" t="s">
        <v>96</v>
      </c>
      <c r="C50" s="163" t="s">
        <v>312</v>
      </c>
      <c r="D50" s="419" t="s">
        <v>313</v>
      </c>
      <c r="E50" s="134">
        <v>43525</v>
      </c>
      <c r="F50" s="424" t="s">
        <v>605</v>
      </c>
      <c r="G50" s="424" t="s">
        <v>606</v>
      </c>
      <c r="H50" s="132" t="s">
        <v>41</v>
      </c>
      <c r="I50" s="422" t="s">
        <v>549</v>
      </c>
      <c r="J50" s="434" t="s">
        <v>644</v>
      </c>
      <c r="K50" s="434" t="s">
        <v>644</v>
      </c>
      <c r="L50" s="434" t="s">
        <v>645</v>
      </c>
      <c r="M50" s="132" t="s">
        <v>41</v>
      </c>
      <c r="N50" s="354" t="s">
        <v>689</v>
      </c>
      <c r="O50" s="436" t="s">
        <v>853</v>
      </c>
      <c r="P50" s="436" t="s">
        <v>811</v>
      </c>
      <c r="Q50" s="436" t="s">
        <v>812</v>
      </c>
      <c r="R50" s="350" t="s">
        <v>41</v>
      </c>
      <c r="S50" s="437" t="s">
        <v>813</v>
      </c>
      <c r="T50" s="405"/>
      <c r="U50" s="405"/>
      <c r="V50" s="132" t="s">
        <v>46</v>
      </c>
      <c r="W50" s="409"/>
      <c r="X50" s="133" t="s">
        <v>191</v>
      </c>
      <c r="Y50" s="161" t="s">
        <v>270</v>
      </c>
      <c r="Z50" s="161" t="s">
        <v>326</v>
      </c>
      <c r="AA50" s="356" t="s">
        <v>411</v>
      </c>
      <c r="AB50" s="243">
        <v>47</v>
      </c>
    </row>
    <row r="51" spans="1:47" ht="103.5" customHeight="1" x14ac:dyDescent="0.25">
      <c r="A51" s="184" t="s">
        <v>151</v>
      </c>
      <c r="B51" s="183" t="s">
        <v>96</v>
      </c>
      <c r="C51" s="163" t="s">
        <v>314</v>
      </c>
      <c r="D51" s="419" t="s">
        <v>602</v>
      </c>
      <c r="E51" s="134">
        <v>43525</v>
      </c>
      <c r="F51" s="425" t="s">
        <v>603</v>
      </c>
      <c r="G51" s="425" t="s">
        <v>604</v>
      </c>
      <c r="H51" s="132" t="s">
        <v>41</v>
      </c>
      <c r="I51" s="422" t="s">
        <v>550</v>
      </c>
      <c r="J51" s="354" t="s">
        <v>640</v>
      </c>
      <c r="K51" s="354" t="s">
        <v>640</v>
      </c>
      <c r="L51" s="354" t="s">
        <v>641</v>
      </c>
      <c r="M51" s="132" t="s">
        <v>41</v>
      </c>
      <c r="N51" s="354" t="s">
        <v>642</v>
      </c>
      <c r="O51" s="436" t="s">
        <v>814</v>
      </c>
      <c r="P51" s="436" t="s">
        <v>814</v>
      </c>
      <c r="Q51" s="436" t="s">
        <v>815</v>
      </c>
      <c r="R51" s="350" t="s">
        <v>41</v>
      </c>
      <c r="S51" s="437" t="s">
        <v>816</v>
      </c>
      <c r="T51" s="405"/>
      <c r="U51" s="405"/>
      <c r="V51" s="132" t="s">
        <v>46</v>
      </c>
      <c r="W51" s="409"/>
      <c r="X51" s="133" t="s">
        <v>191</v>
      </c>
      <c r="Y51" s="161" t="s">
        <v>270</v>
      </c>
      <c r="Z51" s="161" t="s">
        <v>326</v>
      </c>
      <c r="AA51" s="356" t="s">
        <v>411</v>
      </c>
      <c r="AB51" s="243">
        <v>48</v>
      </c>
    </row>
    <row r="52" spans="1:47" ht="173.25" x14ac:dyDescent="0.25">
      <c r="A52" s="184" t="s">
        <v>152</v>
      </c>
      <c r="B52" s="183" t="s">
        <v>96</v>
      </c>
      <c r="C52" s="163" t="s">
        <v>315</v>
      </c>
      <c r="D52" s="334" t="s">
        <v>316</v>
      </c>
      <c r="E52" s="134">
        <v>43525</v>
      </c>
      <c r="F52" s="425" t="s">
        <v>599</v>
      </c>
      <c r="G52" s="425" t="s">
        <v>601</v>
      </c>
      <c r="H52" s="132" t="s">
        <v>41</v>
      </c>
      <c r="I52" s="422" t="s">
        <v>600</v>
      </c>
      <c r="J52" s="354" t="s">
        <v>646</v>
      </c>
      <c r="K52" s="354" t="s">
        <v>646</v>
      </c>
      <c r="L52" s="354" t="s">
        <v>647</v>
      </c>
      <c r="M52" s="410" t="s">
        <v>41</v>
      </c>
      <c r="N52" s="354" t="s">
        <v>732</v>
      </c>
      <c r="O52" s="436" t="s">
        <v>817</v>
      </c>
      <c r="P52" s="436" t="s">
        <v>817</v>
      </c>
      <c r="Q52" s="436" t="s">
        <v>818</v>
      </c>
      <c r="R52" s="350" t="s">
        <v>41</v>
      </c>
      <c r="S52" s="426" t="s">
        <v>819</v>
      </c>
      <c r="T52" s="405"/>
      <c r="U52" s="405"/>
      <c r="V52" s="132" t="s">
        <v>46</v>
      </c>
      <c r="W52" s="409"/>
      <c r="X52" s="133" t="s">
        <v>191</v>
      </c>
      <c r="Y52" s="161" t="s">
        <v>270</v>
      </c>
      <c r="Z52" s="161" t="s">
        <v>326</v>
      </c>
      <c r="AA52" s="356" t="s">
        <v>411</v>
      </c>
      <c r="AB52" s="243">
        <v>49</v>
      </c>
    </row>
    <row r="53" spans="1:47" ht="103.5" customHeight="1" x14ac:dyDescent="0.25">
      <c r="A53" s="184" t="s">
        <v>153</v>
      </c>
      <c r="B53" s="183" t="s">
        <v>96</v>
      </c>
      <c r="C53" s="163" t="s">
        <v>317</v>
      </c>
      <c r="D53" s="334" t="s">
        <v>503</v>
      </c>
      <c r="E53" s="134">
        <v>43525</v>
      </c>
      <c r="F53" s="422"/>
      <c r="G53" s="422" t="s">
        <v>551</v>
      </c>
      <c r="H53" s="132" t="s">
        <v>43</v>
      </c>
      <c r="I53" s="422" t="s">
        <v>552</v>
      </c>
      <c r="J53" s="354" t="s">
        <v>633</v>
      </c>
      <c r="K53" s="354"/>
      <c r="L53" s="354"/>
      <c r="M53" s="132" t="s">
        <v>41</v>
      </c>
      <c r="N53" s="354" t="s">
        <v>634</v>
      </c>
      <c r="O53" s="436" t="s">
        <v>820</v>
      </c>
      <c r="P53" s="436"/>
      <c r="Q53" s="436"/>
      <c r="R53" s="350" t="s">
        <v>40</v>
      </c>
      <c r="S53" s="437"/>
      <c r="T53" s="405"/>
      <c r="U53" s="405"/>
      <c r="V53" s="132" t="s">
        <v>46</v>
      </c>
      <c r="W53" s="409"/>
      <c r="X53" s="133" t="s">
        <v>191</v>
      </c>
      <c r="Y53" s="161" t="s">
        <v>270</v>
      </c>
      <c r="Z53" s="161" t="s">
        <v>326</v>
      </c>
      <c r="AA53" s="356" t="s">
        <v>411</v>
      </c>
      <c r="AB53" s="243">
        <v>50</v>
      </c>
    </row>
    <row r="54" spans="1:47" ht="103.5" customHeight="1" x14ac:dyDescent="0.25">
      <c r="A54" s="184" t="s">
        <v>154</v>
      </c>
      <c r="B54" s="183" t="s">
        <v>96</v>
      </c>
      <c r="C54" s="163" t="s">
        <v>318</v>
      </c>
      <c r="D54" s="334" t="s">
        <v>504</v>
      </c>
      <c r="E54" s="134">
        <v>43344</v>
      </c>
      <c r="F54" s="422"/>
      <c r="G54" s="422"/>
      <c r="H54" s="132" t="s">
        <v>43</v>
      </c>
      <c r="I54" s="422" t="s">
        <v>612</v>
      </c>
      <c r="J54" s="354" t="s">
        <v>635</v>
      </c>
      <c r="K54" s="354"/>
      <c r="L54" s="354"/>
      <c r="M54" s="132" t="s">
        <v>40</v>
      </c>
      <c r="N54" s="354"/>
      <c r="O54" s="436" t="s">
        <v>821</v>
      </c>
      <c r="P54" s="436"/>
      <c r="Q54" s="436"/>
      <c r="R54" s="350" t="s">
        <v>40</v>
      </c>
      <c r="S54" s="437"/>
      <c r="T54" s="405"/>
      <c r="U54" s="405"/>
      <c r="V54" s="132" t="s">
        <v>46</v>
      </c>
      <c r="W54" s="409"/>
      <c r="X54" s="133" t="s">
        <v>191</v>
      </c>
      <c r="Y54" s="161" t="s">
        <v>270</v>
      </c>
      <c r="Z54" s="161" t="s">
        <v>326</v>
      </c>
      <c r="AA54" s="356" t="s">
        <v>411</v>
      </c>
      <c r="AB54" s="243">
        <v>51</v>
      </c>
    </row>
    <row r="55" spans="1:47" ht="103.5" customHeight="1" x14ac:dyDescent="0.25">
      <c r="A55" s="184" t="s">
        <v>190</v>
      </c>
      <c r="B55" s="183" t="s">
        <v>96</v>
      </c>
      <c r="C55" s="163" t="s">
        <v>319</v>
      </c>
      <c r="D55" s="334" t="s">
        <v>505</v>
      </c>
      <c r="E55" s="134">
        <v>43191</v>
      </c>
      <c r="F55" s="422" t="s">
        <v>523</v>
      </c>
      <c r="G55" s="422"/>
      <c r="H55" s="132" t="s">
        <v>40</v>
      </c>
      <c r="I55" s="422" t="s">
        <v>553</v>
      </c>
      <c r="J55" s="434" t="s">
        <v>687</v>
      </c>
      <c r="K55" s="354"/>
      <c r="L55" s="354"/>
      <c r="M55" s="132" t="s">
        <v>40</v>
      </c>
      <c r="N55" s="354" t="s">
        <v>523</v>
      </c>
      <c r="O55" s="436" t="s">
        <v>822</v>
      </c>
      <c r="P55" s="436"/>
      <c r="Q55" s="436"/>
      <c r="R55" s="350" t="s">
        <v>40</v>
      </c>
      <c r="S55" s="437"/>
      <c r="T55" s="405"/>
      <c r="U55" s="405"/>
      <c r="V55" s="132" t="s">
        <v>46</v>
      </c>
      <c r="W55" s="409"/>
      <c r="X55" s="133" t="s">
        <v>191</v>
      </c>
      <c r="Y55" s="161" t="s">
        <v>270</v>
      </c>
      <c r="Z55" s="161" t="s">
        <v>326</v>
      </c>
      <c r="AA55" s="356" t="s">
        <v>411</v>
      </c>
      <c r="AB55" s="243">
        <v>52</v>
      </c>
    </row>
    <row r="56" spans="1:47" ht="103.5" customHeight="1" x14ac:dyDescent="0.25">
      <c r="A56" s="184" t="s">
        <v>247</v>
      </c>
      <c r="B56" s="183" t="s">
        <v>96</v>
      </c>
      <c r="C56" s="163" t="s">
        <v>320</v>
      </c>
      <c r="D56" s="334" t="s">
        <v>506</v>
      </c>
      <c r="E56" s="134">
        <v>43344</v>
      </c>
      <c r="F56" s="422"/>
      <c r="G56" s="422"/>
      <c r="H56" s="132" t="s">
        <v>43</v>
      </c>
      <c r="I56" s="422" t="s">
        <v>612</v>
      </c>
      <c r="J56" s="354" t="s">
        <v>636</v>
      </c>
      <c r="K56" s="354"/>
      <c r="L56" s="354"/>
      <c r="M56" s="132" t="s">
        <v>40</v>
      </c>
      <c r="N56" s="354" t="s">
        <v>637</v>
      </c>
      <c r="O56" s="436" t="s">
        <v>821</v>
      </c>
      <c r="P56" s="436"/>
      <c r="Q56" s="436"/>
      <c r="R56" s="350" t="s">
        <v>40</v>
      </c>
      <c r="S56" s="436" t="s">
        <v>823</v>
      </c>
      <c r="T56" s="405"/>
      <c r="U56" s="405"/>
      <c r="V56" s="132" t="s">
        <v>46</v>
      </c>
      <c r="W56" s="409"/>
      <c r="X56" s="133" t="s">
        <v>191</v>
      </c>
      <c r="Y56" s="161" t="s">
        <v>270</v>
      </c>
      <c r="Z56" s="161" t="s">
        <v>326</v>
      </c>
      <c r="AA56" s="356" t="s">
        <v>411</v>
      </c>
      <c r="AB56" s="243">
        <v>53</v>
      </c>
    </row>
    <row r="57" spans="1:47" ht="150" x14ac:dyDescent="0.25">
      <c r="A57" s="184" t="s">
        <v>248</v>
      </c>
      <c r="B57" s="183" t="s">
        <v>96</v>
      </c>
      <c r="C57" s="163" t="s">
        <v>309</v>
      </c>
      <c r="D57" s="334" t="s">
        <v>507</v>
      </c>
      <c r="E57" s="134">
        <v>43252</v>
      </c>
      <c r="F57" s="422" t="s">
        <v>625</v>
      </c>
      <c r="G57" s="422"/>
      <c r="H57" s="410" t="s">
        <v>27</v>
      </c>
      <c r="I57" s="422"/>
      <c r="J57" s="354" t="s">
        <v>702</v>
      </c>
      <c r="K57" s="354"/>
      <c r="L57" s="354"/>
      <c r="M57" s="132" t="s">
        <v>42</v>
      </c>
      <c r="N57" s="354" t="s">
        <v>703</v>
      </c>
      <c r="O57" s="436" t="s">
        <v>821</v>
      </c>
      <c r="P57" s="436"/>
      <c r="Q57" s="436"/>
      <c r="R57" s="350" t="s">
        <v>42</v>
      </c>
      <c r="S57" s="437" t="s">
        <v>824</v>
      </c>
      <c r="T57" s="405"/>
      <c r="U57" s="405"/>
      <c r="V57" s="132" t="s">
        <v>46</v>
      </c>
      <c r="W57" s="409"/>
      <c r="X57" s="133" t="s">
        <v>191</v>
      </c>
      <c r="Y57" s="161" t="s">
        <v>270</v>
      </c>
      <c r="Z57" s="161" t="s">
        <v>326</v>
      </c>
      <c r="AA57" s="356" t="s">
        <v>411</v>
      </c>
      <c r="AB57" s="243">
        <v>54</v>
      </c>
    </row>
    <row r="58" spans="1:47" ht="125.25" customHeight="1" x14ac:dyDescent="0.25">
      <c r="A58" s="184" t="s">
        <v>249</v>
      </c>
      <c r="B58" s="183" t="s">
        <v>96</v>
      </c>
      <c r="C58" s="163" t="s">
        <v>309</v>
      </c>
      <c r="D58" s="334" t="s">
        <v>508</v>
      </c>
      <c r="E58" s="134">
        <v>43313</v>
      </c>
      <c r="F58" s="422" t="s">
        <v>554</v>
      </c>
      <c r="G58" s="422"/>
      <c r="H58" s="132" t="s">
        <v>41</v>
      </c>
      <c r="I58" s="422"/>
      <c r="J58" s="354" t="s">
        <v>638</v>
      </c>
      <c r="K58" s="354"/>
      <c r="L58" s="354"/>
      <c r="M58" s="132" t="s">
        <v>40</v>
      </c>
      <c r="N58" s="354" t="s">
        <v>639</v>
      </c>
      <c r="O58" s="436" t="s">
        <v>825</v>
      </c>
      <c r="P58" s="436"/>
      <c r="Q58" s="436"/>
      <c r="R58" s="350" t="s">
        <v>40</v>
      </c>
      <c r="S58" s="437"/>
      <c r="T58" s="405"/>
      <c r="U58" s="405"/>
      <c r="V58" s="132" t="s">
        <v>46</v>
      </c>
      <c r="W58" s="409"/>
      <c r="X58" s="133" t="s">
        <v>191</v>
      </c>
      <c r="Y58" s="161" t="s">
        <v>270</v>
      </c>
      <c r="Z58" s="161" t="s">
        <v>326</v>
      </c>
      <c r="AA58" s="356" t="s">
        <v>411</v>
      </c>
      <c r="AB58" s="243">
        <v>55</v>
      </c>
    </row>
    <row r="59" spans="1:47" ht="103.5" customHeight="1" x14ac:dyDescent="0.25">
      <c r="A59" s="184" t="s">
        <v>250</v>
      </c>
      <c r="B59" s="183" t="s">
        <v>326</v>
      </c>
      <c r="C59" s="163" t="s">
        <v>321</v>
      </c>
      <c r="D59" s="334" t="s">
        <v>502</v>
      </c>
      <c r="E59" s="134">
        <v>43525</v>
      </c>
      <c r="F59" s="422"/>
      <c r="G59" s="422"/>
      <c r="H59" s="132" t="s">
        <v>43</v>
      </c>
      <c r="I59" s="422"/>
      <c r="J59" s="354"/>
      <c r="K59" s="354"/>
      <c r="L59" s="354"/>
      <c r="M59" s="132" t="s">
        <v>43</v>
      </c>
      <c r="N59" s="354"/>
      <c r="O59" s="436"/>
      <c r="P59" s="436"/>
      <c r="Q59" s="436"/>
      <c r="R59" s="350" t="s">
        <v>43</v>
      </c>
      <c r="S59" s="437"/>
      <c r="T59" s="405"/>
      <c r="U59" s="405"/>
      <c r="V59" s="132" t="s">
        <v>46</v>
      </c>
      <c r="W59" s="409"/>
      <c r="X59" s="133" t="s">
        <v>191</v>
      </c>
      <c r="Y59" s="161" t="s">
        <v>270</v>
      </c>
      <c r="Z59" s="161" t="s">
        <v>326</v>
      </c>
      <c r="AA59" s="356" t="s">
        <v>412</v>
      </c>
      <c r="AB59" s="243">
        <v>56</v>
      </c>
    </row>
    <row r="60" spans="1:47" ht="105.75" customHeight="1" x14ac:dyDescent="0.25">
      <c r="A60" s="184" t="s">
        <v>251</v>
      </c>
      <c r="B60" s="183" t="s">
        <v>260</v>
      </c>
      <c r="C60" s="163" t="s">
        <v>322</v>
      </c>
      <c r="D60" s="334" t="s">
        <v>323</v>
      </c>
      <c r="E60" s="134">
        <v>43525</v>
      </c>
      <c r="F60" s="422" t="s">
        <v>557</v>
      </c>
      <c r="G60" s="422"/>
      <c r="H60" s="132" t="s">
        <v>41</v>
      </c>
      <c r="I60" s="422"/>
      <c r="J60" s="354" t="s">
        <v>705</v>
      </c>
      <c r="K60" s="354" t="s">
        <v>655</v>
      </c>
      <c r="L60" s="354" t="s">
        <v>323</v>
      </c>
      <c r="M60" s="132" t="s">
        <v>41</v>
      </c>
      <c r="N60" s="354"/>
      <c r="O60" s="436" t="s">
        <v>803</v>
      </c>
      <c r="P60" s="436"/>
      <c r="Q60" s="436"/>
      <c r="R60" s="350" t="s">
        <v>40</v>
      </c>
      <c r="S60" s="437"/>
      <c r="T60" s="405"/>
      <c r="U60" s="405"/>
      <c r="V60" s="132" t="s">
        <v>46</v>
      </c>
      <c r="W60" s="409"/>
      <c r="X60" s="133" t="s">
        <v>191</v>
      </c>
      <c r="Y60" s="161" t="s">
        <v>269</v>
      </c>
      <c r="Z60" s="161" t="s">
        <v>327</v>
      </c>
      <c r="AA60" s="356" t="s">
        <v>413</v>
      </c>
      <c r="AB60" s="243">
        <v>57</v>
      </c>
    </row>
    <row r="61" spans="1:47" ht="103.5" customHeight="1" x14ac:dyDescent="0.25">
      <c r="A61" s="184" t="s">
        <v>252</v>
      </c>
      <c r="B61" s="183" t="s">
        <v>260</v>
      </c>
      <c r="C61" s="163" t="s">
        <v>324</v>
      </c>
      <c r="D61" s="334" t="s">
        <v>511</v>
      </c>
      <c r="E61" s="134">
        <v>43525</v>
      </c>
      <c r="F61" s="422"/>
      <c r="G61" s="422"/>
      <c r="H61" s="132" t="s">
        <v>43</v>
      </c>
      <c r="I61" s="422"/>
      <c r="J61" s="354"/>
      <c r="K61" s="354"/>
      <c r="L61" s="354"/>
      <c r="M61" s="132" t="s">
        <v>43</v>
      </c>
      <c r="N61" s="354"/>
      <c r="O61" s="436"/>
      <c r="P61" s="436"/>
      <c r="Q61" s="436"/>
      <c r="R61" s="350" t="s">
        <v>43</v>
      </c>
      <c r="S61" s="437"/>
      <c r="T61" s="405"/>
      <c r="U61" s="405"/>
      <c r="V61" s="132" t="s">
        <v>46</v>
      </c>
      <c r="W61" s="409"/>
      <c r="X61" s="133" t="s">
        <v>191</v>
      </c>
      <c r="Y61" s="161" t="s">
        <v>269</v>
      </c>
      <c r="Z61" s="161" t="s">
        <v>327</v>
      </c>
      <c r="AA61" s="356" t="s">
        <v>413</v>
      </c>
      <c r="AB61" s="243">
        <v>58</v>
      </c>
    </row>
    <row r="62" spans="1:47" ht="94.5" x14ac:dyDescent="0.25">
      <c r="A62" s="184" t="s">
        <v>253</v>
      </c>
      <c r="B62" s="183" t="s">
        <v>260</v>
      </c>
      <c r="C62" s="163" t="s">
        <v>325</v>
      </c>
      <c r="D62" s="334" t="s">
        <v>512</v>
      </c>
      <c r="E62" s="134">
        <v>43282</v>
      </c>
      <c r="F62" s="422" t="s">
        <v>556</v>
      </c>
      <c r="G62" s="422"/>
      <c r="H62" s="132" t="s">
        <v>41</v>
      </c>
      <c r="I62" s="422"/>
      <c r="J62" s="354" t="s">
        <v>653</v>
      </c>
      <c r="K62" s="354"/>
      <c r="L62" s="354"/>
      <c r="M62" s="132" t="s">
        <v>40</v>
      </c>
      <c r="N62" s="354"/>
      <c r="O62" s="354" t="s">
        <v>653</v>
      </c>
      <c r="P62" s="436"/>
      <c r="Q62" s="436"/>
      <c r="R62" s="350" t="s">
        <v>40</v>
      </c>
      <c r="S62" s="437"/>
      <c r="T62" s="405"/>
      <c r="U62" s="405"/>
      <c r="V62" s="132" t="s">
        <v>46</v>
      </c>
      <c r="W62" s="409"/>
      <c r="X62" s="133" t="s">
        <v>191</v>
      </c>
      <c r="Y62" s="161" t="s">
        <v>269</v>
      </c>
      <c r="Z62" s="161" t="s">
        <v>327</v>
      </c>
      <c r="AA62" s="356" t="s">
        <v>413</v>
      </c>
      <c r="AB62" s="243">
        <v>59</v>
      </c>
    </row>
    <row r="63" spans="1:47" s="244" customFormat="1" ht="21" x14ac:dyDescent="0.35">
      <c r="A63" s="329" t="s">
        <v>416</v>
      </c>
      <c r="B63" s="330"/>
      <c r="C63" s="375"/>
      <c r="D63" s="331"/>
      <c r="E63" s="331"/>
      <c r="F63" s="331"/>
      <c r="G63" s="331"/>
      <c r="H63" s="331"/>
      <c r="I63" s="331"/>
      <c r="J63" s="331"/>
      <c r="K63" s="331"/>
      <c r="L63" s="331"/>
      <c r="M63" s="331"/>
      <c r="N63" s="331"/>
      <c r="O63" s="427"/>
      <c r="P63" s="427"/>
      <c r="Q63" s="427"/>
      <c r="R63" s="427"/>
      <c r="S63" s="427"/>
      <c r="T63" s="331"/>
      <c r="U63" s="331"/>
      <c r="V63" s="331"/>
      <c r="W63" s="331"/>
      <c r="X63" s="331"/>
      <c r="Y63" s="331"/>
      <c r="Z63" s="331"/>
      <c r="AA63" s="331"/>
      <c r="AB63" s="331">
        <v>60</v>
      </c>
      <c r="AC63" s="379"/>
      <c r="AD63" s="379"/>
      <c r="AE63" s="379"/>
      <c r="AF63" s="379"/>
      <c r="AG63" s="379"/>
      <c r="AH63" s="379"/>
      <c r="AI63" s="379"/>
      <c r="AJ63" s="379"/>
      <c r="AK63" s="379"/>
      <c r="AL63" s="379"/>
      <c r="AM63" s="379"/>
      <c r="AN63" s="379"/>
      <c r="AO63" s="379"/>
      <c r="AP63" s="379"/>
      <c r="AQ63" s="379"/>
      <c r="AR63" s="379"/>
      <c r="AS63" s="379"/>
      <c r="AT63" s="379"/>
      <c r="AU63" s="379"/>
    </row>
    <row r="64" spans="1:47" ht="103.5" customHeight="1" x14ac:dyDescent="0.25">
      <c r="A64" s="184" t="s">
        <v>194</v>
      </c>
      <c r="B64" s="183" t="s">
        <v>327</v>
      </c>
      <c r="C64" s="162" t="s">
        <v>329</v>
      </c>
      <c r="D64" s="334" t="s">
        <v>472</v>
      </c>
      <c r="E64" s="134">
        <v>43525</v>
      </c>
      <c r="F64" s="422"/>
      <c r="G64" s="422"/>
      <c r="H64" s="132" t="s">
        <v>43</v>
      </c>
      <c r="I64" s="422"/>
      <c r="J64" s="354" t="s">
        <v>741</v>
      </c>
      <c r="K64" s="354"/>
      <c r="L64" s="354"/>
      <c r="M64" s="410" t="s">
        <v>22</v>
      </c>
      <c r="N64" s="354" t="s">
        <v>740</v>
      </c>
      <c r="O64" s="436" t="s">
        <v>792</v>
      </c>
      <c r="P64" s="436"/>
      <c r="Q64" s="436"/>
      <c r="R64" s="350" t="s">
        <v>22</v>
      </c>
      <c r="S64" s="437"/>
      <c r="T64" s="405"/>
      <c r="U64" s="405"/>
      <c r="V64" s="132" t="s">
        <v>46</v>
      </c>
      <c r="W64" s="406"/>
      <c r="X64" s="133" t="s">
        <v>192</v>
      </c>
      <c r="Y64" s="161" t="s">
        <v>85</v>
      </c>
      <c r="Z64" s="161" t="s">
        <v>327</v>
      </c>
      <c r="AA64" s="132" t="s">
        <v>414</v>
      </c>
      <c r="AB64" s="243">
        <v>61</v>
      </c>
    </row>
    <row r="65" spans="1:47" ht="103.5" customHeight="1" x14ac:dyDescent="0.25">
      <c r="A65" s="184" t="s">
        <v>195</v>
      </c>
      <c r="B65" s="183" t="s">
        <v>263</v>
      </c>
      <c r="C65" s="162" t="s">
        <v>254</v>
      </c>
      <c r="D65" s="334" t="s">
        <v>330</v>
      </c>
      <c r="E65" s="134">
        <v>43525</v>
      </c>
      <c r="F65" s="421" t="s">
        <v>607</v>
      </c>
      <c r="G65" s="422"/>
      <c r="H65" s="132" t="s">
        <v>41</v>
      </c>
      <c r="I65" s="422"/>
      <c r="J65" s="354" t="s">
        <v>676</v>
      </c>
      <c r="K65" s="354" t="s">
        <v>675</v>
      </c>
      <c r="L65" s="354" t="s">
        <v>738</v>
      </c>
      <c r="M65" s="132" t="s">
        <v>41</v>
      </c>
      <c r="N65" s="354"/>
      <c r="O65" s="436" t="s">
        <v>786</v>
      </c>
      <c r="P65" s="436" t="s">
        <v>789</v>
      </c>
      <c r="Q65" s="436" t="s">
        <v>738</v>
      </c>
      <c r="R65" s="350" t="s">
        <v>41</v>
      </c>
      <c r="S65" s="437"/>
      <c r="T65" s="405"/>
      <c r="U65" s="405"/>
      <c r="V65" s="132" t="s">
        <v>46</v>
      </c>
      <c r="W65" s="406"/>
      <c r="X65" s="133" t="s">
        <v>192</v>
      </c>
      <c r="Y65" s="161" t="s">
        <v>92</v>
      </c>
      <c r="Z65" s="161" t="s">
        <v>326</v>
      </c>
      <c r="AA65" s="132" t="s">
        <v>415</v>
      </c>
      <c r="AB65" s="243">
        <v>62</v>
      </c>
    </row>
    <row r="66" spans="1:47" ht="103.5" customHeight="1" x14ac:dyDescent="0.25">
      <c r="A66" s="184" t="s">
        <v>196</v>
      </c>
      <c r="B66" s="183" t="s">
        <v>263</v>
      </c>
      <c r="C66" s="162" t="s">
        <v>255</v>
      </c>
      <c r="D66" s="334" t="s">
        <v>330</v>
      </c>
      <c r="E66" s="134">
        <v>43525</v>
      </c>
      <c r="F66" s="421" t="s">
        <v>608</v>
      </c>
      <c r="G66" s="422"/>
      <c r="H66" s="132" t="s">
        <v>41</v>
      </c>
      <c r="I66" s="422"/>
      <c r="J66" s="354" t="s">
        <v>677</v>
      </c>
      <c r="K66" s="354" t="s">
        <v>656</v>
      </c>
      <c r="L66" s="354" t="s">
        <v>738</v>
      </c>
      <c r="M66" s="132" t="s">
        <v>41</v>
      </c>
      <c r="N66" s="354"/>
      <c r="O66" s="436" t="s">
        <v>787</v>
      </c>
      <c r="P66" s="436" t="s">
        <v>791</v>
      </c>
      <c r="Q66" s="436" t="s">
        <v>738</v>
      </c>
      <c r="R66" s="350" t="s">
        <v>41</v>
      </c>
      <c r="S66" s="437"/>
      <c r="T66" s="354"/>
      <c r="U66" s="354"/>
      <c r="V66" s="132" t="s">
        <v>46</v>
      </c>
      <c r="W66" s="407"/>
      <c r="X66" s="133" t="s">
        <v>192</v>
      </c>
      <c r="Y66" s="161" t="s">
        <v>92</v>
      </c>
      <c r="Z66" s="161" t="s">
        <v>326</v>
      </c>
      <c r="AA66" s="132" t="s">
        <v>415</v>
      </c>
      <c r="AB66" s="243">
        <v>63</v>
      </c>
    </row>
    <row r="67" spans="1:47" ht="97.5" customHeight="1" x14ac:dyDescent="0.25">
      <c r="A67" s="184" t="s">
        <v>197</v>
      </c>
      <c r="B67" s="183" t="s">
        <v>263</v>
      </c>
      <c r="C67" s="162" t="s">
        <v>331</v>
      </c>
      <c r="D67" s="334" t="s">
        <v>330</v>
      </c>
      <c r="E67" s="134">
        <v>43525</v>
      </c>
      <c r="F67" s="421" t="s">
        <v>609</v>
      </c>
      <c r="G67" s="422"/>
      <c r="H67" s="132" t="s">
        <v>41</v>
      </c>
      <c r="I67" s="422"/>
      <c r="J67" s="434" t="s">
        <v>678</v>
      </c>
      <c r="K67" s="434" t="s">
        <v>657</v>
      </c>
      <c r="L67" s="434" t="s">
        <v>738</v>
      </c>
      <c r="M67" s="132" t="s">
        <v>41</v>
      </c>
      <c r="N67" s="354"/>
      <c r="O67" s="438" t="s">
        <v>788</v>
      </c>
      <c r="P67" s="438" t="s">
        <v>790</v>
      </c>
      <c r="Q67" s="436" t="s">
        <v>738</v>
      </c>
      <c r="R67" s="350" t="s">
        <v>41</v>
      </c>
      <c r="S67" s="437"/>
      <c r="T67" s="408"/>
      <c r="U67" s="408"/>
      <c r="V67" s="132" t="s">
        <v>46</v>
      </c>
      <c r="W67" s="406"/>
      <c r="X67" s="133" t="s">
        <v>192</v>
      </c>
      <c r="Y67" s="161" t="s">
        <v>92</v>
      </c>
      <c r="Z67" s="161" t="s">
        <v>326</v>
      </c>
      <c r="AA67" s="132" t="s">
        <v>415</v>
      </c>
      <c r="AB67" s="243">
        <v>64</v>
      </c>
    </row>
    <row r="68" spans="1:47" ht="103.5" customHeight="1" x14ac:dyDescent="0.25">
      <c r="A68" s="184" t="s">
        <v>198</v>
      </c>
      <c r="B68" s="183" t="s">
        <v>263</v>
      </c>
      <c r="C68" s="162" t="s">
        <v>257</v>
      </c>
      <c r="D68" s="334" t="s">
        <v>435</v>
      </c>
      <c r="E68" s="134">
        <v>43525</v>
      </c>
      <c r="F68" s="422" t="s">
        <v>573</v>
      </c>
      <c r="G68" s="422"/>
      <c r="H68" s="132" t="s">
        <v>41</v>
      </c>
      <c r="I68" s="422"/>
      <c r="J68" s="354" t="s">
        <v>594</v>
      </c>
      <c r="K68" s="354"/>
      <c r="L68" s="354"/>
      <c r="M68" s="132" t="s">
        <v>41</v>
      </c>
      <c r="N68" s="354"/>
      <c r="O68" s="436" t="s">
        <v>839</v>
      </c>
      <c r="P68" s="436"/>
      <c r="Q68" s="436"/>
      <c r="R68" s="350" t="s">
        <v>41</v>
      </c>
      <c r="S68" s="439"/>
      <c r="T68" s="405"/>
      <c r="U68" s="405"/>
      <c r="V68" s="132" t="s">
        <v>46</v>
      </c>
      <c r="W68" s="406"/>
      <c r="X68" s="133" t="s">
        <v>192</v>
      </c>
      <c r="Y68" s="161" t="s">
        <v>92</v>
      </c>
      <c r="Z68" s="161" t="s">
        <v>326</v>
      </c>
      <c r="AA68" s="132" t="s">
        <v>415</v>
      </c>
      <c r="AB68" s="243">
        <v>65</v>
      </c>
    </row>
    <row r="69" spans="1:47" ht="103.5" customHeight="1" x14ac:dyDescent="0.25">
      <c r="A69" s="184" t="s">
        <v>199</v>
      </c>
      <c r="B69" s="183" t="s">
        <v>265</v>
      </c>
      <c r="C69" s="162" t="s">
        <v>332</v>
      </c>
      <c r="D69" s="334" t="s">
        <v>446</v>
      </c>
      <c r="E69" s="134">
        <v>43525</v>
      </c>
      <c r="F69" s="422" t="s">
        <v>594</v>
      </c>
      <c r="G69" s="422"/>
      <c r="H69" s="132" t="s">
        <v>41</v>
      </c>
      <c r="I69" s="422"/>
      <c r="J69" s="354" t="s">
        <v>594</v>
      </c>
      <c r="K69" s="354"/>
      <c r="L69" s="354"/>
      <c r="M69" s="132" t="s">
        <v>41</v>
      </c>
      <c r="N69" s="354"/>
      <c r="O69" s="437" t="s">
        <v>746</v>
      </c>
      <c r="P69" s="436"/>
      <c r="Q69" s="436"/>
      <c r="R69" s="350" t="s">
        <v>40</v>
      </c>
      <c r="S69" s="439"/>
      <c r="T69" s="405"/>
      <c r="U69" s="405"/>
      <c r="V69" s="132" t="s">
        <v>46</v>
      </c>
      <c r="W69" s="406"/>
      <c r="X69" s="133" t="s">
        <v>192</v>
      </c>
      <c r="Y69" s="161" t="s">
        <v>92</v>
      </c>
      <c r="Z69" s="161" t="s">
        <v>326</v>
      </c>
      <c r="AA69" s="132" t="s">
        <v>92</v>
      </c>
      <c r="AB69" s="243">
        <v>66</v>
      </c>
    </row>
    <row r="70" spans="1:47" ht="103.5" customHeight="1" x14ac:dyDescent="0.25">
      <c r="A70" s="184" t="s">
        <v>200</v>
      </c>
      <c r="B70" s="183" t="s">
        <v>260</v>
      </c>
      <c r="C70" s="162" t="s">
        <v>337</v>
      </c>
      <c r="D70" s="334" t="s">
        <v>513</v>
      </c>
      <c r="E70" s="134">
        <v>43525</v>
      </c>
      <c r="F70" s="422" t="s">
        <v>558</v>
      </c>
      <c r="G70" s="422"/>
      <c r="H70" s="132" t="s">
        <v>41</v>
      </c>
      <c r="I70" s="422"/>
      <c r="J70" s="354" t="s">
        <v>683</v>
      </c>
      <c r="K70" s="354"/>
      <c r="L70" s="354"/>
      <c r="M70" s="132" t="s">
        <v>41</v>
      </c>
      <c r="N70" s="354"/>
      <c r="O70" s="436" t="s">
        <v>802</v>
      </c>
      <c r="P70" s="436"/>
      <c r="Q70" s="436"/>
      <c r="R70" s="350" t="s">
        <v>41</v>
      </c>
      <c r="S70" s="437"/>
      <c r="T70" s="405"/>
      <c r="U70" s="405"/>
      <c r="V70" s="132" t="s">
        <v>46</v>
      </c>
      <c r="W70" s="406"/>
      <c r="X70" s="133" t="s">
        <v>192</v>
      </c>
      <c r="Y70" s="161" t="s">
        <v>92</v>
      </c>
      <c r="Z70" s="161" t="s">
        <v>326</v>
      </c>
      <c r="AA70" s="132" t="s">
        <v>91</v>
      </c>
      <c r="AB70" s="243">
        <v>67</v>
      </c>
    </row>
    <row r="71" spans="1:47" ht="103.5" customHeight="1" x14ac:dyDescent="0.25">
      <c r="A71" s="184" t="s">
        <v>201</v>
      </c>
      <c r="B71" s="183" t="s">
        <v>265</v>
      </c>
      <c r="C71" s="162" t="s">
        <v>256</v>
      </c>
      <c r="D71" s="334" t="s">
        <v>447</v>
      </c>
      <c r="E71" s="134">
        <v>43525</v>
      </c>
      <c r="F71" s="422" t="s">
        <v>590</v>
      </c>
      <c r="G71" s="422"/>
      <c r="H71" s="132" t="s">
        <v>41</v>
      </c>
      <c r="I71" s="422"/>
      <c r="J71" s="354" t="s">
        <v>722</v>
      </c>
      <c r="K71" s="354"/>
      <c r="L71" s="354"/>
      <c r="M71" s="132" t="s">
        <v>41</v>
      </c>
      <c r="N71" s="354"/>
      <c r="O71" s="436" t="s">
        <v>747</v>
      </c>
      <c r="P71" s="436"/>
      <c r="Q71" s="436"/>
      <c r="R71" s="350" t="s">
        <v>41</v>
      </c>
      <c r="S71" s="439"/>
      <c r="T71" s="405"/>
      <c r="U71" s="405"/>
      <c r="V71" s="132" t="s">
        <v>46</v>
      </c>
      <c r="W71" s="405"/>
      <c r="X71" s="133" t="s">
        <v>192</v>
      </c>
      <c r="Y71" s="161" t="s">
        <v>92</v>
      </c>
      <c r="Z71" s="161" t="s">
        <v>326</v>
      </c>
      <c r="AA71" s="132" t="s">
        <v>92</v>
      </c>
      <c r="AB71" s="243">
        <v>68</v>
      </c>
    </row>
    <row r="72" spans="1:47" ht="103.5" customHeight="1" x14ac:dyDescent="0.25">
      <c r="A72" s="184" t="s">
        <v>202</v>
      </c>
      <c r="B72" s="183" t="s">
        <v>260</v>
      </c>
      <c r="C72" s="162" t="s">
        <v>333</v>
      </c>
      <c r="D72" s="334" t="s">
        <v>514</v>
      </c>
      <c r="E72" s="134">
        <v>43282</v>
      </c>
      <c r="F72" s="422" t="s">
        <v>559</v>
      </c>
      <c r="G72" s="422"/>
      <c r="H72" s="410" t="s">
        <v>41</v>
      </c>
      <c r="I72" s="422"/>
      <c r="J72" s="354" t="s">
        <v>723</v>
      </c>
      <c r="K72" s="354"/>
      <c r="L72" s="354"/>
      <c r="M72" s="132" t="s">
        <v>40</v>
      </c>
      <c r="N72" s="354" t="s">
        <v>724</v>
      </c>
      <c r="O72" s="354" t="s">
        <v>723</v>
      </c>
      <c r="P72" s="436"/>
      <c r="Q72" s="436"/>
      <c r="R72" s="350" t="s">
        <v>40</v>
      </c>
      <c r="S72" s="437"/>
      <c r="T72" s="405"/>
      <c r="U72" s="405"/>
      <c r="V72" s="132" t="s">
        <v>46</v>
      </c>
      <c r="W72" s="406"/>
      <c r="X72" s="133" t="s">
        <v>192</v>
      </c>
      <c r="Y72" s="161" t="s">
        <v>269</v>
      </c>
      <c r="Z72" s="161" t="s">
        <v>395</v>
      </c>
      <c r="AA72" s="132" t="s">
        <v>91</v>
      </c>
      <c r="AB72" s="243">
        <v>69</v>
      </c>
    </row>
    <row r="73" spans="1:47" ht="105.75" customHeight="1" x14ac:dyDescent="0.25">
      <c r="A73" s="184" t="s">
        <v>203</v>
      </c>
      <c r="B73" s="183" t="s">
        <v>260</v>
      </c>
      <c r="C73" s="162" t="s">
        <v>334</v>
      </c>
      <c r="D73" s="334" t="s">
        <v>515</v>
      </c>
      <c r="E73" s="134">
        <v>43282</v>
      </c>
      <c r="F73" s="422" t="s">
        <v>622</v>
      </c>
      <c r="G73" s="422"/>
      <c r="H73" s="410" t="s">
        <v>27</v>
      </c>
      <c r="I73" s="422"/>
      <c r="J73" s="354" t="s">
        <v>622</v>
      </c>
      <c r="K73" s="354"/>
      <c r="L73" s="354"/>
      <c r="M73" s="132" t="s">
        <v>27</v>
      </c>
      <c r="N73" s="354"/>
      <c r="O73" s="354" t="s">
        <v>622</v>
      </c>
      <c r="P73" s="436"/>
      <c r="Q73" s="436"/>
      <c r="R73" s="350" t="s">
        <v>754</v>
      </c>
      <c r="S73" s="437"/>
      <c r="T73" s="405"/>
      <c r="U73" s="354"/>
      <c r="V73" s="132" t="s">
        <v>46</v>
      </c>
      <c r="W73" s="414"/>
      <c r="X73" s="133" t="s">
        <v>192</v>
      </c>
      <c r="Y73" s="161" t="s">
        <v>269</v>
      </c>
      <c r="Z73" s="161" t="s">
        <v>395</v>
      </c>
      <c r="AA73" s="132" t="s">
        <v>91</v>
      </c>
      <c r="AB73" s="243">
        <v>70</v>
      </c>
    </row>
    <row r="74" spans="1:47" ht="110.25" x14ac:dyDescent="0.25">
      <c r="A74" s="184" t="s">
        <v>207</v>
      </c>
      <c r="B74" s="183" t="s">
        <v>260</v>
      </c>
      <c r="C74" s="162" t="s">
        <v>338</v>
      </c>
      <c r="D74" s="334" t="s">
        <v>842</v>
      </c>
      <c r="E74" s="134" t="s">
        <v>843</v>
      </c>
      <c r="F74" s="422" t="s">
        <v>560</v>
      </c>
      <c r="G74" s="422"/>
      <c r="H74" s="132" t="s">
        <v>41</v>
      </c>
      <c r="I74" s="422"/>
      <c r="J74" s="354" t="s">
        <v>684</v>
      </c>
      <c r="K74" s="354"/>
      <c r="L74" s="354"/>
      <c r="M74" s="132" t="s">
        <v>41</v>
      </c>
      <c r="N74" s="354"/>
      <c r="O74" s="436" t="s">
        <v>844</v>
      </c>
      <c r="P74" s="436"/>
      <c r="Q74" s="436"/>
      <c r="R74" s="350" t="s">
        <v>41</v>
      </c>
      <c r="S74" s="437"/>
      <c r="T74" s="405"/>
      <c r="U74" s="405"/>
      <c r="V74" s="132" t="s">
        <v>46</v>
      </c>
      <c r="W74" s="406"/>
      <c r="X74" s="133" t="s">
        <v>192</v>
      </c>
      <c r="Y74" s="161" t="s">
        <v>269</v>
      </c>
      <c r="Z74" s="161" t="s">
        <v>395</v>
      </c>
      <c r="AA74" s="132" t="s">
        <v>91</v>
      </c>
      <c r="AB74" s="243">
        <v>71</v>
      </c>
    </row>
    <row r="75" spans="1:47" ht="110.25" x14ac:dyDescent="0.25">
      <c r="A75" s="184" t="s">
        <v>208</v>
      </c>
      <c r="B75" s="183" t="s">
        <v>260</v>
      </c>
      <c r="C75" s="162" t="s">
        <v>338</v>
      </c>
      <c r="D75" s="334" t="s">
        <v>516</v>
      </c>
      <c r="E75" s="134">
        <v>43525</v>
      </c>
      <c r="F75" s="422"/>
      <c r="G75" s="422"/>
      <c r="H75" s="132" t="s">
        <v>43</v>
      </c>
      <c r="I75" s="422"/>
      <c r="J75" s="354"/>
      <c r="K75" s="354"/>
      <c r="L75" s="354"/>
      <c r="M75" s="132" t="s">
        <v>43</v>
      </c>
      <c r="N75" s="354"/>
      <c r="O75" s="436"/>
      <c r="P75" s="436"/>
      <c r="Q75" s="436"/>
      <c r="R75" s="350" t="s">
        <v>43</v>
      </c>
      <c r="S75" s="437"/>
      <c r="T75" s="405"/>
      <c r="U75" s="405"/>
      <c r="V75" s="132" t="s">
        <v>46</v>
      </c>
      <c r="W75" s="406"/>
      <c r="X75" s="133" t="s">
        <v>192</v>
      </c>
      <c r="Y75" s="161" t="s">
        <v>269</v>
      </c>
      <c r="Z75" s="161" t="s">
        <v>395</v>
      </c>
      <c r="AA75" s="132" t="s">
        <v>91</v>
      </c>
      <c r="AB75" s="243">
        <v>72</v>
      </c>
    </row>
    <row r="76" spans="1:47" ht="103.5" customHeight="1" x14ac:dyDescent="0.25">
      <c r="A76" s="184" t="s">
        <v>204</v>
      </c>
      <c r="B76" s="183" t="s">
        <v>260</v>
      </c>
      <c r="C76" s="162" t="s">
        <v>335</v>
      </c>
      <c r="D76" s="334" t="s">
        <v>517</v>
      </c>
      <c r="E76" s="134">
        <v>43525</v>
      </c>
      <c r="F76" s="422" t="s">
        <v>561</v>
      </c>
      <c r="G76" s="422"/>
      <c r="H76" s="132" t="s">
        <v>41</v>
      </c>
      <c r="I76" s="422"/>
      <c r="J76" s="354" t="s">
        <v>654</v>
      </c>
      <c r="K76" s="354" t="s">
        <v>690</v>
      </c>
      <c r="L76" s="354"/>
      <c r="M76" s="132" t="s">
        <v>40</v>
      </c>
      <c r="N76" s="354"/>
      <c r="O76" s="436" t="s">
        <v>755</v>
      </c>
      <c r="P76" s="436">
        <v>3</v>
      </c>
      <c r="Q76" s="436">
        <v>4</v>
      </c>
      <c r="R76" s="350" t="s">
        <v>40</v>
      </c>
      <c r="S76" s="437"/>
      <c r="T76" s="405"/>
      <c r="U76" s="405"/>
      <c r="V76" s="132" t="s">
        <v>46</v>
      </c>
      <c r="W76" s="406"/>
      <c r="X76" s="133" t="s">
        <v>192</v>
      </c>
      <c r="Y76" s="161" t="s">
        <v>269</v>
      </c>
      <c r="Z76" s="161" t="s">
        <v>395</v>
      </c>
      <c r="AA76" s="132" t="s">
        <v>91</v>
      </c>
      <c r="AB76" s="243">
        <v>73</v>
      </c>
    </row>
    <row r="77" spans="1:47" ht="210" x14ac:dyDescent="0.25">
      <c r="A77" s="184" t="s">
        <v>205</v>
      </c>
      <c r="B77" s="183" t="s">
        <v>260</v>
      </c>
      <c r="C77" s="162" t="s">
        <v>336</v>
      </c>
      <c r="D77" s="334" t="s">
        <v>518</v>
      </c>
      <c r="E77" s="134">
        <v>43344</v>
      </c>
      <c r="F77" s="422" t="s">
        <v>562</v>
      </c>
      <c r="G77" s="422"/>
      <c r="H77" s="132" t="s">
        <v>41</v>
      </c>
      <c r="I77" s="422"/>
      <c r="J77" s="354" t="s">
        <v>691</v>
      </c>
      <c r="K77" s="354"/>
      <c r="L77" s="354"/>
      <c r="M77" s="410" t="s">
        <v>40</v>
      </c>
      <c r="N77" s="354" t="s">
        <v>736</v>
      </c>
      <c r="O77" s="436" t="s">
        <v>756</v>
      </c>
      <c r="P77" s="436"/>
      <c r="Q77" s="436"/>
      <c r="R77" s="350" t="s">
        <v>40</v>
      </c>
      <c r="S77" s="437"/>
      <c r="T77" s="405"/>
      <c r="U77" s="405"/>
      <c r="V77" s="132" t="s">
        <v>46</v>
      </c>
      <c r="W77" s="405"/>
      <c r="X77" s="133" t="s">
        <v>192</v>
      </c>
      <c r="Y77" s="161" t="s">
        <v>269</v>
      </c>
      <c r="Z77" s="161" t="s">
        <v>395</v>
      </c>
      <c r="AA77" s="132" t="s">
        <v>91</v>
      </c>
      <c r="AB77" s="243">
        <v>74</v>
      </c>
    </row>
    <row r="78" spans="1:47" s="244" customFormat="1" ht="21" x14ac:dyDescent="0.35">
      <c r="A78" s="329" t="s">
        <v>417</v>
      </c>
      <c r="B78" s="330"/>
      <c r="C78" s="332"/>
      <c r="D78" s="333"/>
      <c r="E78" s="333"/>
      <c r="F78" s="333"/>
      <c r="G78" s="333"/>
      <c r="H78" s="333"/>
      <c r="I78" s="333"/>
      <c r="J78" s="333"/>
      <c r="K78" s="333"/>
      <c r="L78" s="333"/>
      <c r="M78" s="333"/>
      <c r="N78" s="333"/>
      <c r="O78" s="428"/>
      <c r="P78" s="428"/>
      <c r="Q78" s="428"/>
      <c r="R78" s="428"/>
      <c r="S78" s="428"/>
      <c r="T78" s="333"/>
      <c r="U78" s="333"/>
      <c r="V78" s="333"/>
      <c r="W78" s="333"/>
      <c r="X78" s="333"/>
      <c r="Y78" s="333"/>
      <c r="Z78" s="333"/>
      <c r="AA78" s="333"/>
      <c r="AB78" s="331">
        <v>75</v>
      </c>
      <c r="AC78" s="379"/>
      <c r="AD78" s="379"/>
      <c r="AE78" s="379"/>
      <c r="AF78" s="379"/>
      <c r="AG78" s="379"/>
      <c r="AH78" s="379"/>
      <c r="AI78" s="379"/>
      <c r="AJ78" s="379"/>
      <c r="AK78" s="379"/>
      <c r="AL78" s="379"/>
      <c r="AM78" s="379"/>
      <c r="AN78" s="379"/>
      <c r="AO78" s="379"/>
      <c r="AP78" s="379"/>
      <c r="AQ78" s="379"/>
      <c r="AR78" s="379"/>
      <c r="AS78" s="379"/>
      <c r="AT78" s="379"/>
      <c r="AU78" s="379"/>
    </row>
    <row r="79" spans="1:47" ht="150" x14ac:dyDescent="0.25">
      <c r="A79" s="184" t="s">
        <v>155</v>
      </c>
      <c r="B79" s="183" t="s">
        <v>97</v>
      </c>
      <c r="C79" s="162" t="s">
        <v>353</v>
      </c>
      <c r="D79" s="334" t="s">
        <v>459</v>
      </c>
      <c r="E79" s="134">
        <v>43435</v>
      </c>
      <c r="F79" s="422" t="s">
        <v>584</v>
      </c>
      <c r="G79" s="422"/>
      <c r="H79" s="132" t="s">
        <v>41</v>
      </c>
      <c r="I79" s="422"/>
      <c r="J79" s="354" t="s">
        <v>584</v>
      </c>
      <c r="K79" s="354"/>
      <c r="L79" s="354"/>
      <c r="M79" s="132" t="s">
        <v>41</v>
      </c>
      <c r="N79" s="354"/>
      <c r="O79" s="436" t="s">
        <v>584</v>
      </c>
      <c r="P79" s="436"/>
      <c r="Q79" s="436"/>
      <c r="R79" s="350" t="s">
        <v>41</v>
      </c>
      <c r="S79" s="437"/>
      <c r="T79" s="354"/>
      <c r="U79" s="354"/>
      <c r="V79" s="410" t="s">
        <v>46</v>
      </c>
      <c r="W79" s="411"/>
      <c r="X79" s="133" t="s">
        <v>193</v>
      </c>
      <c r="Y79" s="161" t="s">
        <v>77</v>
      </c>
      <c r="Z79" s="161" t="s">
        <v>326</v>
      </c>
      <c r="AA79" s="132" t="s">
        <v>423</v>
      </c>
      <c r="AB79" s="243">
        <v>76</v>
      </c>
    </row>
    <row r="80" spans="1:47" ht="104.25" customHeight="1" x14ac:dyDescent="0.25">
      <c r="A80" s="184" t="s">
        <v>156</v>
      </c>
      <c r="B80" s="183" t="s">
        <v>97</v>
      </c>
      <c r="C80" s="162" t="s">
        <v>353</v>
      </c>
      <c r="D80" s="334" t="s">
        <v>460</v>
      </c>
      <c r="E80" s="134">
        <v>43525</v>
      </c>
      <c r="F80" s="422" t="s">
        <v>566</v>
      </c>
      <c r="G80" s="422"/>
      <c r="H80" s="132" t="s">
        <v>41</v>
      </c>
      <c r="I80" s="422"/>
      <c r="J80" s="354" t="s">
        <v>626</v>
      </c>
      <c r="K80" s="354"/>
      <c r="L80" s="354"/>
      <c r="M80" s="132" t="s">
        <v>41</v>
      </c>
      <c r="N80" s="354"/>
      <c r="O80" s="436" t="s">
        <v>743</v>
      </c>
      <c r="P80" s="436"/>
      <c r="Q80" s="436"/>
      <c r="R80" s="350" t="s">
        <v>41</v>
      </c>
      <c r="S80" s="437"/>
      <c r="T80" s="353"/>
      <c r="U80" s="354"/>
      <c r="V80" s="410" t="s">
        <v>46</v>
      </c>
      <c r="W80" s="353"/>
      <c r="X80" s="133" t="s">
        <v>193</v>
      </c>
      <c r="Y80" s="161" t="s">
        <v>77</v>
      </c>
      <c r="Z80" s="161" t="s">
        <v>326</v>
      </c>
      <c r="AA80" s="132" t="s">
        <v>423</v>
      </c>
      <c r="AB80" s="243">
        <v>77</v>
      </c>
    </row>
    <row r="81" spans="1:28" ht="104.25" customHeight="1" x14ac:dyDescent="0.25">
      <c r="A81" s="184" t="s">
        <v>157</v>
      </c>
      <c r="B81" s="183" t="s">
        <v>97</v>
      </c>
      <c r="C81" s="162" t="s">
        <v>354</v>
      </c>
      <c r="D81" s="334" t="s">
        <v>461</v>
      </c>
      <c r="E81" s="134">
        <v>43374</v>
      </c>
      <c r="F81" s="422"/>
      <c r="G81" s="422"/>
      <c r="H81" s="132" t="s">
        <v>43</v>
      </c>
      <c r="I81" s="422"/>
      <c r="J81" s="354" t="s">
        <v>627</v>
      </c>
      <c r="K81" s="354"/>
      <c r="L81" s="354"/>
      <c r="M81" s="132" t="s">
        <v>41</v>
      </c>
      <c r="N81" s="354"/>
      <c r="O81" s="436" t="s">
        <v>744</v>
      </c>
      <c r="P81" s="436"/>
      <c r="Q81" s="436"/>
      <c r="R81" s="350" t="s">
        <v>40</v>
      </c>
      <c r="S81" s="437"/>
      <c r="T81" s="405"/>
      <c r="U81" s="405"/>
      <c r="V81" s="410" t="s">
        <v>46</v>
      </c>
      <c r="W81" s="406"/>
      <c r="X81" s="133" t="s">
        <v>193</v>
      </c>
      <c r="Y81" s="161" t="s">
        <v>77</v>
      </c>
      <c r="Z81" s="161" t="s">
        <v>326</v>
      </c>
      <c r="AA81" s="132" t="s">
        <v>424</v>
      </c>
      <c r="AB81" s="243">
        <v>78</v>
      </c>
    </row>
    <row r="82" spans="1:28" ht="104.25" customHeight="1" x14ac:dyDescent="0.25">
      <c r="A82" s="184" t="s">
        <v>158</v>
      </c>
      <c r="B82" s="183" t="s">
        <v>97</v>
      </c>
      <c r="C82" s="162" t="s">
        <v>354</v>
      </c>
      <c r="D82" s="334" t="s">
        <v>462</v>
      </c>
      <c r="E82" s="134">
        <v>43525</v>
      </c>
      <c r="F82" s="422"/>
      <c r="G82" s="422"/>
      <c r="H82" s="132" t="s">
        <v>43</v>
      </c>
      <c r="I82" s="422"/>
      <c r="J82" s="354"/>
      <c r="K82" s="354"/>
      <c r="L82" s="354"/>
      <c r="M82" s="132" t="s">
        <v>43</v>
      </c>
      <c r="N82" s="354"/>
      <c r="O82" s="436"/>
      <c r="P82" s="436"/>
      <c r="Q82" s="436"/>
      <c r="R82" s="350" t="s">
        <v>43</v>
      </c>
      <c r="S82" s="437"/>
      <c r="T82" s="405"/>
      <c r="U82" s="405"/>
      <c r="V82" s="410" t="s">
        <v>46</v>
      </c>
      <c r="W82" s="406"/>
      <c r="X82" s="133" t="s">
        <v>193</v>
      </c>
      <c r="Y82" s="161" t="s">
        <v>77</v>
      </c>
      <c r="Z82" s="161" t="s">
        <v>326</v>
      </c>
      <c r="AA82" s="132" t="s">
        <v>424</v>
      </c>
      <c r="AB82" s="243">
        <v>79</v>
      </c>
    </row>
    <row r="83" spans="1:28" ht="104.25" customHeight="1" x14ac:dyDescent="0.25">
      <c r="A83" s="184" t="s">
        <v>159</v>
      </c>
      <c r="B83" s="183" t="s">
        <v>97</v>
      </c>
      <c r="C83" s="162" t="s">
        <v>354</v>
      </c>
      <c r="D83" s="334" t="s">
        <v>463</v>
      </c>
      <c r="E83" s="134">
        <v>43525</v>
      </c>
      <c r="F83" s="422"/>
      <c r="G83" s="422"/>
      <c r="H83" s="132" t="s">
        <v>43</v>
      </c>
      <c r="I83" s="422"/>
      <c r="J83" s="354"/>
      <c r="K83" s="354"/>
      <c r="L83" s="354"/>
      <c r="M83" s="132" t="s">
        <v>43</v>
      </c>
      <c r="N83" s="354"/>
      <c r="O83" s="436" t="s">
        <v>830</v>
      </c>
      <c r="P83" s="436"/>
      <c r="Q83" s="436"/>
      <c r="R83" s="350" t="s">
        <v>41</v>
      </c>
      <c r="S83" s="437"/>
      <c r="T83" s="405"/>
      <c r="U83" s="405"/>
      <c r="V83" s="410" t="s">
        <v>46</v>
      </c>
      <c r="W83" s="406"/>
      <c r="X83" s="133" t="s">
        <v>193</v>
      </c>
      <c r="Y83" s="161" t="s">
        <v>77</v>
      </c>
      <c r="Z83" s="161" t="s">
        <v>326</v>
      </c>
      <c r="AA83" s="132" t="s">
        <v>424</v>
      </c>
      <c r="AB83" s="243">
        <v>80</v>
      </c>
    </row>
    <row r="84" spans="1:28" ht="150" customHeight="1" x14ac:dyDescent="0.25">
      <c r="A84" s="184" t="s">
        <v>160</v>
      </c>
      <c r="B84" s="183" t="s">
        <v>264</v>
      </c>
      <c r="C84" s="162" t="s">
        <v>355</v>
      </c>
      <c r="D84" s="334" t="s">
        <v>485</v>
      </c>
      <c r="E84" s="134">
        <v>43313</v>
      </c>
      <c r="F84" s="422" t="s">
        <v>579</v>
      </c>
      <c r="G84" s="422"/>
      <c r="H84" s="132" t="s">
        <v>41</v>
      </c>
      <c r="I84" s="422"/>
      <c r="J84" s="354" t="s">
        <v>725</v>
      </c>
      <c r="K84" s="354"/>
      <c r="L84" s="354"/>
      <c r="M84" s="132" t="s">
        <v>40</v>
      </c>
      <c r="N84" s="354" t="s">
        <v>726</v>
      </c>
      <c r="O84" s="436" t="s">
        <v>828</v>
      </c>
      <c r="P84" s="436"/>
      <c r="Q84" s="436"/>
      <c r="R84" s="350" t="s">
        <v>40</v>
      </c>
      <c r="S84" s="437"/>
      <c r="T84" s="405"/>
      <c r="U84" s="405"/>
      <c r="V84" s="410" t="s">
        <v>46</v>
      </c>
      <c r="W84" s="406"/>
      <c r="X84" s="133" t="s">
        <v>193</v>
      </c>
      <c r="Y84" s="161" t="s">
        <v>85</v>
      </c>
      <c r="Z84" s="161" t="s">
        <v>327</v>
      </c>
      <c r="AA84" s="132" t="s">
        <v>405</v>
      </c>
      <c r="AB84" s="243">
        <v>81</v>
      </c>
    </row>
    <row r="85" spans="1:28" ht="114" customHeight="1" x14ac:dyDescent="0.25">
      <c r="A85" s="184" t="s">
        <v>161</v>
      </c>
      <c r="B85" s="183" t="s">
        <v>93</v>
      </c>
      <c r="C85" s="162" t="s">
        <v>258</v>
      </c>
      <c r="D85" s="334" t="s">
        <v>483</v>
      </c>
      <c r="E85" s="134">
        <v>43282</v>
      </c>
      <c r="F85" s="422" t="s">
        <v>539</v>
      </c>
      <c r="G85" s="422"/>
      <c r="H85" s="132" t="s">
        <v>41</v>
      </c>
      <c r="I85" s="422"/>
      <c r="J85" s="354" t="s">
        <v>737</v>
      </c>
      <c r="K85" s="354"/>
      <c r="L85" s="354"/>
      <c r="M85" s="410" t="s">
        <v>40</v>
      </c>
      <c r="N85" s="354" t="s">
        <v>733</v>
      </c>
      <c r="O85" s="436" t="s">
        <v>840</v>
      </c>
      <c r="P85" s="436"/>
      <c r="Q85" s="436"/>
      <c r="R85" s="350" t="s">
        <v>40</v>
      </c>
      <c r="S85" s="437"/>
      <c r="T85" s="405"/>
      <c r="U85" s="405"/>
      <c r="V85" s="410" t="s">
        <v>46</v>
      </c>
      <c r="W85" s="406"/>
      <c r="X85" s="133" t="s">
        <v>193</v>
      </c>
      <c r="Y85" s="161" t="s">
        <v>85</v>
      </c>
      <c r="Z85" s="161" t="s">
        <v>327</v>
      </c>
      <c r="AA85" s="132" t="s">
        <v>425</v>
      </c>
      <c r="AB85" s="243">
        <v>82</v>
      </c>
    </row>
    <row r="86" spans="1:28" ht="146.25" customHeight="1" x14ac:dyDescent="0.25">
      <c r="A86" s="184" t="s">
        <v>162</v>
      </c>
      <c r="B86" s="183" t="s">
        <v>328</v>
      </c>
      <c r="C86" s="162" t="s">
        <v>356</v>
      </c>
      <c r="D86" s="334" t="s">
        <v>475</v>
      </c>
      <c r="E86" s="134">
        <v>43466</v>
      </c>
      <c r="F86" s="422"/>
      <c r="G86" s="422"/>
      <c r="H86" s="132" t="s">
        <v>43</v>
      </c>
      <c r="I86" s="422" t="s">
        <v>613</v>
      </c>
      <c r="J86" s="354"/>
      <c r="K86" s="354"/>
      <c r="L86" s="354"/>
      <c r="M86" s="132" t="s">
        <v>43</v>
      </c>
      <c r="N86" s="354"/>
      <c r="O86" s="436" t="s">
        <v>801</v>
      </c>
      <c r="P86" s="436"/>
      <c r="Q86" s="436"/>
      <c r="R86" s="350" t="s">
        <v>41</v>
      </c>
      <c r="S86" s="437"/>
      <c r="T86" s="405"/>
      <c r="U86" s="405"/>
      <c r="V86" s="410" t="s">
        <v>46</v>
      </c>
      <c r="W86" s="406"/>
      <c r="X86" s="133" t="s">
        <v>193</v>
      </c>
      <c r="Y86" s="161" t="s">
        <v>85</v>
      </c>
      <c r="Z86" s="161" t="s">
        <v>327</v>
      </c>
      <c r="AA86" s="132" t="s">
        <v>426</v>
      </c>
      <c r="AB86" s="243">
        <v>83</v>
      </c>
    </row>
    <row r="87" spans="1:28" ht="104.25" customHeight="1" x14ac:dyDescent="0.25">
      <c r="A87" s="184" t="s">
        <v>163</v>
      </c>
      <c r="B87" s="183" t="s">
        <v>328</v>
      </c>
      <c r="C87" s="162" t="s">
        <v>357</v>
      </c>
      <c r="D87" s="334" t="s">
        <v>476</v>
      </c>
      <c r="E87" s="134">
        <v>43252</v>
      </c>
      <c r="F87" s="422" t="s">
        <v>621</v>
      </c>
      <c r="G87" s="422"/>
      <c r="H87" s="132" t="s">
        <v>40</v>
      </c>
      <c r="I87" s="422"/>
      <c r="J87" s="434" t="s">
        <v>687</v>
      </c>
      <c r="K87" s="354"/>
      <c r="L87" s="354"/>
      <c r="M87" s="132" t="s">
        <v>40</v>
      </c>
      <c r="N87" s="354"/>
      <c r="O87" s="436" t="s">
        <v>837</v>
      </c>
      <c r="P87" s="436"/>
      <c r="Q87" s="436"/>
      <c r="R87" s="350" t="s">
        <v>40</v>
      </c>
      <c r="S87" s="437"/>
      <c r="T87" s="405"/>
      <c r="U87" s="405"/>
      <c r="V87" s="410" t="s">
        <v>46</v>
      </c>
      <c r="W87" s="406"/>
      <c r="X87" s="133" t="s">
        <v>193</v>
      </c>
      <c r="Y87" s="161" t="s">
        <v>85</v>
      </c>
      <c r="Z87" s="161" t="s">
        <v>327</v>
      </c>
      <c r="AA87" s="132" t="s">
        <v>426</v>
      </c>
      <c r="AB87" s="243">
        <v>84</v>
      </c>
    </row>
    <row r="88" spans="1:28" ht="104.25" customHeight="1" x14ac:dyDescent="0.25">
      <c r="A88" s="184" t="s">
        <v>164</v>
      </c>
      <c r="B88" s="183" t="s">
        <v>328</v>
      </c>
      <c r="C88" s="162" t="s">
        <v>356</v>
      </c>
      <c r="D88" s="334" t="s">
        <v>477</v>
      </c>
      <c r="E88" s="134">
        <v>43405</v>
      </c>
      <c r="F88" s="422"/>
      <c r="G88" s="422"/>
      <c r="H88" s="132" t="s">
        <v>43</v>
      </c>
      <c r="I88" s="422" t="s">
        <v>614</v>
      </c>
      <c r="J88" s="354" t="s">
        <v>727</v>
      </c>
      <c r="K88" s="354"/>
      <c r="L88" s="354"/>
      <c r="M88" s="132" t="s">
        <v>41</v>
      </c>
      <c r="N88" s="354"/>
      <c r="O88" s="436" t="s">
        <v>800</v>
      </c>
      <c r="P88" s="436"/>
      <c r="Q88" s="436"/>
      <c r="R88" s="350" t="s">
        <v>40</v>
      </c>
      <c r="S88" s="437"/>
      <c r="T88" s="405"/>
      <c r="U88" s="405"/>
      <c r="V88" s="410" t="s">
        <v>46</v>
      </c>
      <c r="W88" s="406"/>
      <c r="X88" s="133" t="s">
        <v>193</v>
      </c>
      <c r="Y88" s="161" t="s">
        <v>85</v>
      </c>
      <c r="Z88" s="161" t="s">
        <v>327</v>
      </c>
      <c r="AA88" s="132" t="s">
        <v>426</v>
      </c>
      <c r="AB88" s="243">
        <v>85</v>
      </c>
    </row>
    <row r="89" spans="1:28" ht="104.25" customHeight="1" x14ac:dyDescent="0.25">
      <c r="A89" s="184" t="s">
        <v>165</v>
      </c>
      <c r="B89" s="183" t="s">
        <v>328</v>
      </c>
      <c r="C89" s="162" t="s">
        <v>358</v>
      </c>
      <c r="D89" s="346" t="s">
        <v>478</v>
      </c>
      <c r="E89" s="134">
        <v>43374</v>
      </c>
      <c r="F89" s="422"/>
      <c r="G89" s="422"/>
      <c r="H89" s="132" t="s">
        <v>43</v>
      </c>
      <c r="I89" s="422"/>
      <c r="J89" s="354" t="s">
        <v>699</v>
      </c>
      <c r="K89" s="354"/>
      <c r="L89" s="354"/>
      <c r="M89" s="132" t="s">
        <v>41</v>
      </c>
      <c r="N89" s="354"/>
      <c r="O89" s="436" t="s">
        <v>845</v>
      </c>
      <c r="P89" s="436"/>
      <c r="Q89" s="436"/>
      <c r="R89" s="350" t="s">
        <v>40</v>
      </c>
      <c r="S89" s="437"/>
      <c r="T89" s="408"/>
      <c r="U89" s="408"/>
      <c r="V89" s="410" t="s">
        <v>46</v>
      </c>
      <c r="W89" s="406"/>
      <c r="X89" s="133" t="s">
        <v>193</v>
      </c>
      <c r="Y89" s="161" t="s">
        <v>85</v>
      </c>
      <c r="Z89" s="161" t="s">
        <v>327</v>
      </c>
      <c r="AA89" s="132" t="s">
        <v>426</v>
      </c>
      <c r="AB89" s="243">
        <v>86</v>
      </c>
    </row>
    <row r="90" spans="1:28" ht="122.25" customHeight="1" x14ac:dyDescent="0.25">
      <c r="A90" s="184" t="s">
        <v>166</v>
      </c>
      <c r="B90" s="183" t="s">
        <v>328</v>
      </c>
      <c r="C90" s="162" t="s">
        <v>359</v>
      </c>
      <c r="D90" s="346" t="s">
        <v>360</v>
      </c>
      <c r="E90" s="134">
        <v>43525</v>
      </c>
      <c r="F90" s="420"/>
      <c r="G90" s="422"/>
      <c r="H90" s="132" t="s">
        <v>43</v>
      </c>
      <c r="I90" s="422" t="s">
        <v>615</v>
      </c>
      <c r="J90" s="354" t="s">
        <v>672</v>
      </c>
      <c r="K90" s="354"/>
      <c r="L90" s="354"/>
      <c r="M90" s="132" t="s">
        <v>40</v>
      </c>
      <c r="N90" s="354"/>
      <c r="O90" s="436" t="s">
        <v>840</v>
      </c>
      <c r="P90" s="436"/>
      <c r="Q90" s="436"/>
      <c r="R90" s="350" t="s">
        <v>40</v>
      </c>
      <c r="S90" s="437"/>
      <c r="T90" s="408"/>
      <c r="U90" s="408"/>
      <c r="V90" s="410" t="s">
        <v>46</v>
      </c>
      <c r="W90" s="406"/>
      <c r="X90" s="133" t="s">
        <v>193</v>
      </c>
      <c r="Y90" s="161" t="s">
        <v>85</v>
      </c>
      <c r="Z90" s="161" t="s">
        <v>327</v>
      </c>
      <c r="AA90" s="132" t="s">
        <v>426</v>
      </c>
      <c r="AB90" s="243">
        <v>87</v>
      </c>
    </row>
    <row r="91" spans="1:28" ht="104.25" customHeight="1" x14ac:dyDescent="0.25">
      <c r="A91" s="184" t="s">
        <v>167</v>
      </c>
      <c r="B91" s="183" t="s">
        <v>328</v>
      </c>
      <c r="C91" s="162" t="s">
        <v>361</v>
      </c>
      <c r="D91" s="346" t="s">
        <v>362</v>
      </c>
      <c r="E91" s="134">
        <v>43525</v>
      </c>
      <c r="F91" s="420"/>
      <c r="G91" s="422"/>
      <c r="H91" s="132" t="s">
        <v>43</v>
      </c>
      <c r="I91" s="422" t="s">
        <v>615</v>
      </c>
      <c r="J91" s="354" t="s">
        <v>728</v>
      </c>
      <c r="K91" s="354"/>
      <c r="L91" s="354"/>
      <c r="M91" s="132" t="s">
        <v>40</v>
      </c>
      <c r="N91" s="354"/>
      <c r="O91" s="436" t="s">
        <v>840</v>
      </c>
      <c r="P91" s="436"/>
      <c r="Q91" s="436"/>
      <c r="R91" s="350" t="s">
        <v>40</v>
      </c>
      <c r="S91" s="437"/>
      <c r="T91" s="408"/>
      <c r="U91" s="408"/>
      <c r="V91" s="410" t="s">
        <v>46</v>
      </c>
      <c r="W91" s="406"/>
      <c r="X91" s="133" t="s">
        <v>193</v>
      </c>
      <c r="Y91" s="161" t="s">
        <v>85</v>
      </c>
      <c r="Z91" s="161" t="s">
        <v>327</v>
      </c>
      <c r="AA91" s="132" t="s">
        <v>426</v>
      </c>
      <c r="AB91" s="243">
        <v>88</v>
      </c>
    </row>
    <row r="92" spans="1:28" ht="323.25" customHeight="1" x14ac:dyDescent="0.25">
      <c r="A92" s="184" t="s">
        <v>168</v>
      </c>
      <c r="B92" s="183" t="s">
        <v>328</v>
      </c>
      <c r="C92" s="162" t="s">
        <v>363</v>
      </c>
      <c r="D92" s="346" t="s">
        <v>364</v>
      </c>
      <c r="E92" s="134">
        <v>43525</v>
      </c>
      <c r="F92" s="420"/>
      <c r="G92" s="422"/>
      <c r="H92" s="132" t="s">
        <v>43</v>
      </c>
      <c r="I92" s="422" t="s">
        <v>615</v>
      </c>
      <c r="J92" s="354" t="s">
        <v>735</v>
      </c>
      <c r="K92" s="354"/>
      <c r="L92" s="354"/>
      <c r="M92" s="410" t="s">
        <v>40</v>
      </c>
      <c r="N92" s="354"/>
      <c r="O92" s="436" t="s">
        <v>840</v>
      </c>
      <c r="P92" s="436"/>
      <c r="Q92" s="436"/>
      <c r="R92" s="350" t="s">
        <v>40</v>
      </c>
      <c r="S92" s="437"/>
      <c r="T92" s="408"/>
      <c r="U92" s="408"/>
      <c r="V92" s="410" t="s">
        <v>46</v>
      </c>
      <c r="W92" s="406"/>
      <c r="X92" s="133" t="s">
        <v>193</v>
      </c>
      <c r="Y92" s="161" t="s">
        <v>85</v>
      </c>
      <c r="Z92" s="161" t="s">
        <v>327</v>
      </c>
      <c r="AA92" s="132" t="s">
        <v>426</v>
      </c>
      <c r="AB92" s="243">
        <v>89</v>
      </c>
    </row>
    <row r="93" spans="1:28" ht="104.25" customHeight="1" x14ac:dyDescent="0.25">
      <c r="A93" s="184" t="s">
        <v>169</v>
      </c>
      <c r="B93" s="183" t="s">
        <v>328</v>
      </c>
      <c r="C93" s="162" t="s">
        <v>363</v>
      </c>
      <c r="D93" s="334" t="s">
        <v>394</v>
      </c>
      <c r="E93" s="134">
        <v>43525</v>
      </c>
      <c r="F93" s="422" t="s">
        <v>582</v>
      </c>
      <c r="G93" s="422"/>
      <c r="H93" s="132" t="s">
        <v>40</v>
      </c>
      <c r="I93" s="422"/>
      <c r="J93" s="434" t="s">
        <v>687</v>
      </c>
      <c r="K93" s="354"/>
      <c r="L93" s="354"/>
      <c r="M93" s="132" t="s">
        <v>40</v>
      </c>
      <c r="N93" s="354"/>
      <c r="O93" s="436" t="s">
        <v>837</v>
      </c>
      <c r="P93" s="436"/>
      <c r="Q93" s="436"/>
      <c r="R93" s="350" t="s">
        <v>40</v>
      </c>
      <c r="S93" s="437"/>
      <c r="T93" s="405"/>
      <c r="U93" s="406"/>
      <c r="V93" s="410" t="s">
        <v>46</v>
      </c>
      <c r="W93" s="406"/>
      <c r="X93" s="133" t="s">
        <v>193</v>
      </c>
      <c r="Y93" s="161" t="s">
        <v>85</v>
      </c>
      <c r="Z93" s="161" t="s">
        <v>327</v>
      </c>
      <c r="AA93" s="132" t="s">
        <v>426</v>
      </c>
      <c r="AB93" s="243">
        <v>90</v>
      </c>
    </row>
    <row r="94" spans="1:28" ht="129" customHeight="1" x14ac:dyDescent="0.25">
      <c r="A94" s="184" t="s">
        <v>170</v>
      </c>
      <c r="B94" s="183" t="s">
        <v>328</v>
      </c>
      <c r="C94" s="162" t="s">
        <v>365</v>
      </c>
      <c r="D94" s="347" t="s">
        <v>479</v>
      </c>
      <c r="E94" s="134">
        <v>43525</v>
      </c>
      <c r="F94" s="422"/>
      <c r="G94" s="422"/>
      <c r="H94" s="132" t="s">
        <v>43</v>
      </c>
      <c r="I94" s="422"/>
      <c r="J94" s="354" t="s">
        <v>673</v>
      </c>
      <c r="K94" s="354"/>
      <c r="L94" s="354"/>
      <c r="M94" s="132" t="s">
        <v>40</v>
      </c>
      <c r="N94" s="354"/>
      <c r="O94" s="436" t="s">
        <v>840</v>
      </c>
      <c r="P94" s="436"/>
      <c r="Q94" s="436"/>
      <c r="R94" s="350" t="s">
        <v>40</v>
      </c>
      <c r="S94" s="437"/>
      <c r="T94" s="354"/>
      <c r="U94" s="354"/>
      <c r="V94" s="410" t="s">
        <v>46</v>
      </c>
      <c r="W94" s="354"/>
      <c r="X94" s="133" t="s">
        <v>193</v>
      </c>
      <c r="Y94" s="161" t="s">
        <v>85</v>
      </c>
      <c r="Z94" s="161" t="s">
        <v>327</v>
      </c>
      <c r="AA94" s="132" t="s">
        <v>413</v>
      </c>
      <c r="AB94" s="243">
        <v>91</v>
      </c>
    </row>
    <row r="95" spans="1:28" ht="104.25" customHeight="1" x14ac:dyDescent="0.25">
      <c r="A95" s="184" t="s">
        <v>171</v>
      </c>
      <c r="B95" s="183" t="s">
        <v>328</v>
      </c>
      <c r="C95" s="162" t="s">
        <v>366</v>
      </c>
      <c r="D95" s="347" t="s">
        <v>480</v>
      </c>
      <c r="E95" s="134">
        <v>43374</v>
      </c>
      <c r="F95" s="422" t="s">
        <v>575</v>
      </c>
      <c r="G95" s="423"/>
      <c r="H95" s="132" t="s">
        <v>41</v>
      </c>
      <c r="I95" s="422"/>
      <c r="J95" s="354" t="s">
        <v>674</v>
      </c>
      <c r="K95" s="354"/>
      <c r="L95" s="434"/>
      <c r="M95" s="132" t="s">
        <v>41</v>
      </c>
      <c r="N95" s="354"/>
      <c r="O95" s="436" t="s">
        <v>798</v>
      </c>
      <c r="P95" s="436"/>
      <c r="Q95" s="438"/>
      <c r="R95" s="350" t="s">
        <v>40</v>
      </c>
      <c r="S95" s="437"/>
      <c r="T95" s="405"/>
      <c r="U95" s="405"/>
      <c r="V95" s="410" t="s">
        <v>46</v>
      </c>
      <c r="W95" s="405"/>
      <c r="X95" s="133" t="s">
        <v>193</v>
      </c>
      <c r="Y95" s="161" t="s">
        <v>85</v>
      </c>
      <c r="Z95" s="161" t="s">
        <v>327</v>
      </c>
      <c r="AA95" s="132" t="s">
        <v>426</v>
      </c>
      <c r="AB95" s="243">
        <v>92</v>
      </c>
    </row>
    <row r="96" spans="1:28" ht="104.25" customHeight="1" x14ac:dyDescent="0.25">
      <c r="A96" s="184" t="s">
        <v>172</v>
      </c>
      <c r="B96" s="183" t="s">
        <v>95</v>
      </c>
      <c r="C96" s="162" t="s">
        <v>367</v>
      </c>
      <c r="D96" s="360">
        <v>0</v>
      </c>
      <c r="E96" s="134">
        <v>43525</v>
      </c>
      <c r="F96" s="422"/>
      <c r="G96" s="422"/>
      <c r="H96" s="132" t="s">
        <v>43</v>
      </c>
      <c r="I96" s="422" t="s">
        <v>616</v>
      </c>
      <c r="J96" s="354" t="s">
        <v>651</v>
      </c>
      <c r="K96" s="434">
        <v>0.01</v>
      </c>
      <c r="L96" s="434">
        <v>0</v>
      </c>
      <c r="M96" s="132" t="s">
        <v>41</v>
      </c>
      <c r="N96" s="354"/>
      <c r="O96" s="436" t="s">
        <v>771</v>
      </c>
      <c r="P96" s="438">
        <v>0</v>
      </c>
      <c r="Q96" s="436" t="s">
        <v>738</v>
      </c>
      <c r="R96" s="350" t="s">
        <v>41</v>
      </c>
      <c r="S96" s="437"/>
      <c r="T96" s="405"/>
      <c r="U96" s="405"/>
      <c r="V96" s="410" t="s">
        <v>46</v>
      </c>
      <c r="W96" s="406"/>
      <c r="X96" s="133" t="s">
        <v>193</v>
      </c>
      <c r="Y96" s="161" t="s">
        <v>90</v>
      </c>
      <c r="Z96" s="161" t="s">
        <v>326</v>
      </c>
      <c r="AA96" s="132" t="s">
        <v>90</v>
      </c>
      <c r="AB96" s="243">
        <v>93</v>
      </c>
    </row>
    <row r="97" spans="1:28" ht="104.25" customHeight="1" x14ac:dyDescent="0.25">
      <c r="A97" s="184" t="s">
        <v>173</v>
      </c>
      <c r="B97" s="183" t="s">
        <v>95</v>
      </c>
      <c r="C97" s="162" t="s">
        <v>368</v>
      </c>
      <c r="D97" s="360">
        <v>0.01</v>
      </c>
      <c r="E97" s="134">
        <v>43525</v>
      </c>
      <c r="F97" s="422"/>
      <c r="G97" s="422"/>
      <c r="H97" s="132" t="s">
        <v>43</v>
      </c>
      <c r="I97" s="422" t="s">
        <v>616</v>
      </c>
      <c r="J97" s="354" t="s">
        <v>652</v>
      </c>
      <c r="K97" s="434">
        <v>0</v>
      </c>
      <c r="L97" s="434">
        <v>0</v>
      </c>
      <c r="M97" s="132" t="s">
        <v>41</v>
      </c>
      <c r="N97" s="354"/>
      <c r="O97" s="436" t="s">
        <v>771</v>
      </c>
      <c r="P97" s="438">
        <v>0</v>
      </c>
      <c r="Q97" s="436" t="s">
        <v>738</v>
      </c>
      <c r="R97" s="350" t="s">
        <v>41</v>
      </c>
      <c r="S97" s="437"/>
      <c r="T97" s="405"/>
      <c r="U97" s="408"/>
      <c r="V97" s="410" t="s">
        <v>46</v>
      </c>
      <c r="W97" s="406"/>
      <c r="X97" s="133" t="s">
        <v>193</v>
      </c>
      <c r="Y97" s="161" t="s">
        <v>90</v>
      </c>
      <c r="Z97" s="161" t="s">
        <v>326</v>
      </c>
      <c r="AA97" s="132" t="s">
        <v>90</v>
      </c>
      <c r="AB97" s="243">
        <v>94</v>
      </c>
    </row>
    <row r="98" spans="1:28" ht="128.25" customHeight="1" x14ac:dyDescent="0.25">
      <c r="A98" s="184" t="s">
        <v>174</v>
      </c>
      <c r="B98" s="183" t="s">
        <v>95</v>
      </c>
      <c r="C98" s="162" t="s">
        <v>369</v>
      </c>
      <c r="D98" s="360">
        <v>0</v>
      </c>
      <c r="E98" s="134">
        <v>43525</v>
      </c>
      <c r="F98" s="422"/>
      <c r="G98" s="422"/>
      <c r="H98" s="132" t="s">
        <v>43</v>
      </c>
      <c r="I98" s="422" t="s">
        <v>616</v>
      </c>
      <c r="J98" s="354" t="s">
        <v>652</v>
      </c>
      <c r="K98" s="434">
        <v>0</v>
      </c>
      <c r="L98" s="434">
        <v>0</v>
      </c>
      <c r="M98" s="132" t="s">
        <v>41</v>
      </c>
      <c r="N98" s="354"/>
      <c r="O98" s="436" t="s">
        <v>771</v>
      </c>
      <c r="P98" s="438">
        <v>0</v>
      </c>
      <c r="Q98" s="436" t="s">
        <v>738</v>
      </c>
      <c r="R98" s="350" t="s">
        <v>41</v>
      </c>
      <c r="S98" s="437"/>
      <c r="T98" s="405"/>
      <c r="U98" s="405"/>
      <c r="V98" s="410" t="s">
        <v>46</v>
      </c>
      <c r="W98" s="406"/>
      <c r="X98" s="133" t="s">
        <v>193</v>
      </c>
      <c r="Y98" s="161" t="s">
        <v>90</v>
      </c>
      <c r="Z98" s="161" t="s">
        <v>326</v>
      </c>
      <c r="AA98" s="132" t="s">
        <v>90</v>
      </c>
      <c r="AB98" s="243">
        <v>95</v>
      </c>
    </row>
    <row r="99" spans="1:28" ht="104.25" customHeight="1" x14ac:dyDescent="0.25">
      <c r="A99" s="184" t="s">
        <v>175</v>
      </c>
      <c r="B99" s="183" t="s">
        <v>95</v>
      </c>
      <c r="C99" s="162" t="s">
        <v>370</v>
      </c>
      <c r="D99" s="360">
        <v>0</v>
      </c>
      <c r="E99" s="134">
        <v>43525</v>
      </c>
      <c r="F99" s="422"/>
      <c r="G99" s="422"/>
      <c r="H99" s="132" t="s">
        <v>43</v>
      </c>
      <c r="I99" s="422" t="s">
        <v>616</v>
      </c>
      <c r="J99" s="354" t="s">
        <v>652</v>
      </c>
      <c r="K99" s="434">
        <v>0</v>
      </c>
      <c r="L99" s="434">
        <v>0</v>
      </c>
      <c r="M99" s="132" t="s">
        <v>41</v>
      </c>
      <c r="N99" s="354"/>
      <c r="O99" s="436" t="s">
        <v>771</v>
      </c>
      <c r="P99" s="438">
        <v>0</v>
      </c>
      <c r="Q99" s="436" t="s">
        <v>738</v>
      </c>
      <c r="R99" s="350" t="s">
        <v>41</v>
      </c>
      <c r="S99" s="437"/>
      <c r="T99" s="405"/>
      <c r="U99" s="405"/>
      <c r="V99" s="410" t="s">
        <v>46</v>
      </c>
      <c r="W99" s="405"/>
      <c r="X99" s="133" t="s">
        <v>193</v>
      </c>
      <c r="Y99" s="161" t="s">
        <v>90</v>
      </c>
      <c r="Z99" s="161" t="s">
        <v>326</v>
      </c>
      <c r="AA99" s="132" t="s">
        <v>90</v>
      </c>
      <c r="AB99" s="243">
        <v>96</v>
      </c>
    </row>
    <row r="100" spans="1:28" ht="96.75" customHeight="1" x14ac:dyDescent="0.25">
      <c r="A100" s="184" t="s">
        <v>176</v>
      </c>
      <c r="B100" s="183" t="s">
        <v>95</v>
      </c>
      <c r="C100" s="162" t="s">
        <v>371</v>
      </c>
      <c r="D100" s="334" t="s">
        <v>372</v>
      </c>
      <c r="E100" s="134">
        <v>43525</v>
      </c>
      <c r="F100" s="422" t="s">
        <v>617</v>
      </c>
      <c r="G100" s="423">
        <v>0.5</v>
      </c>
      <c r="H100" s="132" t="s">
        <v>41</v>
      </c>
      <c r="I100" s="422"/>
      <c r="J100" s="354" t="s">
        <v>658</v>
      </c>
      <c r="K100" s="354" t="s">
        <v>660</v>
      </c>
      <c r="L100" s="434">
        <v>0.5</v>
      </c>
      <c r="M100" s="132" t="s">
        <v>41</v>
      </c>
      <c r="N100" s="354"/>
      <c r="O100" s="436" t="s">
        <v>778</v>
      </c>
      <c r="P100" s="436" t="s">
        <v>781</v>
      </c>
      <c r="Q100" s="436" t="s">
        <v>785</v>
      </c>
      <c r="R100" s="350" t="s">
        <v>26</v>
      </c>
      <c r="S100" s="437" t="s">
        <v>783</v>
      </c>
      <c r="T100" s="405"/>
      <c r="U100" s="405"/>
      <c r="V100" s="410" t="s">
        <v>46</v>
      </c>
      <c r="W100" s="406"/>
      <c r="X100" s="133" t="s">
        <v>193</v>
      </c>
      <c r="Y100" s="161" t="s">
        <v>90</v>
      </c>
      <c r="Z100" s="161" t="s">
        <v>326</v>
      </c>
      <c r="AA100" s="132" t="s">
        <v>90</v>
      </c>
      <c r="AB100" s="243">
        <v>97</v>
      </c>
    </row>
    <row r="101" spans="1:28" ht="104.25" customHeight="1" x14ac:dyDescent="0.25">
      <c r="A101" s="184" t="s">
        <v>177</v>
      </c>
      <c r="B101" s="183" t="s">
        <v>95</v>
      </c>
      <c r="C101" s="162" t="s">
        <v>373</v>
      </c>
      <c r="D101" s="334" t="s">
        <v>374</v>
      </c>
      <c r="E101" s="134">
        <v>43525</v>
      </c>
      <c r="F101" s="422" t="s">
        <v>618</v>
      </c>
      <c r="G101" s="422" t="s">
        <v>546</v>
      </c>
      <c r="H101" s="132" t="s">
        <v>41</v>
      </c>
      <c r="I101" s="422"/>
      <c r="J101" s="354" t="s">
        <v>659</v>
      </c>
      <c r="K101" s="354" t="s">
        <v>661</v>
      </c>
      <c r="L101" s="354" t="s">
        <v>662</v>
      </c>
      <c r="M101" s="132" t="s">
        <v>41</v>
      </c>
      <c r="N101" s="354"/>
      <c r="O101" s="436" t="s">
        <v>779</v>
      </c>
      <c r="P101" s="436" t="s">
        <v>780</v>
      </c>
      <c r="Q101" s="436" t="s">
        <v>782</v>
      </c>
      <c r="R101" s="350" t="s">
        <v>41</v>
      </c>
      <c r="S101" s="437" t="s">
        <v>784</v>
      </c>
      <c r="T101" s="405"/>
      <c r="U101" s="405"/>
      <c r="V101" s="410" t="s">
        <v>46</v>
      </c>
      <c r="W101" s="406"/>
      <c r="X101" s="133" t="s">
        <v>193</v>
      </c>
      <c r="Y101" s="161" t="s">
        <v>90</v>
      </c>
      <c r="Z101" s="161" t="s">
        <v>326</v>
      </c>
      <c r="AA101" s="132" t="s">
        <v>90</v>
      </c>
      <c r="AB101" s="243">
        <v>98</v>
      </c>
    </row>
    <row r="102" spans="1:28" ht="104.25" customHeight="1" x14ac:dyDescent="0.25">
      <c r="A102" s="184" t="s">
        <v>178</v>
      </c>
      <c r="B102" s="183" t="s">
        <v>95</v>
      </c>
      <c r="C102" s="162" t="s">
        <v>375</v>
      </c>
      <c r="D102" s="334" t="s">
        <v>491</v>
      </c>
      <c r="E102" s="134">
        <v>43435</v>
      </c>
      <c r="F102" s="422"/>
      <c r="G102" s="422"/>
      <c r="H102" s="132" t="s">
        <v>43</v>
      </c>
      <c r="I102" s="422"/>
      <c r="J102" s="354"/>
      <c r="K102" s="354"/>
      <c r="L102" s="354"/>
      <c r="M102" s="132" t="s">
        <v>43</v>
      </c>
      <c r="N102" s="354"/>
      <c r="O102" s="436" t="s">
        <v>770</v>
      </c>
      <c r="P102" s="436"/>
      <c r="Q102" s="436"/>
      <c r="R102" s="350" t="s">
        <v>40</v>
      </c>
      <c r="S102" s="437"/>
      <c r="T102" s="405"/>
      <c r="U102" s="405"/>
      <c r="V102" s="410" t="s">
        <v>46</v>
      </c>
      <c r="W102" s="406"/>
      <c r="X102" s="133" t="s">
        <v>193</v>
      </c>
      <c r="Y102" s="161" t="s">
        <v>90</v>
      </c>
      <c r="Z102" s="161" t="s">
        <v>326</v>
      </c>
      <c r="AA102" s="132" t="s">
        <v>90</v>
      </c>
      <c r="AB102" s="243">
        <v>99</v>
      </c>
    </row>
    <row r="103" spans="1:28" ht="104.25" customHeight="1" x14ac:dyDescent="0.25">
      <c r="A103" s="184" t="s">
        <v>179</v>
      </c>
      <c r="B103" s="183" t="s">
        <v>265</v>
      </c>
      <c r="C103" s="162" t="s">
        <v>376</v>
      </c>
      <c r="D103" s="334" t="s">
        <v>448</v>
      </c>
      <c r="E103" s="134">
        <v>43191</v>
      </c>
      <c r="F103" s="422" t="s">
        <v>591</v>
      </c>
      <c r="G103" s="422"/>
      <c r="H103" s="132" t="s">
        <v>40</v>
      </c>
      <c r="I103" s="422"/>
      <c r="J103" s="434" t="s">
        <v>687</v>
      </c>
      <c r="K103" s="354"/>
      <c r="L103" s="354"/>
      <c r="M103" s="132" t="s">
        <v>40</v>
      </c>
      <c r="N103" s="354"/>
      <c r="O103" s="441" t="s">
        <v>837</v>
      </c>
      <c r="P103" s="436"/>
      <c r="Q103" s="436"/>
      <c r="R103" s="350" t="s">
        <v>40</v>
      </c>
      <c r="S103" s="439"/>
      <c r="T103" s="354"/>
      <c r="U103" s="354"/>
      <c r="V103" s="410" t="s">
        <v>46</v>
      </c>
      <c r="W103" s="354"/>
      <c r="X103" s="133" t="s">
        <v>193</v>
      </c>
      <c r="Y103" s="161" t="s">
        <v>92</v>
      </c>
      <c r="Z103" s="161" t="s">
        <v>326</v>
      </c>
      <c r="AA103" s="132" t="s">
        <v>92</v>
      </c>
      <c r="AB103" s="243">
        <v>100</v>
      </c>
    </row>
    <row r="104" spans="1:28" ht="104.25" customHeight="1" x14ac:dyDescent="0.25">
      <c r="A104" s="184" t="s">
        <v>180</v>
      </c>
      <c r="B104" s="183" t="s">
        <v>265</v>
      </c>
      <c r="C104" s="162" t="s">
        <v>376</v>
      </c>
      <c r="D104" s="334" t="s">
        <v>449</v>
      </c>
      <c r="E104" s="134">
        <v>43252</v>
      </c>
      <c r="F104" s="422" t="s">
        <v>555</v>
      </c>
      <c r="G104" s="422"/>
      <c r="H104" s="132" t="s">
        <v>40</v>
      </c>
      <c r="I104" s="422"/>
      <c r="J104" s="434" t="s">
        <v>687</v>
      </c>
      <c r="K104" s="354"/>
      <c r="L104" s="354"/>
      <c r="M104" s="132" t="s">
        <v>40</v>
      </c>
      <c r="N104" s="354"/>
      <c r="O104" s="441" t="s">
        <v>837</v>
      </c>
      <c r="P104" s="436"/>
      <c r="Q104" s="436"/>
      <c r="R104" s="350" t="s">
        <v>40</v>
      </c>
      <c r="S104" s="439"/>
      <c r="T104" s="354"/>
      <c r="U104" s="354"/>
      <c r="V104" s="410" t="s">
        <v>46</v>
      </c>
      <c r="W104" s="407"/>
      <c r="X104" s="133" t="s">
        <v>193</v>
      </c>
      <c r="Y104" s="161" t="s">
        <v>92</v>
      </c>
      <c r="Z104" s="161" t="s">
        <v>326</v>
      </c>
      <c r="AA104" s="132" t="s">
        <v>92</v>
      </c>
      <c r="AB104" s="243">
        <v>101</v>
      </c>
    </row>
    <row r="105" spans="1:28" ht="114.75" customHeight="1" x14ac:dyDescent="0.25">
      <c r="A105" s="184" t="s">
        <v>181</v>
      </c>
      <c r="B105" s="183" t="s">
        <v>265</v>
      </c>
      <c r="C105" s="162" t="s">
        <v>376</v>
      </c>
      <c r="D105" s="334" t="s">
        <v>450</v>
      </c>
      <c r="E105" s="134">
        <v>43191</v>
      </c>
      <c r="F105" s="422" t="s">
        <v>592</v>
      </c>
      <c r="G105" s="422"/>
      <c r="H105" s="132" t="s">
        <v>40</v>
      </c>
      <c r="I105" s="422"/>
      <c r="J105" s="434" t="s">
        <v>687</v>
      </c>
      <c r="K105" s="354"/>
      <c r="L105" s="354"/>
      <c r="M105" s="132" t="s">
        <v>40</v>
      </c>
      <c r="N105" s="354"/>
      <c r="O105" s="441" t="s">
        <v>837</v>
      </c>
      <c r="P105" s="436"/>
      <c r="Q105" s="436"/>
      <c r="R105" s="350" t="s">
        <v>40</v>
      </c>
      <c r="S105" s="439"/>
      <c r="T105" s="353"/>
      <c r="U105" s="354"/>
      <c r="V105" s="410" t="s">
        <v>46</v>
      </c>
      <c r="W105" s="354"/>
      <c r="X105" s="133" t="s">
        <v>193</v>
      </c>
      <c r="Y105" s="161" t="s">
        <v>92</v>
      </c>
      <c r="Z105" s="161" t="s">
        <v>326</v>
      </c>
      <c r="AA105" s="132" t="s">
        <v>92</v>
      </c>
      <c r="AB105" s="243">
        <v>102</v>
      </c>
    </row>
    <row r="106" spans="1:28" ht="104.25" customHeight="1" x14ac:dyDescent="0.25">
      <c r="A106" s="184" t="s">
        <v>182</v>
      </c>
      <c r="B106" s="183" t="s">
        <v>265</v>
      </c>
      <c r="C106" s="162" t="s">
        <v>377</v>
      </c>
      <c r="D106" s="334" t="s">
        <v>451</v>
      </c>
      <c r="E106" s="134">
        <v>43435</v>
      </c>
      <c r="F106" s="422"/>
      <c r="G106" s="422"/>
      <c r="H106" s="132" t="s">
        <v>43</v>
      </c>
      <c r="I106" s="422"/>
      <c r="J106" s="354" t="s">
        <v>708</v>
      </c>
      <c r="K106" s="354"/>
      <c r="L106" s="354"/>
      <c r="M106" s="132" t="s">
        <v>41</v>
      </c>
      <c r="N106" s="354"/>
      <c r="O106" s="436" t="s">
        <v>745</v>
      </c>
      <c r="P106" s="436"/>
      <c r="Q106" s="436"/>
      <c r="R106" s="350" t="s">
        <v>40</v>
      </c>
      <c r="S106" s="439"/>
      <c r="T106" s="353"/>
      <c r="U106" s="405"/>
      <c r="V106" s="410" t="s">
        <v>46</v>
      </c>
      <c r="W106" s="406"/>
      <c r="X106" s="133" t="s">
        <v>193</v>
      </c>
      <c r="Y106" s="161" t="s">
        <v>92</v>
      </c>
      <c r="Z106" s="161" t="s">
        <v>326</v>
      </c>
      <c r="AA106" s="132" t="s">
        <v>92</v>
      </c>
      <c r="AB106" s="243">
        <v>103</v>
      </c>
    </row>
    <row r="107" spans="1:28" ht="104.25" customHeight="1" x14ac:dyDescent="0.25">
      <c r="A107" s="184" t="s">
        <v>183</v>
      </c>
      <c r="B107" s="183" t="s">
        <v>265</v>
      </c>
      <c r="C107" s="162" t="s">
        <v>236</v>
      </c>
      <c r="D107" s="334" t="s">
        <v>452</v>
      </c>
      <c r="E107" s="134">
        <v>43405</v>
      </c>
      <c r="F107" s="422"/>
      <c r="G107" s="422"/>
      <c r="H107" s="132" t="s">
        <v>43</v>
      </c>
      <c r="I107" s="422"/>
      <c r="J107" s="354" t="s">
        <v>708</v>
      </c>
      <c r="K107" s="354"/>
      <c r="L107" s="354"/>
      <c r="M107" s="132" t="s">
        <v>41</v>
      </c>
      <c r="N107" s="354"/>
      <c r="O107" s="437" t="s">
        <v>745</v>
      </c>
      <c r="P107" s="436"/>
      <c r="Q107" s="436"/>
      <c r="R107" s="350" t="s">
        <v>40</v>
      </c>
      <c r="S107" s="439"/>
      <c r="T107" s="354"/>
      <c r="U107" s="354"/>
      <c r="V107" s="410" t="s">
        <v>46</v>
      </c>
      <c r="W107" s="354"/>
      <c r="X107" s="133" t="s">
        <v>193</v>
      </c>
      <c r="Y107" s="161" t="s">
        <v>92</v>
      </c>
      <c r="Z107" s="161" t="s">
        <v>326</v>
      </c>
      <c r="AA107" s="132" t="s">
        <v>92</v>
      </c>
      <c r="AB107" s="243">
        <v>104</v>
      </c>
    </row>
    <row r="108" spans="1:28" ht="104.25" customHeight="1" x14ac:dyDescent="0.25">
      <c r="A108" s="184" t="s">
        <v>184</v>
      </c>
      <c r="B108" s="183" t="s">
        <v>265</v>
      </c>
      <c r="C108" s="162" t="s">
        <v>376</v>
      </c>
      <c r="D108" s="334" t="s">
        <v>453</v>
      </c>
      <c r="E108" s="134">
        <v>43252</v>
      </c>
      <c r="F108" s="422" t="s">
        <v>593</v>
      </c>
      <c r="G108" s="422"/>
      <c r="H108" s="132" t="s">
        <v>40</v>
      </c>
      <c r="I108" s="422"/>
      <c r="J108" s="434" t="s">
        <v>687</v>
      </c>
      <c r="K108" s="354"/>
      <c r="L108" s="354"/>
      <c r="M108" s="132" t="s">
        <v>40</v>
      </c>
      <c r="N108" s="354"/>
      <c r="O108" s="441" t="s">
        <v>837</v>
      </c>
      <c r="P108" s="436"/>
      <c r="Q108" s="436"/>
      <c r="R108" s="350" t="s">
        <v>40</v>
      </c>
      <c r="S108" s="439"/>
      <c r="T108" s="405"/>
      <c r="U108" s="354"/>
      <c r="V108" s="410" t="s">
        <v>46</v>
      </c>
      <c r="W108" s="405"/>
      <c r="X108" s="133" t="s">
        <v>193</v>
      </c>
      <c r="Y108" s="161" t="s">
        <v>92</v>
      </c>
      <c r="Z108" s="161" t="s">
        <v>326</v>
      </c>
      <c r="AA108" s="132" t="s">
        <v>92</v>
      </c>
      <c r="AB108" s="243">
        <v>105</v>
      </c>
    </row>
    <row r="109" spans="1:28" ht="104.25" customHeight="1" x14ac:dyDescent="0.25">
      <c r="A109" s="184" t="s">
        <v>185</v>
      </c>
      <c r="B109" s="183" t="s">
        <v>265</v>
      </c>
      <c r="C109" s="162" t="s">
        <v>378</v>
      </c>
      <c r="D109" s="334" t="s">
        <v>454</v>
      </c>
      <c r="E109" s="134">
        <v>43344</v>
      </c>
      <c r="F109" s="422" t="s">
        <v>595</v>
      </c>
      <c r="G109" s="422"/>
      <c r="H109" s="132" t="s">
        <v>41</v>
      </c>
      <c r="I109" s="422"/>
      <c r="J109" s="354" t="s">
        <v>709</v>
      </c>
      <c r="K109" s="354"/>
      <c r="L109" s="354"/>
      <c r="M109" s="132" t="s">
        <v>41</v>
      </c>
      <c r="N109" s="354"/>
      <c r="O109" s="436" t="s">
        <v>846</v>
      </c>
      <c r="P109" s="436"/>
      <c r="Q109" s="436"/>
      <c r="R109" s="350" t="s">
        <v>40</v>
      </c>
      <c r="S109" s="439"/>
      <c r="T109" s="405"/>
      <c r="U109" s="405"/>
      <c r="V109" s="410" t="s">
        <v>46</v>
      </c>
      <c r="W109" s="406"/>
      <c r="X109" s="133" t="s">
        <v>193</v>
      </c>
      <c r="Y109" s="161" t="s">
        <v>92</v>
      </c>
      <c r="Z109" s="161" t="s">
        <v>326</v>
      </c>
      <c r="AA109" s="132" t="s">
        <v>92</v>
      </c>
      <c r="AB109" s="243">
        <v>106</v>
      </c>
    </row>
    <row r="110" spans="1:28" ht="141.75" customHeight="1" x14ac:dyDescent="0.25">
      <c r="A110" s="184" t="s">
        <v>186</v>
      </c>
      <c r="B110" s="183" t="s">
        <v>260</v>
      </c>
      <c r="C110" s="162" t="s">
        <v>378</v>
      </c>
      <c r="D110" s="334" t="s">
        <v>519</v>
      </c>
      <c r="E110" s="134">
        <v>43344</v>
      </c>
      <c r="F110" s="422" t="s">
        <v>563</v>
      </c>
      <c r="G110" s="422"/>
      <c r="H110" s="132" t="s">
        <v>41</v>
      </c>
      <c r="I110" s="422"/>
      <c r="J110" s="354" t="s">
        <v>729</v>
      </c>
      <c r="K110" s="354"/>
      <c r="L110" s="354"/>
      <c r="M110" s="132" t="s">
        <v>40</v>
      </c>
      <c r="N110" s="354"/>
      <c r="O110" s="436" t="s">
        <v>753</v>
      </c>
      <c r="P110" s="436"/>
      <c r="Q110" s="436"/>
      <c r="R110" s="350" t="s">
        <v>40</v>
      </c>
      <c r="S110" s="437"/>
      <c r="T110" s="405"/>
      <c r="U110" s="405"/>
      <c r="V110" s="410" t="s">
        <v>46</v>
      </c>
      <c r="W110" s="406"/>
      <c r="X110" s="133" t="s">
        <v>193</v>
      </c>
      <c r="Y110" s="161" t="s">
        <v>92</v>
      </c>
      <c r="Z110" s="161" t="s">
        <v>326</v>
      </c>
      <c r="AA110" s="132" t="s">
        <v>91</v>
      </c>
      <c r="AB110" s="243">
        <v>107</v>
      </c>
    </row>
    <row r="111" spans="1:28" ht="118.5" customHeight="1" x14ac:dyDescent="0.25">
      <c r="A111" s="184" t="s">
        <v>187</v>
      </c>
      <c r="B111" s="183" t="s">
        <v>643</v>
      </c>
      <c r="C111" s="162" t="s">
        <v>379</v>
      </c>
      <c r="D111" s="334" t="s">
        <v>440</v>
      </c>
      <c r="E111" s="134">
        <v>43525</v>
      </c>
      <c r="F111" s="422" t="s">
        <v>578</v>
      </c>
      <c r="G111" s="422"/>
      <c r="H111" s="132" t="s">
        <v>41</v>
      </c>
      <c r="I111" s="422"/>
      <c r="J111" s="354" t="s">
        <v>594</v>
      </c>
      <c r="K111" s="354"/>
      <c r="L111" s="354"/>
      <c r="M111" s="132" t="s">
        <v>41</v>
      </c>
      <c r="N111" s="354"/>
      <c r="O111" s="436" t="s">
        <v>594</v>
      </c>
      <c r="P111" s="436"/>
      <c r="Q111" s="436"/>
      <c r="R111" s="350" t="s">
        <v>41</v>
      </c>
      <c r="S111" s="437"/>
      <c r="T111" s="405"/>
      <c r="U111" s="405"/>
      <c r="V111" s="410" t="s">
        <v>46</v>
      </c>
      <c r="W111" s="406"/>
      <c r="X111" s="133" t="s">
        <v>193</v>
      </c>
      <c r="Y111" s="161" t="s">
        <v>5</v>
      </c>
      <c r="Z111" s="161" t="s">
        <v>327</v>
      </c>
      <c r="AA111" s="132" t="s">
        <v>427</v>
      </c>
      <c r="AB111" s="243">
        <v>108</v>
      </c>
    </row>
    <row r="112" spans="1:28" ht="300" customHeight="1" x14ac:dyDescent="0.25">
      <c r="A112" s="184" t="s">
        <v>188</v>
      </c>
      <c r="B112" s="183" t="s">
        <v>328</v>
      </c>
      <c r="C112" s="162" t="s">
        <v>380</v>
      </c>
      <c r="D112" s="334" t="s">
        <v>481</v>
      </c>
      <c r="E112" s="134">
        <v>43525</v>
      </c>
      <c r="F112" s="422" t="s">
        <v>568</v>
      </c>
      <c r="G112" s="422">
        <v>12</v>
      </c>
      <c r="H112" s="132" t="s">
        <v>41</v>
      </c>
      <c r="I112" s="422" t="s">
        <v>587</v>
      </c>
      <c r="J112" s="354" t="s">
        <v>717</v>
      </c>
      <c r="K112" s="354" t="s">
        <v>718</v>
      </c>
      <c r="L112" s="354"/>
      <c r="M112" s="132" t="s">
        <v>40</v>
      </c>
      <c r="N112" s="354" t="s">
        <v>716</v>
      </c>
      <c r="O112" s="426" t="s">
        <v>796</v>
      </c>
      <c r="P112" s="436" t="s">
        <v>797</v>
      </c>
      <c r="Q112" s="436"/>
      <c r="R112" s="350" t="s">
        <v>40</v>
      </c>
      <c r="S112" s="437"/>
      <c r="T112" s="405"/>
      <c r="U112" s="412"/>
      <c r="V112" s="410" t="s">
        <v>46</v>
      </c>
      <c r="W112" s="412"/>
      <c r="X112" s="133" t="s">
        <v>193</v>
      </c>
      <c r="Y112" s="161" t="s">
        <v>5</v>
      </c>
      <c r="Z112" s="161" t="s">
        <v>327</v>
      </c>
      <c r="AA112" s="132" t="s">
        <v>409</v>
      </c>
      <c r="AB112" s="243">
        <v>109</v>
      </c>
    </row>
    <row r="113" spans="1:28" ht="104.25" customHeight="1" x14ac:dyDescent="0.25">
      <c r="A113" s="184" t="s">
        <v>189</v>
      </c>
      <c r="B113" s="183" t="s">
        <v>234</v>
      </c>
      <c r="C113" s="162" t="s">
        <v>381</v>
      </c>
      <c r="D113" s="334" t="s">
        <v>495</v>
      </c>
      <c r="E113" s="134">
        <v>43252</v>
      </c>
      <c r="F113" s="422" t="s">
        <v>526</v>
      </c>
      <c r="G113" s="422"/>
      <c r="H113" s="132" t="s">
        <v>40</v>
      </c>
      <c r="I113" s="422"/>
      <c r="J113" s="434" t="s">
        <v>687</v>
      </c>
      <c r="K113" s="354"/>
      <c r="L113" s="354"/>
      <c r="M113" s="132" t="s">
        <v>40</v>
      </c>
      <c r="N113" s="354"/>
      <c r="O113" s="436" t="s">
        <v>775</v>
      </c>
      <c r="P113" s="436"/>
      <c r="Q113" s="436"/>
      <c r="R113" s="350" t="s">
        <v>40</v>
      </c>
      <c r="S113" s="437"/>
      <c r="T113" s="405"/>
      <c r="U113" s="405"/>
      <c r="V113" s="410" t="s">
        <v>46</v>
      </c>
      <c r="W113" s="406"/>
      <c r="X113" s="133" t="s">
        <v>193</v>
      </c>
      <c r="Y113" s="161" t="s">
        <v>5</v>
      </c>
      <c r="Z113" s="161" t="s">
        <v>327</v>
      </c>
      <c r="AA113" s="132" t="s">
        <v>408</v>
      </c>
      <c r="AB113" s="243">
        <v>110</v>
      </c>
    </row>
    <row r="114" spans="1:28" ht="104.25" customHeight="1" x14ac:dyDescent="0.25">
      <c r="A114" s="184" t="s">
        <v>259</v>
      </c>
      <c r="B114" s="183" t="s">
        <v>234</v>
      </c>
      <c r="C114" s="162" t="s">
        <v>381</v>
      </c>
      <c r="D114" s="334" t="s">
        <v>496</v>
      </c>
      <c r="E114" s="134">
        <v>43405</v>
      </c>
      <c r="F114" s="422"/>
      <c r="G114" s="422"/>
      <c r="H114" s="132" t="s">
        <v>43</v>
      </c>
      <c r="I114" s="422" t="s">
        <v>528</v>
      </c>
      <c r="J114" s="354" t="s">
        <v>681</v>
      </c>
      <c r="K114" s="354"/>
      <c r="L114" s="354"/>
      <c r="M114" s="132" t="s">
        <v>41</v>
      </c>
      <c r="N114" s="354"/>
      <c r="O114" s="436" t="s">
        <v>840</v>
      </c>
      <c r="P114" s="436"/>
      <c r="Q114" s="436"/>
      <c r="R114" s="350" t="s">
        <v>40</v>
      </c>
      <c r="S114" s="437"/>
      <c r="T114" s="405"/>
      <c r="U114" s="405"/>
      <c r="V114" s="410" t="s">
        <v>46</v>
      </c>
      <c r="W114" s="406"/>
      <c r="X114" s="133" t="s">
        <v>193</v>
      </c>
      <c r="Y114" s="161" t="s">
        <v>5</v>
      </c>
      <c r="Z114" s="161" t="s">
        <v>327</v>
      </c>
      <c r="AA114" s="132" t="s">
        <v>408</v>
      </c>
      <c r="AB114" s="243">
        <v>111</v>
      </c>
    </row>
    <row r="115" spans="1:28" ht="104.25" customHeight="1" x14ac:dyDescent="0.25">
      <c r="A115" s="184" t="s">
        <v>339</v>
      </c>
      <c r="B115" s="183" t="s">
        <v>234</v>
      </c>
      <c r="C115" s="162" t="s">
        <v>382</v>
      </c>
      <c r="D115" s="334" t="s">
        <v>497</v>
      </c>
      <c r="E115" s="134">
        <v>43525</v>
      </c>
      <c r="F115" s="422" t="s">
        <v>529</v>
      </c>
      <c r="G115" s="422"/>
      <c r="H115" s="132" t="s">
        <v>41</v>
      </c>
      <c r="I115" s="422"/>
      <c r="J115" s="354" t="s">
        <v>719</v>
      </c>
      <c r="K115" s="354"/>
      <c r="L115" s="354"/>
      <c r="M115" s="132" t="s">
        <v>40</v>
      </c>
      <c r="N115" s="354"/>
      <c r="O115" s="436" t="s">
        <v>847</v>
      </c>
      <c r="P115" s="436"/>
      <c r="Q115" s="436"/>
      <c r="R115" s="350" t="s">
        <v>40</v>
      </c>
      <c r="S115" s="437"/>
      <c r="T115" s="405"/>
      <c r="U115" s="405"/>
      <c r="V115" s="410" t="s">
        <v>46</v>
      </c>
      <c r="W115" s="406"/>
      <c r="X115" s="133" t="s">
        <v>193</v>
      </c>
      <c r="Y115" s="161" t="s">
        <v>5</v>
      </c>
      <c r="Z115" s="161" t="s">
        <v>327</v>
      </c>
      <c r="AA115" s="132" t="s">
        <v>408</v>
      </c>
      <c r="AB115" s="243">
        <v>112</v>
      </c>
    </row>
    <row r="116" spans="1:28" ht="131.25" customHeight="1" x14ac:dyDescent="0.25">
      <c r="A116" s="184" t="s">
        <v>340</v>
      </c>
      <c r="B116" s="183" t="s">
        <v>234</v>
      </c>
      <c r="C116" s="162" t="s">
        <v>382</v>
      </c>
      <c r="D116" s="334" t="s">
        <v>498</v>
      </c>
      <c r="E116" s="134">
        <v>43525</v>
      </c>
      <c r="F116" s="422"/>
      <c r="G116" s="422"/>
      <c r="H116" s="132" t="s">
        <v>43</v>
      </c>
      <c r="I116" s="422" t="s">
        <v>530</v>
      </c>
      <c r="J116" s="354" t="s">
        <v>701</v>
      </c>
      <c r="K116" s="354">
        <v>1</v>
      </c>
      <c r="L116" s="354">
        <v>4</v>
      </c>
      <c r="M116" s="132" t="s">
        <v>41</v>
      </c>
      <c r="N116" s="354"/>
      <c r="O116" s="436" t="s">
        <v>848</v>
      </c>
      <c r="P116" s="436"/>
      <c r="Q116" s="436"/>
      <c r="R116" s="350" t="s">
        <v>40</v>
      </c>
      <c r="S116" s="437"/>
      <c r="T116" s="405"/>
      <c r="U116" s="405"/>
      <c r="V116" s="410" t="s">
        <v>46</v>
      </c>
      <c r="W116" s="406"/>
      <c r="X116" s="133" t="s">
        <v>193</v>
      </c>
      <c r="Y116" s="161" t="s">
        <v>5</v>
      </c>
      <c r="Z116" s="161" t="s">
        <v>327</v>
      </c>
      <c r="AA116" s="132" t="s">
        <v>408</v>
      </c>
      <c r="AB116" s="243">
        <v>113</v>
      </c>
    </row>
    <row r="117" spans="1:28" ht="104.25" customHeight="1" x14ac:dyDescent="0.25">
      <c r="A117" s="184" t="s">
        <v>341</v>
      </c>
      <c r="B117" s="183" t="s">
        <v>234</v>
      </c>
      <c r="C117" s="162" t="s">
        <v>382</v>
      </c>
      <c r="D117" s="334" t="s">
        <v>499</v>
      </c>
      <c r="E117" s="134">
        <v>43525</v>
      </c>
      <c r="F117" s="422" t="s">
        <v>531</v>
      </c>
      <c r="G117" s="422"/>
      <c r="H117" s="132" t="s">
        <v>41</v>
      </c>
      <c r="I117" s="422"/>
      <c r="J117" s="354" t="s">
        <v>682</v>
      </c>
      <c r="K117" s="354"/>
      <c r="L117" s="354"/>
      <c r="M117" s="132" t="s">
        <v>41</v>
      </c>
      <c r="N117" s="354"/>
      <c r="O117" s="436" t="s">
        <v>764</v>
      </c>
      <c r="P117" s="436"/>
      <c r="Q117" s="436"/>
      <c r="R117" s="350" t="s">
        <v>41</v>
      </c>
      <c r="S117" s="437"/>
      <c r="T117" s="405"/>
      <c r="U117" s="405"/>
      <c r="V117" s="410" t="s">
        <v>46</v>
      </c>
      <c r="W117" s="406"/>
      <c r="X117" s="133" t="s">
        <v>193</v>
      </c>
      <c r="Y117" s="161" t="s">
        <v>5</v>
      </c>
      <c r="Z117" s="161" t="s">
        <v>327</v>
      </c>
      <c r="AA117" s="132" t="s">
        <v>408</v>
      </c>
      <c r="AB117" s="243">
        <v>114</v>
      </c>
    </row>
    <row r="118" spans="1:28" ht="97.5" customHeight="1" x14ac:dyDescent="0.25">
      <c r="A118" s="184" t="s">
        <v>342</v>
      </c>
      <c r="B118" s="183" t="s">
        <v>233</v>
      </c>
      <c r="C118" s="162" t="s">
        <v>383</v>
      </c>
      <c r="D118" s="334" t="s">
        <v>455</v>
      </c>
      <c r="E118" s="134">
        <v>43435</v>
      </c>
      <c r="F118" s="422"/>
      <c r="G118" s="422"/>
      <c r="H118" s="132" t="s">
        <v>43</v>
      </c>
      <c r="I118" s="422" t="s">
        <v>571</v>
      </c>
      <c r="J118" s="354" t="s">
        <v>668</v>
      </c>
      <c r="K118" s="354"/>
      <c r="L118" s="354"/>
      <c r="M118" s="132" t="s">
        <v>41</v>
      </c>
      <c r="N118" s="354"/>
      <c r="O118" s="436" t="s">
        <v>758</v>
      </c>
      <c r="P118" s="436"/>
      <c r="Q118" s="436"/>
      <c r="R118" s="350" t="s">
        <v>40</v>
      </c>
      <c r="S118" s="437"/>
      <c r="T118" s="405"/>
      <c r="U118" s="405"/>
      <c r="V118" s="410" t="s">
        <v>46</v>
      </c>
      <c r="W118" s="406"/>
      <c r="X118" s="133" t="s">
        <v>193</v>
      </c>
      <c r="Y118" s="161" t="s">
        <v>270</v>
      </c>
      <c r="Z118" s="161" t="s">
        <v>326</v>
      </c>
      <c r="AA118" s="132" t="s">
        <v>428</v>
      </c>
      <c r="AB118" s="243">
        <v>115</v>
      </c>
    </row>
    <row r="119" spans="1:28" ht="92.25" customHeight="1" x14ac:dyDescent="0.25">
      <c r="A119" s="184" t="s">
        <v>343</v>
      </c>
      <c r="B119" s="183" t="s">
        <v>233</v>
      </c>
      <c r="C119" s="162" t="s">
        <v>384</v>
      </c>
      <c r="D119" s="334" t="s">
        <v>385</v>
      </c>
      <c r="E119" s="134">
        <v>43525</v>
      </c>
      <c r="F119" s="423">
        <v>1</v>
      </c>
      <c r="G119" s="422"/>
      <c r="H119" s="132" t="s">
        <v>41</v>
      </c>
      <c r="I119" s="422" t="s">
        <v>572</v>
      </c>
      <c r="J119" s="434">
        <v>1</v>
      </c>
      <c r="K119" s="434">
        <v>1</v>
      </c>
      <c r="L119" s="434">
        <v>1</v>
      </c>
      <c r="M119" s="132" t="s">
        <v>41</v>
      </c>
      <c r="N119" s="354"/>
      <c r="O119" s="436" t="s">
        <v>849</v>
      </c>
      <c r="P119" s="438">
        <v>1</v>
      </c>
      <c r="Q119" s="438">
        <v>1</v>
      </c>
      <c r="R119" s="350" t="s">
        <v>41</v>
      </c>
      <c r="S119" s="437"/>
      <c r="T119" s="405"/>
      <c r="U119" s="405"/>
      <c r="V119" s="410" t="s">
        <v>46</v>
      </c>
      <c r="W119" s="406"/>
      <c r="X119" s="133" t="s">
        <v>193</v>
      </c>
      <c r="Y119" s="161" t="s">
        <v>270</v>
      </c>
      <c r="Z119" s="161" t="s">
        <v>326</v>
      </c>
      <c r="AA119" s="132" t="s">
        <v>428</v>
      </c>
      <c r="AB119" s="243">
        <v>116</v>
      </c>
    </row>
    <row r="120" spans="1:28" ht="104.25" customHeight="1" x14ac:dyDescent="0.25">
      <c r="A120" s="184" t="s">
        <v>344</v>
      </c>
      <c r="B120" s="183" t="s">
        <v>233</v>
      </c>
      <c r="C120" s="162" t="s">
        <v>384</v>
      </c>
      <c r="D120" s="334" t="s">
        <v>456</v>
      </c>
      <c r="E120" s="134">
        <v>43435</v>
      </c>
      <c r="F120" s="422" t="s">
        <v>569</v>
      </c>
      <c r="G120" s="422"/>
      <c r="H120" s="132" t="s">
        <v>41</v>
      </c>
      <c r="I120" s="420"/>
      <c r="J120" s="354" t="s">
        <v>670</v>
      </c>
      <c r="K120" s="354"/>
      <c r="L120" s="354"/>
      <c r="M120" s="132" t="s">
        <v>41</v>
      </c>
      <c r="N120" s="354"/>
      <c r="O120" s="436" t="s">
        <v>759</v>
      </c>
      <c r="P120" s="436"/>
      <c r="Q120" s="436"/>
      <c r="R120" s="350" t="s">
        <v>40</v>
      </c>
      <c r="S120" s="437"/>
      <c r="T120" s="405"/>
      <c r="U120" s="405"/>
      <c r="V120" s="410" t="s">
        <v>46</v>
      </c>
      <c r="W120" s="406"/>
      <c r="X120" s="133" t="s">
        <v>193</v>
      </c>
      <c r="Y120" s="161" t="s">
        <v>270</v>
      </c>
      <c r="Z120" s="161" t="s">
        <v>326</v>
      </c>
      <c r="AA120" s="132" t="s">
        <v>428</v>
      </c>
      <c r="AB120" s="243">
        <v>117</v>
      </c>
    </row>
    <row r="121" spans="1:28" ht="104.25" customHeight="1" x14ac:dyDescent="0.25">
      <c r="A121" s="184" t="s">
        <v>345</v>
      </c>
      <c r="B121" s="183" t="s">
        <v>233</v>
      </c>
      <c r="C121" s="162" t="s">
        <v>384</v>
      </c>
      <c r="D121" s="334" t="s">
        <v>457</v>
      </c>
      <c r="E121" s="134">
        <v>43344</v>
      </c>
      <c r="F121" s="422" t="s">
        <v>570</v>
      </c>
      <c r="G121" s="422"/>
      <c r="H121" s="132" t="s">
        <v>41</v>
      </c>
      <c r="I121" s="420"/>
      <c r="J121" s="354" t="s">
        <v>669</v>
      </c>
      <c r="K121" s="354"/>
      <c r="L121" s="354"/>
      <c r="M121" s="132" t="s">
        <v>40</v>
      </c>
      <c r="N121" s="354"/>
      <c r="O121" s="436" t="s">
        <v>760</v>
      </c>
      <c r="P121" s="436"/>
      <c r="Q121" s="436"/>
      <c r="R121" s="350" t="s">
        <v>40</v>
      </c>
      <c r="S121" s="437"/>
      <c r="T121" s="405"/>
      <c r="U121" s="405"/>
      <c r="V121" s="410" t="s">
        <v>46</v>
      </c>
      <c r="W121" s="406"/>
      <c r="X121" s="133" t="s">
        <v>193</v>
      </c>
      <c r="Y121" s="161" t="s">
        <v>270</v>
      </c>
      <c r="Z121" s="161" t="s">
        <v>326</v>
      </c>
      <c r="AA121" s="132" t="s">
        <v>428</v>
      </c>
      <c r="AB121" s="243">
        <v>118</v>
      </c>
    </row>
    <row r="122" spans="1:28" ht="63" x14ac:dyDescent="0.25">
      <c r="A122" s="184" t="s">
        <v>346</v>
      </c>
      <c r="B122" s="183" t="s">
        <v>260</v>
      </c>
      <c r="C122" s="162" t="s">
        <v>386</v>
      </c>
      <c r="D122" s="334" t="s">
        <v>520</v>
      </c>
      <c r="E122" s="134">
        <v>43221</v>
      </c>
      <c r="F122" s="422" t="s">
        <v>564</v>
      </c>
      <c r="G122" s="422"/>
      <c r="H122" s="132" t="s">
        <v>40</v>
      </c>
      <c r="I122" s="422"/>
      <c r="J122" s="434" t="s">
        <v>687</v>
      </c>
      <c r="K122" s="354"/>
      <c r="L122" s="354"/>
      <c r="M122" s="132" t="s">
        <v>40</v>
      </c>
      <c r="N122" s="354"/>
      <c r="O122" s="440" t="s">
        <v>837</v>
      </c>
      <c r="P122" s="436"/>
      <c r="Q122" s="436"/>
      <c r="R122" s="350" t="s">
        <v>40</v>
      </c>
      <c r="S122" s="437"/>
      <c r="T122" s="405"/>
      <c r="U122" s="405"/>
      <c r="V122" s="410" t="s">
        <v>46</v>
      </c>
      <c r="W122" s="406"/>
      <c r="X122" s="133" t="s">
        <v>193</v>
      </c>
      <c r="Y122" s="161" t="s">
        <v>269</v>
      </c>
      <c r="Z122" s="161" t="s">
        <v>327</v>
      </c>
      <c r="AA122" s="132" t="s">
        <v>413</v>
      </c>
      <c r="AB122" s="243">
        <v>119</v>
      </c>
    </row>
    <row r="123" spans="1:28" ht="104.25" customHeight="1" x14ac:dyDescent="0.25">
      <c r="A123" s="184" t="s">
        <v>347</v>
      </c>
      <c r="B123" s="183" t="s">
        <v>262</v>
      </c>
      <c r="C123" s="162" t="s">
        <v>387</v>
      </c>
      <c r="D123" s="334" t="s">
        <v>509</v>
      </c>
      <c r="E123" s="134">
        <v>43221</v>
      </c>
      <c r="F123" s="422" t="s">
        <v>535</v>
      </c>
      <c r="G123" s="422"/>
      <c r="H123" s="132" t="s">
        <v>40</v>
      </c>
      <c r="I123" s="422"/>
      <c r="J123" s="434" t="s">
        <v>687</v>
      </c>
      <c r="K123" s="354"/>
      <c r="L123" s="354"/>
      <c r="M123" s="132" t="s">
        <v>40</v>
      </c>
      <c r="N123" s="354"/>
      <c r="O123" s="440" t="s">
        <v>837</v>
      </c>
      <c r="P123" s="436"/>
      <c r="Q123" s="436"/>
      <c r="R123" s="350" t="s">
        <v>40</v>
      </c>
      <c r="S123" s="437"/>
      <c r="T123" s="405"/>
      <c r="U123" s="405"/>
      <c r="V123" s="410" t="s">
        <v>46</v>
      </c>
      <c r="W123" s="406"/>
      <c r="X123" s="133" t="s">
        <v>193</v>
      </c>
      <c r="Y123" s="161" t="s">
        <v>269</v>
      </c>
      <c r="Z123" s="161" t="s">
        <v>395</v>
      </c>
      <c r="AA123" s="132" t="s">
        <v>424</v>
      </c>
      <c r="AB123" s="243">
        <v>120</v>
      </c>
    </row>
    <row r="124" spans="1:28" ht="104.25" customHeight="1" x14ac:dyDescent="0.25">
      <c r="A124" s="184" t="s">
        <v>348</v>
      </c>
      <c r="B124" s="183" t="s">
        <v>262</v>
      </c>
      <c r="C124" s="162" t="s">
        <v>387</v>
      </c>
      <c r="D124" s="334" t="s">
        <v>388</v>
      </c>
      <c r="E124" s="134">
        <v>43525</v>
      </c>
      <c r="F124" s="422"/>
      <c r="G124" s="422"/>
      <c r="H124" s="132" t="s">
        <v>43</v>
      </c>
      <c r="I124" s="422"/>
      <c r="J124" s="354" t="s">
        <v>628</v>
      </c>
      <c r="K124" s="354" t="s">
        <v>628</v>
      </c>
      <c r="L124" s="354" t="s">
        <v>629</v>
      </c>
      <c r="M124" s="132" t="s">
        <v>41</v>
      </c>
      <c r="N124" s="354"/>
      <c r="O124" s="426" t="s">
        <v>763</v>
      </c>
      <c r="P124" s="426" t="s">
        <v>761</v>
      </c>
      <c r="Q124" s="426" t="s">
        <v>762</v>
      </c>
      <c r="R124" s="350" t="s">
        <v>40</v>
      </c>
      <c r="S124" s="437"/>
      <c r="T124" s="405"/>
      <c r="U124" s="405"/>
      <c r="V124" s="410" t="s">
        <v>46</v>
      </c>
      <c r="W124" s="406"/>
      <c r="X124" s="133" t="s">
        <v>193</v>
      </c>
      <c r="Y124" s="161" t="s">
        <v>269</v>
      </c>
      <c r="Z124" s="161" t="s">
        <v>395</v>
      </c>
      <c r="AA124" s="132" t="s">
        <v>424</v>
      </c>
      <c r="AB124" s="243">
        <v>121</v>
      </c>
    </row>
    <row r="125" spans="1:28" ht="104.25" customHeight="1" x14ac:dyDescent="0.25">
      <c r="A125" s="184" t="s">
        <v>349</v>
      </c>
      <c r="B125" s="183" t="s">
        <v>262</v>
      </c>
      <c r="C125" s="162" t="s">
        <v>389</v>
      </c>
      <c r="D125" s="334" t="s">
        <v>390</v>
      </c>
      <c r="E125" s="134">
        <v>43221</v>
      </c>
      <c r="F125" s="422" t="s">
        <v>583</v>
      </c>
      <c r="G125" s="422"/>
      <c r="H125" s="132" t="s">
        <v>40</v>
      </c>
      <c r="I125" s="422"/>
      <c r="J125" s="434" t="s">
        <v>687</v>
      </c>
      <c r="K125" s="354"/>
      <c r="L125" s="354"/>
      <c r="M125" s="132" t="s">
        <v>40</v>
      </c>
      <c r="N125" s="354"/>
      <c r="O125" s="440" t="s">
        <v>837</v>
      </c>
      <c r="P125" s="436"/>
      <c r="Q125" s="436"/>
      <c r="R125" s="350" t="s">
        <v>40</v>
      </c>
      <c r="S125" s="437"/>
      <c r="T125" s="405"/>
      <c r="U125" s="405"/>
      <c r="V125" s="410" t="s">
        <v>46</v>
      </c>
      <c r="W125" s="406"/>
      <c r="X125" s="133" t="s">
        <v>193</v>
      </c>
      <c r="Y125" s="161" t="s">
        <v>269</v>
      </c>
      <c r="Z125" s="161" t="s">
        <v>395</v>
      </c>
      <c r="AA125" s="132" t="s">
        <v>424</v>
      </c>
      <c r="AB125" s="243">
        <v>122</v>
      </c>
    </row>
    <row r="126" spans="1:28" ht="104.25" customHeight="1" x14ac:dyDescent="0.25">
      <c r="A126" s="184" t="s">
        <v>350</v>
      </c>
      <c r="B126" s="183" t="s">
        <v>262</v>
      </c>
      <c r="C126" s="162" t="s">
        <v>389</v>
      </c>
      <c r="D126" s="334" t="s">
        <v>391</v>
      </c>
      <c r="E126" s="134" t="s">
        <v>854</v>
      </c>
      <c r="F126" s="422"/>
      <c r="G126" s="422"/>
      <c r="H126" s="429" t="s">
        <v>43</v>
      </c>
      <c r="I126" s="422" t="s">
        <v>534</v>
      </c>
      <c r="J126" s="354"/>
      <c r="K126" s="354"/>
      <c r="L126" s="354"/>
      <c r="M126" s="429" t="s">
        <v>43</v>
      </c>
      <c r="N126" s="354" t="s">
        <v>534</v>
      </c>
      <c r="O126" s="436" t="s">
        <v>850</v>
      </c>
      <c r="P126" s="436"/>
      <c r="Q126" s="436"/>
      <c r="R126" s="430" t="s">
        <v>41</v>
      </c>
      <c r="S126" s="426" t="s">
        <v>748</v>
      </c>
      <c r="T126" s="405"/>
      <c r="U126" s="405"/>
      <c r="V126" s="410" t="s">
        <v>46</v>
      </c>
      <c r="W126" s="406"/>
      <c r="X126" s="133" t="s">
        <v>193</v>
      </c>
      <c r="Y126" s="161" t="s">
        <v>269</v>
      </c>
      <c r="Z126" s="161" t="s">
        <v>395</v>
      </c>
      <c r="AA126" s="132" t="s">
        <v>424</v>
      </c>
      <c r="AB126" s="243">
        <v>123</v>
      </c>
    </row>
    <row r="127" spans="1:28" ht="104.25" customHeight="1" x14ac:dyDescent="0.25">
      <c r="A127" s="184" t="s">
        <v>351</v>
      </c>
      <c r="B127" s="183" t="s">
        <v>260</v>
      </c>
      <c r="C127" s="162" t="s">
        <v>392</v>
      </c>
      <c r="D127" s="334" t="s">
        <v>521</v>
      </c>
      <c r="E127" s="134">
        <v>43525</v>
      </c>
      <c r="F127" s="422" t="s">
        <v>565</v>
      </c>
      <c r="G127" s="422"/>
      <c r="H127" s="429" t="s">
        <v>41</v>
      </c>
      <c r="I127" s="422"/>
      <c r="J127" s="354" t="s">
        <v>685</v>
      </c>
      <c r="K127" s="354"/>
      <c r="L127" s="354"/>
      <c r="M127" s="429" t="s">
        <v>41</v>
      </c>
      <c r="N127" s="354"/>
      <c r="O127" s="436" t="s">
        <v>757</v>
      </c>
      <c r="P127" s="436"/>
      <c r="Q127" s="436"/>
      <c r="R127" s="430" t="s">
        <v>41</v>
      </c>
      <c r="S127" s="437"/>
      <c r="T127" s="405"/>
      <c r="U127" s="405"/>
      <c r="V127" s="410" t="s">
        <v>46</v>
      </c>
      <c r="W127" s="406"/>
      <c r="X127" s="133" t="s">
        <v>193</v>
      </c>
      <c r="Y127" s="161" t="s">
        <v>269</v>
      </c>
      <c r="Z127" s="161" t="s">
        <v>395</v>
      </c>
      <c r="AA127" s="132" t="s">
        <v>91</v>
      </c>
      <c r="AB127" s="243">
        <v>124</v>
      </c>
    </row>
    <row r="128" spans="1:28" ht="94.5" x14ac:dyDescent="0.25">
      <c r="A128" s="184" t="s">
        <v>352</v>
      </c>
      <c r="B128" s="183" t="s">
        <v>260</v>
      </c>
      <c r="C128" s="162" t="s">
        <v>393</v>
      </c>
      <c r="D128" s="334" t="s">
        <v>522</v>
      </c>
      <c r="E128" s="134">
        <v>43344</v>
      </c>
      <c r="F128" s="422"/>
      <c r="G128" s="422"/>
      <c r="H128" s="429" t="s">
        <v>43</v>
      </c>
      <c r="I128" s="422"/>
      <c r="J128" s="354" t="s">
        <v>686</v>
      </c>
      <c r="K128" s="354"/>
      <c r="L128" s="354"/>
      <c r="M128" s="429" t="s">
        <v>40</v>
      </c>
      <c r="N128" s="354"/>
      <c r="O128" s="354" t="s">
        <v>686</v>
      </c>
      <c r="P128" s="436"/>
      <c r="Q128" s="436"/>
      <c r="R128" s="430" t="s">
        <v>40</v>
      </c>
      <c r="S128" s="437"/>
      <c r="T128" s="405"/>
      <c r="U128" s="405"/>
      <c r="V128" s="410" t="s">
        <v>46</v>
      </c>
      <c r="W128" s="406"/>
      <c r="X128" s="133" t="s">
        <v>193</v>
      </c>
      <c r="Y128" s="161" t="s">
        <v>269</v>
      </c>
      <c r="Z128" s="161" t="s">
        <v>395</v>
      </c>
      <c r="AA128" s="132" t="s">
        <v>91</v>
      </c>
      <c r="AB128" s="243">
        <v>125</v>
      </c>
    </row>
    <row r="129" spans="1:28" s="319" customFormat="1" x14ac:dyDescent="0.25">
      <c r="A129" s="382"/>
      <c r="C129" s="320"/>
      <c r="D129" s="321"/>
      <c r="F129" s="320"/>
      <c r="G129" s="320"/>
      <c r="H129" s="338"/>
      <c r="I129" s="320"/>
      <c r="J129" s="42"/>
      <c r="K129" s="42"/>
      <c r="L129" s="42"/>
      <c r="M129" s="322"/>
      <c r="N129" s="42"/>
      <c r="O129" s="323"/>
      <c r="P129" s="323"/>
      <c r="Q129" s="323"/>
      <c r="R129" s="42"/>
      <c r="S129" s="351"/>
      <c r="T129" s="323"/>
      <c r="U129" s="323"/>
      <c r="V129" s="322"/>
      <c r="W129" s="404"/>
      <c r="X129" s="321"/>
      <c r="AA129" s="321"/>
      <c r="AB129" s="324"/>
    </row>
    <row r="130" spans="1:28" s="319" customFormat="1" x14ac:dyDescent="0.25">
      <c r="A130" s="382"/>
      <c r="C130" s="320"/>
      <c r="D130" s="321"/>
      <c r="F130" s="320"/>
      <c r="G130" s="320"/>
      <c r="H130" s="338"/>
      <c r="I130" s="320"/>
      <c r="J130" s="42"/>
      <c r="K130" s="42"/>
      <c r="L130" s="42"/>
      <c r="M130" s="322"/>
      <c r="N130" s="42"/>
      <c r="O130" s="323"/>
      <c r="P130" s="323"/>
      <c r="Q130" s="323"/>
      <c r="R130" s="42"/>
      <c r="S130" s="351"/>
      <c r="T130" s="323"/>
      <c r="U130" s="323"/>
      <c r="V130" s="322"/>
      <c r="W130" s="404"/>
      <c r="X130" s="321"/>
      <c r="AA130" s="321"/>
      <c r="AB130" s="324"/>
    </row>
    <row r="131" spans="1:28" s="319" customFormat="1" x14ac:dyDescent="0.25">
      <c r="A131" s="383" t="s">
        <v>103</v>
      </c>
      <c r="C131" s="320"/>
      <c r="D131" s="321"/>
      <c r="F131" s="320"/>
      <c r="G131" s="320"/>
      <c r="H131" s="338"/>
      <c r="I131" s="320"/>
      <c r="J131" s="42"/>
      <c r="K131" s="42"/>
      <c r="L131" s="42"/>
      <c r="M131" s="322"/>
      <c r="N131" s="42"/>
      <c r="O131" s="323"/>
      <c r="P131" s="323"/>
      <c r="Q131" s="323"/>
      <c r="R131" s="42"/>
      <c r="S131" s="351"/>
      <c r="T131" s="323"/>
      <c r="U131" s="323"/>
      <c r="V131" s="322"/>
      <c r="W131" s="404"/>
      <c r="X131" s="321"/>
      <c r="AA131" s="321"/>
      <c r="AB131" s="324"/>
    </row>
    <row r="132" spans="1:28" s="319" customFormat="1" ht="30" x14ac:dyDescent="0.25">
      <c r="A132" s="383" t="s">
        <v>104</v>
      </c>
      <c r="C132" s="320"/>
      <c r="D132" s="321"/>
      <c r="F132" s="320"/>
      <c r="G132" s="320"/>
      <c r="H132" s="338"/>
      <c r="I132" s="320"/>
      <c r="J132" s="42"/>
      <c r="K132" s="42"/>
      <c r="L132" s="42"/>
      <c r="M132" s="322"/>
      <c r="N132" s="42"/>
      <c r="O132" s="323"/>
      <c r="P132" s="323"/>
      <c r="Q132" s="323"/>
      <c r="R132" s="42"/>
      <c r="S132" s="351"/>
      <c r="T132" s="323"/>
      <c r="U132" s="323"/>
      <c r="V132" s="322"/>
      <c r="W132" s="404"/>
      <c r="X132" s="321"/>
      <c r="AA132" s="321"/>
      <c r="AB132" s="324"/>
    </row>
    <row r="133" spans="1:28" s="319" customFormat="1" x14ac:dyDescent="0.25">
      <c r="A133" s="383"/>
      <c r="C133" s="320"/>
      <c r="D133" s="321"/>
      <c r="F133" s="320"/>
      <c r="G133" s="320"/>
      <c r="H133" s="338"/>
      <c r="I133" s="320"/>
      <c r="J133" s="42"/>
      <c r="K133" s="42"/>
      <c r="L133" s="42"/>
      <c r="M133" s="322"/>
      <c r="N133" s="42"/>
      <c r="O133" s="323"/>
      <c r="P133" s="323"/>
      <c r="Q133" s="323"/>
      <c r="R133" s="42"/>
      <c r="S133" s="351"/>
      <c r="T133" s="323"/>
      <c r="U133" s="323"/>
      <c r="V133" s="322"/>
      <c r="W133" s="404"/>
      <c r="X133" s="321"/>
      <c r="AA133" s="321"/>
      <c r="AB133" s="324"/>
    </row>
    <row r="134" spans="1:28" s="319" customFormat="1" x14ac:dyDescent="0.25">
      <c r="A134" s="383"/>
      <c r="C134" s="320"/>
      <c r="D134" s="321"/>
      <c r="F134" s="320"/>
      <c r="G134" s="320"/>
      <c r="H134" s="338"/>
      <c r="I134" s="320"/>
      <c r="J134" s="42"/>
      <c r="K134" s="42"/>
      <c r="L134" s="42"/>
      <c r="M134" s="322"/>
      <c r="N134" s="42"/>
      <c r="O134" s="323"/>
      <c r="P134" s="323"/>
      <c r="Q134" s="323"/>
      <c r="R134" s="42"/>
      <c r="S134" s="351"/>
      <c r="T134" s="323"/>
      <c r="U134" s="323"/>
      <c r="V134" s="322"/>
      <c r="W134" s="404"/>
      <c r="X134" s="321"/>
      <c r="AA134" s="321"/>
      <c r="AB134" s="324"/>
    </row>
    <row r="135" spans="1:28" s="319" customFormat="1" x14ac:dyDescent="0.25">
      <c r="A135" s="383"/>
      <c r="C135" s="320"/>
      <c r="D135" s="321"/>
      <c r="F135" s="320"/>
      <c r="G135" s="320"/>
      <c r="H135" s="338"/>
      <c r="I135" s="320"/>
      <c r="J135" s="42"/>
      <c r="K135" s="42"/>
      <c r="L135" s="42"/>
      <c r="M135" s="322"/>
      <c r="N135" s="42"/>
      <c r="O135" s="323"/>
      <c r="P135" s="323"/>
      <c r="Q135" s="323"/>
      <c r="R135" s="42"/>
      <c r="S135" s="351"/>
      <c r="T135" s="323"/>
      <c r="U135" s="323"/>
      <c r="V135" s="322"/>
      <c r="W135" s="404"/>
      <c r="X135" s="321"/>
      <c r="AA135" s="321"/>
      <c r="AB135" s="324"/>
    </row>
    <row r="136" spans="1:28" s="319" customFormat="1" x14ac:dyDescent="0.25">
      <c r="A136" s="383"/>
      <c r="C136" s="320"/>
      <c r="D136" s="321"/>
      <c r="F136" s="320"/>
      <c r="G136" s="320"/>
      <c r="H136" s="338"/>
      <c r="I136" s="320"/>
      <c r="J136" s="42"/>
      <c r="K136" s="42"/>
      <c r="L136" s="42"/>
      <c r="M136" s="322"/>
      <c r="N136" s="42"/>
      <c r="O136" s="323"/>
      <c r="P136" s="323"/>
      <c r="Q136" s="323"/>
      <c r="R136" s="42"/>
      <c r="S136" s="351"/>
      <c r="T136" s="323"/>
      <c r="U136" s="323"/>
      <c r="V136" s="322"/>
      <c r="W136" s="404"/>
      <c r="X136" s="321"/>
      <c r="AA136" s="321"/>
      <c r="AB136" s="324"/>
    </row>
    <row r="137" spans="1:28" s="319" customFormat="1" x14ac:dyDescent="0.25">
      <c r="A137" s="383"/>
      <c r="C137" s="320"/>
      <c r="D137" s="321"/>
      <c r="F137" s="320"/>
      <c r="G137" s="320"/>
      <c r="H137" s="338"/>
      <c r="I137" s="320"/>
      <c r="J137" s="42"/>
      <c r="K137" s="42"/>
      <c r="L137" s="42"/>
      <c r="M137" s="322"/>
      <c r="N137" s="42"/>
      <c r="O137" s="323"/>
      <c r="P137" s="323"/>
      <c r="Q137" s="323"/>
      <c r="R137" s="42"/>
      <c r="S137" s="351"/>
      <c r="T137" s="323"/>
      <c r="U137" s="323"/>
      <c r="V137" s="322"/>
      <c r="W137" s="404"/>
      <c r="X137" s="321"/>
      <c r="AA137" s="321"/>
      <c r="AB137" s="324"/>
    </row>
    <row r="138" spans="1:28" s="319" customFormat="1" x14ac:dyDescent="0.25">
      <c r="A138" s="383"/>
      <c r="C138" s="320"/>
      <c r="D138" s="321"/>
      <c r="F138" s="320"/>
      <c r="G138" s="320"/>
      <c r="H138" s="338"/>
      <c r="I138" s="320"/>
      <c r="J138" s="42"/>
      <c r="K138" s="42"/>
      <c r="L138" s="42"/>
      <c r="M138" s="322"/>
      <c r="N138" s="42"/>
      <c r="O138" s="323"/>
      <c r="P138" s="323"/>
      <c r="Q138" s="323"/>
      <c r="R138" s="42"/>
      <c r="S138" s="351"/>
      <c r="T138" s="323"/>
      <c r="U138" s="323"/>
      <c r="V138" s="322"/>
      <c r="W138" s="404"/>
      <c r="X138" s="321"/>
      <c r="AA138" s="321"/>
      <c r="AB138" s="324"/>
    </row>
    <row r="139" spans="1:28" s="319" customFormat="1" x14ac:dyDescent="0.25">
      <c r="A139" s="383"/>
      <c r="C139" s="320"/>
      <c r="D139" s="321"/>
      <c r="F139" s="320"/>
      <c r="G139" s="320"/>
      <c r="H139" s="338"/>
      <c r="I139" s="320"/>
      <c r="J139" s="42"/>
      <c r="K139" s="42"/>
      <c r="L139" s="42"/>
      <c r="M139" s="322"/>
      <c r="N139" s="42"/>
      <c r="O139" s="323"/>
      <c r="P139" s="323"/>
      <c r="Q139" s="323"/>
      <c r="R139" s="42"/>
      <c r="S139" s="351"/>
      <c r="T139" s="323"/>
      <c r="U139" s="323"/>
      <c r="V139" s="322"/>
      <c r="W139" s="404"/>
      <c r="X139" s="321"/>
      <c r="AA139" s="321"/>
      <c r="AB139" s="324"/>
    </row>
    <row r="140" spans="1:28" s="319" customFormat="1" x14ac:dyDescent="0.25">
      <c r="A140" s="383"/>
      <c r="C140" s="320"/>
      <c r="D140" s="321"/>
      <c r="F140" s="320"/>
      <c r="G140" s="320"/>
      <c r="H140" s="338"/>
      <c r="I140" s="320"/>
      <c r="J140" s="42"/>
      <c r="K140" s="42"/>
      <c r="L140" s="42"/>
      <c r="M140" s="322"/>
      <c r="N140" s="42"/>
      <c r="O140" s="323"/>
      <c r="P140" s="323"/>
      <c r="Q140" s="323"/>
      <c r="R140" s="42"/>
      <c r="S140" s="351"/>
      <c r="T140" s="323"/>
      <c r="U140" s="323"/>
      <c r="V140" s="322"/>
      <c r="W140" s="404"/>
      <c r="X140" s="321"/>
      <c r="AA140" s="321"/>
      <c r="AB140" s="324"/>
    </row>
    <row r="141" spans="1:28" s="319" customFormat="1" x14ac:dyDescent="0.25">
      <c r="A141" s="383"/>
      <c r="C141" s="320"/>
      <c r="D141" s="321"/>
      <c r="F141" s="320"/>
      <c r="G141" s="320"/>
      <c r="H141" s="338"/>
      <c r="I141" s="320"/>
      <c r="J141" s="42"/>
      <c r="K141" s="42"/>
      <c r="L141" s="42"/>
      <c r="M141" s="322"/>
      <c r="N141" s="42"/>
      <c r="O141" s="323"/>
      <c r="P141" s="323"/>
      <c r="Q141" s="323"/>
      <c r="R141" s="42"/>
      <c r="S141" s="351"/>
      <c r="T141" s="323"/>
      <c r="U141" s="323"/>
      <c r="V141" s="322"/>
      <c r="W141" s="404"/>
      <c r="X141" s="321"/>
      <c r="AA141" s="321"/>
      <c r="AB141" s="324"/>
    </row>
    <row r="142" spans="1:28" s="319" customFormat="1" x14ac:dyDescent="0.25">
      <c r="A142" s="383"/>
      <c r="C142" s="320"/>
      <c r="D142" s="321"/>
      <c r="F142" s="320"/>
      <c r="G142" s="320"/>
      <c r="H142" s="338"/>
      <c r="I142" s="320"/>
      <c r="J142" s="42"/>
      <c r="K142" s="42"/>
      <c r="L142" s="42"/>
      <c r="M142" s="322"/>
      <c r="N142" s="42"/>
      <c r="O142" s="323"/>
      <c r="P142" s="323"/>
      <c r="Q142" s="323"/>
      <c r="R142" s="42"/>
      <c r="S142" s="351"/>
      <c r="T142" s="323"/>
      <c r="U142" s="323"/>
      <c r="V142" s="322"/>
      <c r="W142" s="404"/>
      <c r="X142" s="321"/>
      <c r="AA142" s="321"/>
      <c r="AB142" s="324"/>
    </row>
    <row r="143" spans="1:28" s="319" customFormat="1" x14ac:dyDescent="0.25">
      <c r="A143" s="383"/>
      <c r="C143" s="320"/>
      <c r="D143" s="321"/>
      <c r="F143" s="320"/>
      <c r="G143" s="320"/>
      <c r="H143" s="338"/>
      <c r="I143" s="320"/>
      <c r="J143" s="42"/>
      <c r="K143" s="42"/>
      <c r="L143" s="42"/>
      <c r="M143" s="322"/>
      <c r="N143" s="42"/>
      <c r="O143" s="323"/>
      <c r="P143" s="323"/>
      <c r="Q143" s="323"/>
      <c r="R143" s="42"/>
      <c r="S143" s="351"/>
      <c r="T143" s="323"/>
      <c r="U143" s="323"/>
      <c r="V143" s="322"/>
      <c r="W143" s="404"/>
      <c r="X143" s="321"/>
      <c r="AA143" s="321"/>
      <c r="AB143" s="324"/>
    </row>
    <row r="144" spans="1:28" s="319" customFormat="1" x14ac:dyDescent="0.25">
      <c r="A144" s="383"/>
      <c r="C144" s="320"/>
      <c r="D144" s="321"/>
      <c r="F144" s="320"/>
      <c r="G144" s="320"/>
      <c r="H144" s="338"/>
      <c r="I144" s="320"/>
      <c r="J144" s="42"/>
      <c r="K144" s="42"/>
      <c r="L144" s="42"/>
      <c r="M144" s="322"/>
      <c r="N144" s="42"/>
      <c r="O144" s="323"/>
      <c r="P144" s="323"/>
      <c r="Q144" s="323"/>
      <c r="R144" s="42"/>
      <c r="S144" s="351"/>
      <c r="T144" s="323"/>
      <c r="U144" s="323"/>
      <c r="V144" s="322"/>
      <c r="W144" s="404"/>
      <c r="X144" s="321"/>
      <c r="AA144" s="321"/>
      <c r="AB144" s="324"/>
    </row>
    <row r="145" spans="1:28" s="319" customFormat="1" x14ac:dyDescent="0.25">
      <c r="A145" s="383"/>
      <c r="C145" s="320"/>
      <c r="D145" s="321"/>
      <c r="F145" s="320"/>
      <c r="G145" s="320"/>
      <c r="H145" s="338"/>
      <c r="I145" s="320"/>
      <c r="J145" s="42"/>
      <c r="K145" s="42"/>
      <c r="L145" s="42"/>
      <c r="M145" s="322"/>
      <c r="N145" s="42"/>
      <c r="O145" s="323"/>
      <c r="P145" s="323"/>
      <c r="Q145" s="323"/>
      <c r="R145" s="42"/>
      <c r="S145" s="351"/>
      <c r="T145" s="323"/>
      <c r="U145" s="323"/>
      <c r="V145" s="322"/>
      <c r="W145" s="404"/>
      <c r="X145" s="321"/>
      <c r="AA145" s="321"/>
      <c r="AB145" s="324"/>
    </row>
    <row r="146" spans="1:28" s="319" customFormat="1" x14ac:dyDescent="0.25">
      <c r="A146" s="383"/>
      <c r="C146" s="320"/>
      <c r="D146" s="321"/>
      <c r="F146" s="320"/>
      <c r="G146" s="320"/>
      <c r="H146" s="338"/>
      <c r="I146" s="320"/>
      <c r="J146" s="42"/>
      <c r="K146" s="42"/>
      <c r="L146" s="42"/>
      <c r="M146" s="322"/>
      <c r="N146" s="42"/>
      <c r="O146" s="323"/>
      <c r="P146" s="323"/>
      <c r="Q146" s="323"/>
      <c r="R146" s="42"/>
      <c r="S146" s="351"/>
      <c r="T146" s="323"/>
      <c r="U146" s="323"/>
      <c r="V146" s="322"/>
      <c r="W146" s="404"/>
      <c r="X146" s="321"/>
      <c r="AA146" s="321"/>
      <c r="AB146" s="324"/>
    </row>
    <row r="147" spans="1:28" s="319" customFormat="1" x14ac:dyDescent="0.25">
      <c r="A147" s="383"/>
      <c r="C147" s="320"/>
      <c r="D147" s="321"/>
      <c r="F147" s="320"/>
      <c r="G147" s="320"/>
      <c r="H147" s="338"/>
      <c r="I147" s="320"/>
      <c r="J147" s="42"/>
      <c r="K147" s="42"/>
      <c r="L147" s="42"/>
      <c r="M147" s="322"/>
      <c r="N147" s="42"/>
      <c r="O147" s="323"/>
      <c r="P147" s="323"/>
      <c r="Q147" s="323"/>
      <c r="R147" s="42"/>
      <c r="S147" s="351"/>
      <c r="T147" s="323"/>
      <c r="U147" s="323"/>
      <c r="V147" s="322"/>
      <c r="W147" s="404"/>
      <c r="X147" s="321"/>
      <c r="AA147" s="321"/>
      <c r="AB147" s="324"/>
    </row>
    <row r="148" spans="1:28" s="319" customFormat="1" x14ac:dyDescent="0.25">
      <c r="A148" s="383"/>
      <c r="C148" s="320"/>
      <c r="D148" s="321"/>
      <c r="F148" s="320"/>
      <c r="G148" s="320"/>
      <c r="H148" s="338"/>
      <c r="I148" s="320"/>
      <c r="J148" s="42"/>
      <c r="K148" s="42"/>
      <c r="L148" s="42"/>
      <c r="M148" s="322"/>
      <c r="N148" s="42"/>
      <c r="O148" s="323"/>
      <c r="P148" s="323"/>
      <c r="Q148" s="323"/>
      <c r="R148" s="42"/>
      <c r="S148" s="351"/>
      <c r="T148" s="323"/>
      <c r="U148" s="323"/>
      <c r="V148" s="322"/>
      <c r="W148" s="404"/>
      <c r="X148" s="321"/>
      <c r="AA148" s="321"/>
      <c r="AB148" s="324"/>
    </row>
    <row r="149" spans="1:28" s="319" customFormat="1" x14ac:dyDescent="0.25">
      <c r="A149" s="383"/>
      <c r="C149" s="320"/>
      <c r="D149" s="321"/>
      <c r="F149" s="320"/>
      <c r="G149" s="320"/>
      <c r="H149" s="338"/>
      <c r="I149" s="320"/>
      <c r="J149" s="42"/>
      <c r="K149" s="42"/>
      <c r="L149" s="42"/>
      <c r="M149" s="322"/>
      <c r="N149" s="42"/>
      <c r="O149" s="323"/>
      <c r="P149" s="323"/>
      <c r="Q149" s="323"/>
      <c r="R149" s="42"/>
      <c r="S149" s="351"/>
      <c r="T149" s="323"/>
      <c r="U149" s="323"/>
      <c r="V149" s="322"/>
      <c r="W149" s="404"/>
      <c r="X149" s="321"/>
      <c r="AA149" s="321"/>
      <c r="AB149" s="324"/>
    </row>
    <row r="150" spans="1:28" s="319" customFormat="1" x14ac:dyDescent="0.25">
      <c r="A150" s="383"/>
      <c r="C150" s="320"/>
      <c r="D150" s="321"/>
      <c r="F150" s="320"/>
      <c r="G150" s="320"/>
      <c r="H150" s="338"/>
      <c r="I150" s="320"/>
      <c r="J150" s="42"/>
      <c r="K150" s="42"/>
      <c r="L150" s="42"/>
      <c r="M150" s="322"/>
      <c r="N150" s="42"/>
      <c r="O150" s="323"/>
      <c r="P150" s="323"/>
      <c r="Q150" s="323"/>
      <c r="R150" s="42"/>
      <c r="S150" s="351"/>
      <c r="T150" s="323"/>
      <c r="U150" s="323"/>
      <c r="V150" s="322"/>
      <c r="W150" s="404"/>
      <c r="X150" s="321"/>
      <c r="AA150" s="321"/>
      <c r="AB150" s="324"/>
    </row>
    <row r="151" spans="1:28" s="319" customFormat="1" x14ac:dyDescent="0.25">
      <c r="A151" s="383"/>
      <c r="C151" s="320"/>
      <c r="D151" s="321"/>
      <c r="F151" s="320"/>
      <c r="G151" s="320"/>
      <c r="H151" s="338"/>
      <c r="I151" s="320"/>
      <c r="J151" s="42"/>
      <c r="K151" s="42"/>
      <c r="L151" s="42"/>
      <c r="M151" s="322"/>
      <c r="N151" s="42"/>
      <c r="O151" s="323"/>
      <c r="P151" s="323"/>
      <c r="Q151" s="323"/>
      <c r="R151" s="42"/>
      <c r="S151" s="351"/>
      <c r="T151" s="323"/>
      <c r="U151" s="323"/>
      <c r="V151" s="322"/>
      <c r="W151" s="404"/>
      <c r="X151" s="321"/>
      <c r="AA151" s="321"/>
      <c r="AB151" s="324"/>
    </row>
    <row r="152" spans="1:28" s="319" customFormat="1" x14ac:dyDescent="0.25">
      <c r="A152" s="383"/>
      <c r="C152" s="320"/>
      <c r="D152" s="321"/>
      <c r="F152" s="320"/>
      <c r="G152" s="320"/>
      <c r="H152" s="338"/>
      <c r="I152" s="320"/>
      <c r="J152" s="42"/>
      <c r="K152" s="42"/>
      <c r="L152" s="42"/>
      <c r="M152" s="322"/>
      <c r="N152" s="42"/>
      <c r="O152" s="323"/>
      <c r="P152" s="323"/>
      <c r="Q152" s="323"/>
      <c r="R152" s="42"/>
      <c r="S152" s="351"/>
      <c r="T152" s="323"/>
      <c r="U152" s="323"/>
      <c r="V152" s="322"/>
      <c r="W152" s="404"/>
      <c r="X152" s="321"/>
      <c r="AA152" s="321"/>
      <c r="AB152" s="324"/>
    </row>
    <row r="153" spans="1:28" s="319" customFormat="1" x14ac:dyDescent="0.25">
      <c r="A153" s="383"/>
      <c r="C153" s="320"/>
      <c r="D153" s="321"/>
      <c r="F153" s="320"/>
      <c r="G153" s="320"/>
      <c r="H153" s="338"/>
      <c r="I153" s="320"/>
      <c r="J153" s="42"/>
      <c r="K153" s="42"/>
      <c r="L153" s="42"/>
      <c r="M153" s="322"/>
      <c r="N153" s="42"/>
      <c r="O153" s="323"/>
      <c r="P153" s="323"/>
      <c r="Q153" s="323"/>
      <c r="R153" s="42"/>
      <c r="S153" s="351"/>
      <c r="T153" s="323"/>
      <c r="U153" s="323"/>
      <c r="V153" s="322"/>
      <c r="W153" s="404"/>
      <c r="X153" s="321"/>
      <c r="AA153" s="321"/>
      <c r="AB153" s="324"/>
    </row>
    <row r="154" spans="1:28" s="319" customFormat="1" x14ac:dyDescent="0.25">
      <c r="A154" s="383"/>
      <c r="C154" s="320"/>
      <c r="D154" s="321"/>
      <c r="F154" s="320"/>
      <c r="G154" s="320"/>
      <c r="H154" s="338"/>
      <c r="I154" s="320"/>
      <c r="J154" s="42"/>
      <c r="K154" s="42"/>
      <c r="L154" s="42"/>
      <c r="M154" s="322"/>
      <c r="N154" s="42"/>
      <c r="O154" s="323"/>
      <c r="P154" s="323"/>
      <c r="Q154" s="323"/>
      <c r="R154" s="42"/>
      <c r="S154" s="351"/>
      <c r="T154" s="323"/>
      <c r="U154" s="323"/>
      <c r="V154" s="322"/>
      <c r="W154" s="404"/>
      <c r="X154" s="321"/>
      <c r="AA154" s="321"/>
      <c r="AB154" s="324"/>
    </row>
    <row r="155" spans="1:28" s="319" customFormat="1" x14ac:dyDescent="0.25">
      <c r="A155" s="383"/>
      <c r="C155" s="320"/>
      <c r="D155" s="321"/>
      <c r="F155" s="320"/>
      <c r="G155" s="320"/>
      <c r="H155" s="338"/>
      <c r="I155" s="320"/>
      <c r="J155" s="42"/>
      <c r="K155" s="42"/>
      <c r="L155" s="42"/>
      <c r="M155" s="322"/>
      <c r="N155" s="42"/>
      <c r="O155" s="323"/>
      <c r="P155" s="323"/>
      <c r="Q155" s="323"/>
      <c r="R155" s="42"/>
      <c r="S155" s="351"/>
      <c r="T155" s="323"/>
      <c r="U155" s="323"/>
      <c r="V155" s="322"/>
      <c r="W155" s="404"/>
      <c r="X155" s="321"/>
      <c r="AA155" s="321"/>
      <c r="AB155" s="324"/>
    </row>
    <row r="156" spans="1:28" s="319" customFormat="1" x14ac:dyDescent="0.25">
      <c r="A156" s="383"/>
      <c r="C156" s="320"/>
      <c r="D156" s="321"/>
      <c r="F156" s="320"/>
      <c r="G156" s="320"/>
      <c r="H156" s="338"/>
      <c r="I156" s="320"/>
      <c r="J156" s="42"/>
      <c r="K156" s="42"/>
      <c r="L156" s="42"/>
      <c r="M156" s="322"/>
      <c r="N156" s="42"/>
      <c r="O156" s="323"/>
      <c r="P156" s="323"/>
      <c r="Q156" s="323"/>
      <c r="R156" s="42"/>
      <c r="S156" s="351"/>
      <c r="T156" s="323"/>
      <c r="U156" s="323"/>
      <c r="V156" s="322"/>
      <c r="W156" s="404"/>
      <c r="X156" s="321"/>
      <c r="AA156" s="321"/>
      <c r="AB156" s="324"/>
    </row>
    <row r="157" spans="1:28" s="319" customFormat="1" x14ac:dyDescent="0.25">
      <c r="A157" s="383"/>
      <c r="C157" s="320"/>
      <c r="D157" s="321"/>
      <c r="F157" s="320"/>
      <c r="G157" s="320"/>
      <c r="H157" s="338"/>
      <c r="I157" s="320"/>
      <c r="J157" s="42"/>
      <c r="K157" s="42"/>
      <c r="L157" s="42"/>
      <c r="M157" s="322"/>
      <c r="N157" s="42"/>
      <c r="O157" s="323"/>
      <c r="P157" s="323"/>
      <c r="Q157" s="323"/>
      <c r="R157" s="42"/>
      <c r="S157" s="351"/>
      <c r="T157" s="323"/>
      <c r="U157" s="323"/>
      <c r="V157" s="322"/>
      <c r="W157" s="404"/>
      <c r="X157" s="321"/>
      <c r="AA157" s="321"/>
      <c r="AB157" s="324"/>
    </row>
    <row r="158" spans="1:28" s="319" customFormat="1" x14ac:dyDescent="0.25">
      <c r="A158" s="383"/>
      <c r="C158" s="320"/>
      <c r="D158" s="321"/>
      <c r="F158" s="320"/>
      <c r="G158" s="320"/>
      <c r="H158" s="338"/>
      <c r="I158" s="320"/>
      <c r="J158" s="42"/>
      <c r="K158" s="42"/>
      <c r="L158" s="42"/>
      <c r="M158" s="322"/>
      <c r="N158" s="42"/>
      <c r="O158" s="323"/>
      <c r="P158" s="323"/>
      <c r="Q158" s="323"/>
      <c r="R158" s="42"/>
      <c r="S158" s="351"/>
      <c r="T158" s="323"/>
      <c r="U158" s="323"/>
      <c r="V158" s="322"/>
      <c r="W158" s="404"/>
      <c r="X158" s="321"/>
      <c r="AA158" s="321"/>
      <c r="AB158" s="324"/>
    </row>
    <row r="159" spans="1:28" s="319" customFormat="1" x14ac:dyDescent="0.25">
      <c r="A159" s="383"/>
      <c r="C159" s="320"/>
      <c r="D159" s="321"/>
      <c r="F159" s="320"/>
      <c r="G159" s="320"/>
      <c r="H159" s="338"/>
      <c r="I159" s="320"/>
      <c r="J159" s="42"/>
      <c r="K159" s="42"/>
      <c r="L159" s="42"/>
      <c r="M159" s="322"/>
      <c r="N159" s="42"/>
      <c r="O159" s="323"/>
      <c r="P159" s="323"/>
      <c r="Q159" s="323"/>
      <c r="R159" s="42"/>
      <c r="S159" s="351"/>
      <c r="T159" s="323"/>
      <c r="U159" s="323"/>
      <c r="V159" s="322"/>
      <c r="W159" s="404"/>
      <c r="X159" s="321"/>
      <c r="AA159" s="321"/>
      <c r="AB159" s="324"/>
    </row>
    <row r="160" spans="1:28" s="380" customFormat="1" x14ac:dyDescent="0.25">
      <c r="A160" s="383"/>
      <c r="C160" s="384"/>
      <c r="D160" s="385"/>
      <c r="F160" s="384"/>
      <c r="G160" s="384"/>
      <c r="H160" s="386"/>
      <c r="I160" s="384"/>
      <c r="J160" s="387"/>
      <c r="K160" s="387"/>
      <c r="L160" s="387"/>
      <c r="M160" s="388"/>
      <c r="N160" s="387"/>
      <c r="O160" s="389"/>
      <c r="P160" s="389"/>
      <c r="Q160" s="389"/>
      <c r="R160" s="387"/>
      <c r="S160" s="387"/>
      <c r="T160" s="389"/>
      <c r="U160" s="389"/>
      <c r="V160" s="388"/>
      <c r="W160" s="416"/>
      <c r="X160" s="385"/>
      <c r="AA160" s="385"/>
      <c r="AB160" s="390"/>
    </row>
    <row r="161" spans="1:28" s="381" customFormat="1" x14ac:dyDescent="0.25">
      <c r="A161" s="391" t="s">
        <v>46</v>
      </c>
      <c r="C161" s="392"/>
      <c r="D161" s="393"/>
      <c r="F161" s="392"/>
      <c r="G161" s="392"/>
      <c r="H161" s="394"/>
      <c r="I161" s="392"/>
      <c r="J161" s="395"/>
      <c r="K161" s="395"/>
      <c r="L161" s="395"/>
      <c r="M161" s="396"/>
      <c r="N161" s="395"/>
      <c r="O161" s="397"/>
      <c r="P161" s="397"/>
      <c r="Q161" s="397"/>
      <c r="R161" s="395"/>
      <c r="S161" s="395"/>
      <c r="T161" s="397"/>
      <c r="U161" s="397"/>
      <c r="V161" s="396"/>
      <c r="W161" s="417"/>
      <c r="X161" s="393"/>
      <c r="AA161" s="393"/>
      <c r="AB161" s="398"/>
    </row>
    <row r="162" spans="1:28" s="381" customFormat="1" x14ac:dyDescent="0.25">
      <c r="A162" s="391" t="s">
        <v>40</v>
      </c>
      <c r="C162" s="392"/>
      <c r="D162" s="393"/>
      <c r="F162" s="392"/>
      <c r="G162" s="392"/>
      <c r="H162" s="394"/>
      <c r="I162" s="392"/>
      <c r="J162" s="395"/>
      <c r="K162" s="395"/>
      <c r="L162" s="395"/>
      <c r="M162" s="396"/>
      <c r="N162" s="395"/>
      <c r="O162" s="397"/>
      <c r="P162" s="397"/>
      <c r="Q162" s="397"/>
      <c r="R162" s="395"/>
      <c r="S162" s="395"/>
      <c r="T162" s="397"/>
      <c r="U162" s="397"/>
      <c r="V162" s="396"/>
      <c r="W162" s="417"/>
      <c r="X162" s="393"/>
      <c r="AA162" s="393"/>
      <c r="AB162" s="398"/>
    </row>
    <row r="163" spans="1:28" s="381" customFormat="1" x14ac:dyDescent="0.25">
      <c r="A163" s="391" t="s">
        <v>79</v>
      </c>
      <c r="C163" s="392"/>
      <c r="D163" s="393"/>
      <c r="F163" s="392"/>
      <c r="G163" s="392"/>
      <c r="H163" s="394"/>
      <c r="I163" s="392"/>
      <c r="J163" s="395"/>
      <c r="K163" s="395"/>
      <c r="L163" s="395"/>
      <c r="M163" s="396"/>
      <c r="N163" s="395"/>
      <c r="O163" s="397"/>
      <c r="P163" s="397"/>
      <c r="Q163" s="397"/>
      <c r="R163" s="395"/>
      <c r="S163" s="395"/>
      <c r="T163" s="397"/>
      <c r="U163" s="397"/>
      <c r="V163" s="396"/>
      <c r="W163" s="417"/>
      <c r="X163" s="393"/>
      <c r="AA163" s="393"/>
      <c r="AB163" s="398"/>
    </row>
    <row r="164" spans="1:28" s="381" customFormat="1" x14ac:dyDescent="0.25">
      <c r="A164" s="391" t="s">
        <v>80</v>
      </c>
      <c r="C164" s="392"/>
      <c r="D164" s="393"/>
      <c r="F164" s="392"/>
      <c r="G164" s="392"/>
      <c r="H164" s="394"/>
      <c r="I164" s="392"/>
      <c r="J164" s="395"/>
      <c r="K164" s="395"/>
      <c r="L164" s="395"/>
      <c r="M164" s="396"/>
      <c r="N164" s="395"/>
      <c r="O164" s="397"/>
      <c r="P164" s="397"/>
      <c r="Q164" s="397"/>
      <c r="R164" s="395"/>
      <c r="S164" s="395"/>
      <c r="T164" s="397"/>
      <c r="U164" s="397"/>
      <c r="V164" s="396"/>
      <c r="W164" s="417"/>
      <c r="X164" s="393"/>
      <c r="AA164" s="393"/>
      <c r="AB164" s="398"/>
    </row>
    <row r="165" spans="1:28" s="381" customFormat="1" x14ac:dyDescent="0.25">
      <c r="A165" s="391" t="s">
        <v>81</v>
      </c>
      <c r="C165" s="392"/>
      <c r="D165" s="393"/>
      <c r="F165" s="392"/>
      <c r="G165" s="392"/>
      <c r="H165" s="394"/>
      <c r="I165" s="392"/>
      <c r="J165" s="395"/>
      <c r="K165" s="395"/>
      <c r="L165" s="395"/>
      <c r="M165" s="396"/>
      <c r="N165" s="395"/>
      <c r="O165" s="397"/>
      <c r="P165" s="397"/>
      <c r="Q165" s="397"/>
      <c r="R165" s="395"/>
      <c r="S165" s="395"/>
      <c r="T165" s="397"/>
      <c r="U165" s="397"/>
      <c r="V165" s="396"/>
      <c r="W165" s="417"/>
      <c r="X165" s="393"/>
      <c r="AA165" s="393"/>
      <c r="AB165" s="398"/>
    </row>
    <row r="166" spans="1:28" s="381" customFormat="1" x14ac:dyDescent="0.25">
      <c r="A166" s="391" t="s">
        <v>27</v>
      </c>
      <c r="C166" s="392"/>
      <c r="D166" s="393"/>
      <c r="F166" s="392"/>
      <c r="G166" s="392"/>
      <c r="H166" s="394"/>
      <c r="I166" s="392"/>
      <c r="J166" s="395"/>
      <c r="K166" s="395"/>
      <c r="L166" s="395"/>
      <c r="M166" s="396"/>
      <c r="N166" s="395"/>
      <c r="O166" s="397"/>
      <c r="P166" s="397"/>
      <c r="Q166" s="397"/>
      <c r="R166" s="395"/>
      <c r="S166" s="395"/>
      <c r="T166" s="397"/>
      <c r="U166" s="397"/>
      <c r="V166" s="396"/>
      <c r="W166" s="417"/>
      <c r="X166" s="393"/>
      <c r="AA166" s="393"/>
      <c r="AB166" s="398"/>
    </row>
    <row r="167" spans="1:28" s="381" customFormat="1" x14ac:dyDescent="0.25">
      <c r="A167" s="391" t="s">
        <v>82</v>
      </c>
      <c r="C167" s="392"/>
      <c r="D167" s="393"/>
      <c r="F167" s="392"/>
      <c r="G167" s="392"/>
      <c r="H167" s="394"/>
      <c r="I167" s="392"/>
      <c r="J167" s="395"/>
      <c r="K167" s="395"/>
      <c r="L167" s="395"/>
      <c r="M167" s="396"/>
      <c r="N167" s="395"/>
      <c r="O167" s="397"/>
      <c r="P167" s="397"/>
      <c r="Q167" s="397"/>
      <c r="R167" s="395"/>
      <c r="S167" s="395"/>
      <c r="T167" s="397"/>
      <c r="U167" s="397"/>
      <c r="V167" s="396"/>
      <c r="W167" s="417"/>
      <c r="X167" s="393"/>
      <c r="AA167" s="393"/>
      <c r="AB167" s="398"/>
    </row>
    <row r="168" spans="1:28" s="381" customFormat="1" x14ac:dyDescent="0.25">
      <c r="A168" s="391" t="s">
        <v>83</v>
      </c>
      <c r="C168" s="392"/>
      <c r="D168" s="393"/>
      <c r="F168" s="392"/>
      <c r="G168" s="392"/>
      <c r="H168" s="394"/>
      <c r="I168" s="392"/>
      <c r="J168" s="395"/>
      <c r="K168" s="395"/>
      <c r="L168" s="395"/>
      <c r="M168" s="396"/>
      <c r="N168" s="395"/>
      <c r="O168" s="397"/>
      <c r="P168" s="397"/>
      <c r="Q168" s="397"/>
      <c r="R168" s="395"/>
      <c r="S168" s="395"/>
      <c r="T168" s="397"/>
      <c r="U168" s="397"/>
      <c r="V168" s="396"/>
      <c r="W168" s="417"/>
      <c r="X168" s="393"/>
      <c r="AA168" s="393"/>
      <c r="AB168" s="398"/>
    </row>
    <row r="169" spans="1:28" s="381" customFormat="1" x14ac:dyDescent="0.25">
      <c r="A169" s="391" t="s">
        <v>22</v>
      </c>
      <c r="C169" s="392"/>
      <c r="D169" s="393"/>
      <c r="F169" s="392"/>
      <c r="G169" s="392"/>
      <c r="H169" s="394"/>
      <c r="I169" s="392"/>
      <c r="J169" s="395"/>
      <c r="K169" s="395"/>
      <c r="L169" s="395"/>
      <c r="M169" s="396"/>
      <c r="N169" s="395"/>
      <c r="O169" s="397">
        <v>5</v>
      </c>
      <c r="P169" s="397"/>
      <c r="Q169" s="397"/>
      <c r="R169" s="395"/>
      <c r="S169" s="395"/>
      <c r="T169" s="397"/>
      <c r="U169" s="397"/>
      <c r="V169" s="396"/>
      <c r="W169" s="417"/>
      <c r="X169" s="393"/>
      <c r="AA169" s="393"/>
      <c r="AB169" s="398"/>
    </row>
    <row r="170" spans="1:28" s="381" customFormat="1" x14ac:dyDescent="0.25">
      <c r="A170" s="391" t="s">
        <v>28</v>
      </c>
      <c r="C170" s="392"/>
      <c r="D170" s="393"/>
      <c r="F170" s="392"/>
      <c r="G170" s="392"/>
      <c r="H170" s="394"/>
      <c r="I170" s="392"/>
      <c r="J170" s="395"/>
      <c r="K170" s="395"/>
      <c r="L170" s="395"/>
      <c r="M170" s="396"/>
      <c r="N170" s="395"/>
      <c r="O170" s="397"/>
      <c r="P170" s="397"/>
      <c r="Q170" s="397"/>
      <c r="R170" s="395"/>
      <c r="S170" s="395"/>
      <c r="T170" s="397"/>
      <c r="U170" s="397"/>
      <c r="V170" s="396"/>
      <c r="W170" s="417"/>
      <c r="X170" s="393"/>
      <c r="AA170" s="393"/>
      <c r="AB170" s="398"/>
    </row>
    <row r="171" spans="1:28" s="381" customFormat="1" x14ac:dyDescent="0.25">
      <c r="A171" s="399"/>
      <c r="C171" s="392"/>
      <c r="D171" s="393"/>
      <c r="F171" s="392"/>
      <c r="G171" s="392"/>
      <c r="H171" s="394"/>
      <c r="I171" s="392"/>
      <c r="J171" s="395"/>
      <c r="K171" s="395"/>
      <c r="L171" s="395"/>
      <c r="M171" s="396"/>
      <c r="N171" s="395"/>
      <c r="O171" s="397"/>
      <c r="P171" s="397"/>
      <c r="Q171" s="397"/>
      <c r="R171" s="395"/>
      <c r="S171" s="395"/>
      <c r="T171" s="397"/>
      <c r="U171" s="397"/>
      <c r="V171" s="396"/>
      <c r="W171" s="417"/>
      <c r="X171" s="393"/>
      <c r="AA171" s="393"/>
      <c r="AB171" s="398"/>
    </row>
    <row r="172" spans="1:28" s="381" customFormat="1" x14ac:dyDescent="0.25">
      <c r="A172" s="399"/>
      <c r="C172" s="392"/>
      <c r="D172" s="393"/>
      <c r="F172" s="392"/>
      <c r="G172" s="392"/>
      <c r="H172" s="394"/>
      <c r="I172" s="392"/>
      <c r="J172" s="395"/>
      <c r="K172" s="395"/>
      <c r="L172" s="395"/>
      <c r="M172" s="396"/>
      <c r="N172" s="395"/>
      <c r="O172" s="397"/>
      <c r="P172" s="397"/>
      <c r="Q172" s="397"/>
      <c r="R172" s="395"/>
      <c r="S172" s="395"/>
      <c r="T172" s="397"/>
      <c r="U172" s="397"/>
      <c r="V172" s="396"/>
      <c r="W172" s="417"/>
      <c r="X172" s="393"/>
      <c r="AA172" s="393"/>
      <c r="AB172" s="398"/>
    </row>
    <row r="173" spans="1:28" s="381" customFormat="1" x14ac:dyDescent="0.25">
      <c r="A173" s="399"/>
      <c r="C173" s="392"/>
      <c r="D173" s="393"/>
      <c r="F173" s="392"/>
      <c r="G173" s="392"/>
      <c r="H173" s="394"/>
      <c r="I173" s="392"/>
      <c r="J173" s="395"/>
      <c r="K173" s="395"/>
      <c r="L173" s="395"/>
      <c r="M173" s="396"/>
      <c r="N173" s="395"/>
      <c r="O173" s="397"/>
      <c r="P173" s="397"/>
      <c r="Q173" s="397"/>
      <c r="R173" s="395"/>
      <c r="S173" s="395"/>
      <c r="T173" s="397"/>
      <c r="U173" s="397"/>
      <c r="V173" s="396"/>
      <c r="W173" s="417"/>
      <c r="X173" s="393"/>
      <c r="AA173" s="393"/>
      <c r="AB173" s="398"/>
    </row>
    <row r="174" spans="1:28" s="380" customFormat="1" x14ac:dyDescent="0.25">
      <c r="A174" s="400"/>
      <c r="C174" s="384"/>
      <c r="D174" s="385"/>
      <c r="F174" s="384"/>
      <c r="G174" s="384"/>
      <c r="H174" s="386"/>
      <c r="I174" s="384"/>
      <c r="J174" s="387"/>
      <c r="K174" s="387"/>
      <c r="L174" s="387"/>
      <c r="M174" s="388"/>
      <c r="N174" s="387"/>
      <c r="O174" s="389"/>
      <c r="P174" s="389"/>
      <c r="Q174" s="389"/>
      <c r="R174" s="387"/>
      <c r="S174" s="387"/>
      <c r="T174" s="389"/>
      <c r="U174" s="389"/>
      <c r="V174" s="388"/>
      <c r="W174" s="416"/>
      <c r="X174" s="385"/>
      <c r="AA174" s="385"/>
      <c r="AB174" s="390"/>
    </row>
    <row r="175" spans="1:28" s="380" customFormat="1" x14ac:dyDescent="0.25">
      <c r="A175" s="400"/>
      <c r="C175" s="384"/>
      <c r="D175" s="385"/>
      <c r="F175" s="384"/>
      <c r="G175" s="384"/>
      <c r="H175" s="386"/>
      <c r="I175" s="384"/>
      <c r="J175" s="387"/>
      <c r="K175" s="387"/>
      <c r="L175" s="387"/>
      <c r="M175" s="388"/>
      <c r="N175" s="387"/>
      <c r="O175" s="389"/>
      <c r="P175" s="389"/>
      <c r="Q175" s="389"/>
      <c r="R175" s="387"/>
      <c r="S175" s="387"/>
      <c r="T175" s="389"/>
      <c r="U175" s="389"/>
      <c r="V175" s="388"/>
      <c r="W175" s="416"/>
      <c r="X175" s="385"/>
      <c r="AA175" s="385"/>
      <c r="AB175" s="390"/>
    </row>
    <row r="176" spans="1:28" s="380" customFormat="1" x14ac:dyDescent="0.25">
      <c r="A176" s="399"/>
      <c r="B176" s="381"/>
      <c r="C176" s="392"/>
      <c r="D176" s="385"/>
      <c r="F176" s="384"/>
      <c r="G176" s="384"/>
      <c r="H176" s="386"/>
      <c r="I176" s="384"/>
      <c r="J176" s="387"/>
      <c r="K176" s="387"/>
      <c r="L176" s="387"/>
      <c r="M176" s="388"/>
      <c r="N176" s="387"/>
      <c r="O176" s="389"/>
      <c r="P176" s="389"/>
      <c r="Q176" s="389"/>
      <c r="R176" s="387"/>
      <c r="S176" s="387"/>
      <c r="T176" s="389"/>
      <c r="U176" s="389"/>
      <c r="V176" s="388"/>
      <c r="W176" s="416"/>
      <c r="X176" s="385"/>
      <c r="AA176" s="385"/>
      <c r="AB176" s="390"/>
    </row>
    <row r="177" spans="1:28" s="380" customFormat="1" x14ac:dyDescent="0.25">
      <c r="A177" s="399"/>
      <c r="B177" s="381"/>
      <c r="C177" s="392"/>
      <c r="D177" s="385"/>
      <c r="F177" s="384"/>
      <c r="G177" s="384"/>
      <c r="H177" s="386"/>
      <c r="I177" s="384"/>
      <c r="J177" s="387"/>
      <c r="K177" s="387"/>
      <c r="L177" s="387"/>
      <c r="M177" s="388"/>
      <c r="N177" s="387"/>
      <c r="O177" s="389"/>
      <c r="P177" s="389"/>
      <c r="Q177" s="389"/>
      <c r="R177" s="387"/>
      <c r="S177" s="387"/>
      <c r="T177" s="389"/>
      <c r="U177" s="389"/>
      <c r="V177" s="388"/>
      <c r="W177" s="416"/>
      <c r="X177" s="385"/>
      <c r="AA177" s="385"/>
      <c r="AB177" s="390"/>
    </row>
    <row r="178" spans="1:28" s="380" customFormat="1" x14ac:dyDescent="0.25">
      <c r="A178" s="399"/>
      <c r="B178" s="381"/>
      <c r="C178" s="392"/>
      <c r="D178" s="385"/>
      <c r="F178" s="384"/>
      <c r="G178" s="384"/>
      <c r="H178" s="386"/>
      <c r="I178" s="384"/>
      <c r="J178" s="387"/>
      <c r="K178" s="387"/>
      <c r="L178" s="387"/>
      <c r="M178" s="388"/>
      <c r="N178" s="387"/>
      <c r="O178" s="389"/>
      <c r="P178" s="389"/>
      <c r="Q178" s="389"/>
      <c r="R178" s="387"/>
      <c r="S178" s="387"/>
      <c r="T178" s="389"/>
      <c r="U178" s="389"/>
      <c r="V178" s="388"/>
      <c r="W178" s="416"/>
      <c r="X178" s="385"/>
      <c r="AA178" s="385"/>
      <c r="AB178" s="390"/>
    </row>
    <row r="179" spans="1:28" s="380" customFormat="1" ht="30" x14ac:dyDescent="0.25">
      <c r="A179" s="399" t="s">
        <v>40</v>
      </c>
      <c r="B179" s="381"/>
      <c r="C179" s="392"/>
      <c r="D179" s="385"/>
      <c r="F179" s="384"/>
      <c r="G179" s="384"/>
      <c r="H179" s="386"/>
      <c r="I179" s="384"/>
      <c r="J179" s="387"/>
      <c r="K179" s="387"/>
      <c r="L179" s="387"/>
      <c r="M179" s="388"/>
      <c r="N179" s="387"/>
      <c r="O179" s="389"/>
      <c r="P179" s="389"/>
      <c r="Q179" s="389"/>
      <c r="R179" s="387"/>
      <c r="S179" s="387"/>
      <c r="T179" s="389"/>
      <c r="U179" s="389"/>
      <c r="V179" s="388"/>
      <c r="W179" s="416"/>
      <c r="X179" s="385"/>
      <c r="AA179" s="385"/>
      <c r="AB179" s="390"/>
    </row>
    <row r="180" spans="1:28" s="380" customFormat="1" ht="30" x14ac:dyDescent="0.25">
      <c r="A180" s="399" t="s">
        <v>41</v>
      </c>
      <c r="B180" s="381"/>
      <c r="C180" s="392"/>
      <c r="D180" s="385"/>
      <c r="F180" s="384"/>
      <c r="G180" s="384"/>
      <c r="H180" s="386"/>
      <c r="I180" s="384"/>
      <c r="J180" s="387"/>
      <c r="K180" s="387"/>
      <c r="L180" s="387"/>
      <c r="M180" s="388"/>
      <c r="N180" s="387"/>
      <c r="O180" s="389"/>
      <c r="P180" s="389"/>
      <c r="Q180" s="389"/>
      <c r="R180" s="387"/>
      <c r="S180" s="387"/>
      <c r="T180" s="389"/>
      <c r="U180" s="389"/>
      <c r="V180" s="388"/>
      <c r="W180" s="416"/>
      <c r="X180" s="385"/>
      <c r="AA180" s="385"/>
      <c r="AB180" s="390"/>
    </row>
    <row r="181" spans="1:28" s="380" customFormat="1" ht="60" x14ac:dyDescent="0.25">
      <c r="A181" s="401" t="s">
        <v>26</v>
      </c>
      <c r="B181" s="381"/>
      <c r="C181" s="392"/>
      <c r="D181" s="385"/>
      <c r="F181" s="384"/>
      <c r="G181" s="384"/>
      <c r="H181" s="386"/>
      <c r="I181" s="384"/>
      <c r="J181" s="387"/>
      <c r="K181" s="387"/>
      <c r="L181" s="387"/>
      <c r="M181" s="388"/>
      <c r="N181" s="387"/>
      <c r="O181" s="389"/>
      <c r="P181" s="389"/>
      <c r="Q181" s="389"/>
      <c r="R181" s="387"/>
      <c r="S181" s="387"/>
      <c r="T181" s="389"/>
      <c r="U181" s="389"/>
      <c r="V181" s="388"/>
      <c r="W181" s="416"/>
      <c r="X181" s="385"/>
      <c r="AA181" s="385"/>
      <c r="AB181" s="390"/>
    </row>
    <row r="182" spans="1:28" s="380" customFormat="1" x14ac:dyDescent="0.25">
      <c r="A182" s="401" t="s">
        <v>27</v>
      </c>
      <c r="B182" s="381"/>
      <c r="C182" s="392"/>
      <c r="D182" s="385"/>
      <c r="F182" s="384"/>
      <c r="G182" s="384"/>
      <c r="H182" s="386"/>
      <c r="I182" s="384"/>
      <c r="J182" s="387"/>
      <c r="K182" s="387"/>
      <c r="L182" s="387"/>
      <c r="M182" s="388"/>
      <c r="N182" s="387"/>
      <c r="O182" s="389"/>
      <c r="P182" s="389"/>
      <c r="Q182" s="389"/>
      <c r="R182" s="387"/>
      <c r="S182" s="387"/>
      <c r="T182" s="389"/>
      <c r="U182" s="389"/>
      <c r="V182" s="388"/>
      <c r="W182" s="416"/>
      <c r="X182" s="385"/>
      <c r="AA182" s="385"/>
      <c r="AB182" s="390"/>
    </row>
    <row r="183" spans="1:28" s="380" customFormat="1" ht="45" x14ac:dyDescent="0.25">
      <c r="A183" s="401" t="s">
        <v>42</v>
      </c>
      <c r="B183" s="381"/>
      <c r="C183" s="392"/>
      <c r="D183" s="385"/>
      <c r="F183" s="384"/>
      <c r="G183" s="384"/>
      <c r="H183" s="386"/>
      <c r="I183" s="384"/>
      <c r="J183" s="387"/>
      <c r="K183" s="387"/>
      <c r="L183" s="387"/>
      <c r="M183" s="388"/>
      <c r="N183" s="387"/>
      <c r="O183" s="389"/>
      <c r="P183" s="389"/>
      <c r="Q183" s="389"/>
      <c r="R183" s="387"/>
      <c r="S183" s="387"/>
      <c r="T183" s="389"/>
      <c r="U183" s="389"/>
      <c r="V183" s="388"/>
      <c r="W183" s="416"/>
      <c r="X183" s="385"/>
      <c r="AA183" s="385"/>
      <c r="AB183" s="390"/>
    </row>
    <row r="184" spans="1:28" s="380" customFormat="1" x14ac:dyDescent="0.25">
      <c r="A184" s="401" t="s">
        <v>22</v>
      </c>
      <c r="B184" s="381"/>
      <c r="C184" s="392"/>
      <c r="D184" s="385"/>
      <c r="F184" s="384"/>
      <c r="G184" s="384"/>
      <c r="H184" s="386"/>
      <c r="I184" s="384"/>
      <c r="J184" s="387"/>
      <c r="K184" s="387"/>
      <c r="L184" s="387"/>
      <c r="M184" s="388"/>
      <c r="N184" s="387"/>
      <c r="O184" s="389"/>
      <c r="P184" s="389"/>
      <c r="Q184" s="389"/>
      <c r="R184" s="387"/>
      <c r="S184" s="387"/>
      <c r="T184" s="389"/>
      <c r="U184" s="389"/>
      <c r="V184" s="388"/>
      <c r="W184" s="416"/>
      <c r="X184" s="385"/>
      <c r="AA184" s="385"/>
      <c r="AB184" s="390"/>
    </row>
    <row r="185" spans="1:28" s="380" customFormat="1" x14ac:dyDescent="0.25">
      <c r="A185" s="402" t="s">
        <v>28</v>
      </c>
      <c r="B185" s="381"/>
      <c r="C185" s="392"/>
      <c r="D185" s="385"/>
      <c r="F185" s="384"/>
      <c r="G185" s="384"/>
      <c r="H185" s="386"/>
      <c r="I185" s="384"/>
      <c r="J185" s="387"/>
      <c r="K185" s="387"/>
      <c r="L185" s="387"/>
      <c r="M185" s="388"/>
      <c r="N185" s="387"/>
      <c r="O185" s="389"/>
      <c r="P185" s="389"/>
      <c r="Q185" s="389"/>
      <c r="R185" s="387"/>
      <c r="S185" s="387"/>
      <c r="T185" s="389"/>
      <c r="U185" s="389"/>
      <c r="V185" s="388"/>
      <c r="W185" s="416"/>
      <c r="X185" s="385"/>
      <c r="AA185" s="385"/>
      <c r="AB185" s="390"/>
    </row>
    <row r="186" spans="1:28" s="380" customFormat="1" x14ac:dyDescent="0.25">
      <c r="A186" s="401" t="s">
        <v>43</v>
      </c>
      <c r="B186" s="381"/>
      <c r="C186" s="392"/>
      <c r="D186" s="385"/>
      <c r="F186" s="384"/>
      <c r="G186" s="384"/>
      <c r="H186" s="386"/>
      <c r="I186" s="384"/>
      <c r="J186" s="387"/>
      <c r="K186" s="387"/>
      <c r="L186" s="387"/>
      <c r="M186" s="388"/>
      <c r="N186" s="387"/>
      <c r="O186" s="389"/>
      <c r="P186" s="389"/>
      <c r="Q186" s="389"/>
      <c r="R186" s="387"/>
      <c r="S186" s="387"/>
      <c r="T186" s="389"/>
      <c r="U186" s="389"/>
      <c r="V186" s="388"/>
      <c r="W186" s="416"/>
      <c r="X186" s="385"/>
      <c r="AA186" s="385"/>
      <c r="AB186" s="390"/>
    </row>
    <row r="187" spans="1:28" s="380" customFormat="1" ht="30" x14ac:dyDescent="0.25">
      <c r="A187" s="401" t="s">
        <v>44</v>
      </c>
      <c r="B187" s="381"/>
      <c r="C187" s="392"/>
      <c r="D187" s="385"/>
      <c r="F187" s="384"/>
      <c r="G187" s="384"/>
      <c r="H187" s="386"/>
      <c r="I187" s="384"/>
      <c r="J187" s="387"/>
      <c r="K187" s="387"/>
      <c r="L187" s="387"/>
      <c r="M187" s="388"/>
      <c r="N187" s="387"/>
      <c r="O187" s="389"/>
      <c r="P187" s="389"/>
      <c r="Q187" s="389"/>
      <c r="R187" s="387"/>
      <c r="S187" s="387"/>
      <c r="T187" s="389"/>
      <c r="U187" s="389"/>
      <c r="V187" s="388"/>
      <c r="W187" s="416"/>
      <c r="X187" s="385"/>
      <c r="AA187" s="385"/>
      <c r="AB187" s="390"/>
    </row>
    <row r="188" spans="1:28" s="380" customFormat="1" x14ac:dyDescent="0.25">
      <c r="B188" s="381"/>
      <c r="C188" s="392"/>
      <c r="D188" s="385"/>
      <c r="F188" s="384"/>
      <c r="G188" s="384"/>
      <c r="H188" s="386"/>
      <c r="I188" s="384"/>
      <c r="J188" s="387"/>
      <c r="K188" s="387"/>
      <c r="L188" s="387"/>
      <c r="M188" s="388"/>
      <c r="N188" s="387"/>
      <c r="O188" s="389"/>
      <c r="P188" s="389"/>
      <c r="Q188" s="389"/>
      <c r="R188" s="387"/>
      <c r="S188" s="387"/>
      <c r="T188" s="389"/>
      <c r="U188" s="389"/>
      <c r="V188" s="388"/>
      <c r="W188" s="416"/>
      <c r="X188" s="385"/>
      <c r="AA188" s="385"/>
      <c r="AB188" s="390"/>
    </row>
    <row r="189" spans="1:28" s="380" customFormat="1" x14ac:dyDescent="0.25">
      <c r="A189" s="403" t="s">
        <v>28</v>
      </c>
      <c r="C189" s="384"/>
      <c r="D189" s="385"/>
      <c r="F189" s="384"/>
      <c r="G189" s="384"/>
      <c r="H189" s="386"/>
      <c r="I189" s="384"/>
      <c r="J189" s="387"/>
      <c r="K189" s="387"/>
      <c r="L189" s="387"/>
      <c r="M189" s="388"/>
      <c r="N189" s="387"/>
      <c r="O189" s="389"/>
      <c r="P189" s="389"/>
      <c r="Q189" s="389"/>
      <c r="R189" s="387"/>
      <c r="S189" s="387"/>
      <c r="T189" s="389"/>
      <c r="U189" s="389"/>
      <c r="V189" s="388"/>
      <c r="W189" s="416"/>
      <c r="X189" s="385"/>
      <c r="AA189" s="385"/>
      <c r="AB189" s="390"/>
    </row>
    <row r="190" spans="1:28" s="319" customFormat="1" x14ac:dyDescent="0.25">
      <c r="A190" s="402"/>
      <c r="C190" s="320"/>
      <c r="D190" s="321"/>
      <c r="F190" s="320"/>
      <c r="G190" s="320"/>
      <c r="H190" s="338"/>
      <c r="I190" s="320"/>
      <c r="J190" s="42"/>
      <c r="K190" s="42"/>
      <c r="L190" s="42"/>
      <c r="M190" s="322"/>
      <c r="N190" s="42"/>
      <c r="O190" s="323"/>
      <c r="P190" s="323"/>
      <c r="Q190" s="323"/>
      <c r="R190" s="42"/>
      <c r="S190" s="351"/>
      <c r="T190" s="323"/>
      <c r="U190" s="323"/>
      <c r="V190" s="322"/>
      <c r="W190" s="404"/>
      <c r="X190" s="321"/>
      <c r="AA190" s="321"/>
      <c r="AB190" s="324"/>
    </row>
    <row r="191" spans="1:28" s="319" customFormat="1" x14ac:dyDescent="0.25">
      <c r="A191" s="402"/>
      <c r="C191" s="320"/>
      <c r="D191" s="321"/>
      <c r="F191" s="320"/>
      <c r="G191" s="320"/>
      <c r="H191" s="338"/>
      <c r="I191" s="320"/>
      <c r="J191" s="42"/>
      <c r="K191" s="42"/>
      <c r="L191" s="42"/>
      <c r="M191" s="322"/>
      <c r="N191" s="42"/>
      <c r="O191" s="323"/>
      <c r="P191" s="323"/>
      <c r="Q191" s="323"/>
      <c r="R191" s="42"/>
      <c r="S191" s="351"/>
      <c r="T191" s="323"/>
      <c r="U191" s="323"/>
      <c r="V191" s="322"/>
      <c r="W191" s="404"/>
      <c r="X191" s="321"/>
      <c r="AA191" s="321"/>
      <c r="AB191" s="324"/>
    </row>
    <row r="192" spans="1:28" s="319" customFormat="1" x14ac:dyDescent="0.25">
      <c r="A192" s="402"/>
      <c r="C192" s="320"/>
      <c r="D192" s="321"/>
      <c r="F192" s="320"/>
      <c r="G192" s="320"/>
      <c r="H192" s="338"/>
      <c r="I192" s="320"/>
      <c r="J192" s="42"/>
      <c r="K192" s="42"/>
      <c r="L192" s="42"/>
      <c r="M192" s="322"/>
      <c r="N192" s="42"/>
      <c r="O192" s="323"/>
      <c r="P192" s="323"/>
      <c r="Q192" s="323"/>
      <c r="R192" s="42"/>
      <c r="S192" s="351"/>
      <c r="T192" s="323"/>
      <c r="U192" s="323"/>
      <c r="V192" s="322"/>
      <c r="W192" s="404"/>
      <c r="X192" s="321"/>
      <c r="AA192" s="321"/>
      <c r="AB192" s="324"/>
    </row>
  </sheetData>
  <sheetProtection selectLockedCells="1" autoFilter="0"/>
  <autoFilter ref="A3:AB128"/>
  <sortState ref="A3:AL128">
    <sortCondition ref="AB3:AB128"/>
  </sortState>
  <mergeCells count="1">
    <mergeCell ref="A2:D2"/>
  </mergeCells>
  <conditionalFormatting sqref="H4 M4 R4 V64:V128">
    <cfRule type="containsText" dxfId="3712" priority="1626" operator="containsText" text="Not Yet Due">
      <formula>NOT(ISERROR(SEARCH("Not Yet Due",H4)))</formula>
    </cfRule>
    <cfRule type="containsText" dxfId="3711" priority="1715" operator="containsText" text="Deferred">
      <formula>NOT(ISERROR(SEARCH("Deferred",H4)))</formula>
    </cfRule>
    <cfRule type="containsText" dxfId="3710" priority="1716" operator="containsText" text="Deleted">
      <formula>NOT(ISERROR(SEARCH("Deleted",H4)))</formula>
    </cfRule>
    <cfRule type="containsText" dxfId="3709" priority="1722" operator="containsText" text="In Danger of Falling Behind Target">
      <formula>NOT(ISERROR(SEARCH("In Danger of Falling Behind Target",H4)))</formula>
    </cfRule>
    <cfRule type="containsText" dxfId="3708" priority="1758" operator="containsText" text="Not yet due">
      <formula>NOT(ISERROR(SEARCH("Not yet due",H4)))</formula>
    </cfRule>
  </conditionalFormatting>
  <conditionalFormatting sqref="H4 M4 R4 V64:V128">
    <cfRule type="containsText" dxfId="3707" priority="1737" operator="containsText" text="Not yet due">
      <formula>NOT(ISERROR(SEARCH("Not yet due",H4)))</formula>
    </cfRule>
  </conditionalFormatting>
  <conditionalFormatting sqref="H4 M4 R4 V64:V128">
    <cfRule type="containsText" dxfId="3706" priority="1718" operator="containsText" text="Update not Provided">
      <formula>NOT(ISERROR(SEARCH("Update not Provided",H4)))</formula>
    </cfRule>
    <cfRule type="containsText" dxfId="3705" priority="1719" operator="containsText" text="Not yet due">
      <formula>NOT(ISERROR(SEARCH("Not yet due",H4)))</formula>
    </cfRule>
    <cfRule type="containsText" dxfId="3704" priority="1720" operator="containsText" text="Completed Behind Schedule">
      <formula>NOT(ISERROR(SEARCH("Completed Behind Schedule",H4)))</formula>
    </cfRule>
    <cfRule type="containsText" dxfId="3703" priority="1721" operator="containsText" text="Off Target">
      <formula>NOT(ISERROR(SEARCH("Off Target",H4)))</formula>
    </cfRule>
    <cfRule type="containsText" dxfId="3702" priority="1723" operator="containsText" text="On Track to be Achieved">
      <formula>NOT(ISERROR(SEARCH("On Track to be Achieved",H4)))</formula>
    </cfRule>
    <cfRule type="containsText" dxfId="3701" priority="1724" operator="containsText" text="Fully Achieved">
      <formula>NOT(ISERROR(SEARCH("Fully Achieved",H4)))</formula>
    </cfRule>
  </conditionalFormatting>
  <conditionalFormatting sqref="R4 M4">
    <cfRule type="containsText" dxfId="3700" priority="1714" operator="containsText" text="Deferred">
      <formula>NOT(ISERROR(SEARCH("Deferred",M4)))</formula>
    </cfRule>
  </conditionalFormatting>
  <conditionalFormatting sqref="H4 M4 R4 V64:V128">
    <cfRule type="containsText" dxfId="3699" priority="1634" operator="containsText" text="Deferred">
      <formula>NOT(ISERROR(SEARCH("Deferred",H4)))</formula>
    </cfRule>
    <cfRule type="containsText" dxfId="3698" priority="1635" operator="containsText" text="Deleted">
      <formula>NOT(ISERROR(SEARCH("Deleted",H4)))</formula>
    </cfRule>
    <cfRule type="containsText" dxfId="3697" priority="1636" operator="containsText" text="In Danger of Falling Behind Target">
      <formula>NOT(ISERROR(SEARCH("In Danger of Falling Behind Target",H4)))</formula>
    </cfRule>
    <cfRule type="containsText" dxfId="3696" priority="1637" operator="containsText" text="Not yet due">
      <formula>NOT(ISERROR(SEARCH("Not yet due",H4)))</formula>
    </cfRule>
  </conditionalFormatting>
  <conditionalFormatting sqref="V64:V128 H5:H63">
    <cfRule type="containsText" dxfId="3695" priority="983" operator="containsText" text="Fully Achieved">
      <formula>NOT(ISERROR(SEARCH("Fully Achieved",H5)))</formula>
    </cfRule>
    <cfRule type="containsText" dxfId="3694" priority="984" operator="containsText" text="Fully Achieved">
      <formula>NOT(ISERROR(SEARCH("Fully Achieved",H5)))</formula>
    </cfRule>
  </conditionalFormatting>
  <conditionalFormatting sqref="V64:V128 H5:H63">
    <cfRule type="containsText" dxfId="3693" priority="976" operator="containsText" text="Update not Provided">
      <formula>NOT(ISERROR(SEARCH("Update not Provided",H5)))</formula>
    </cfRule>
    <cfRule type="containsText" dxfId="3692" priority="977" operator="containsText" text="Not yet due">
      <formula>NOT(ISERROR(SEARCH("Not yet due",H5)))</formula>
    </cfRule>
    <cfRule type="containsText" dxfId="3691" priority="978" operator="containsText" text="Completed Behind Schedule">
      <formula>NOT(ISERROR(SEARCH("Completed Behind Schedule",H5)))</formula>
    </cfRule>
    <cfRule type="containsText" dxfId="3690" priority="979" operator="containsText" text="Off Target">
      <formula>NOT(ISERROR(SEARCH("Off Target",H5)))</formula>
    </cfRule>
    <cfRule type="containsText" dxfId="3689" priority="980" operator="containsText" text="In Danger of Falling Behind Target">
      <formula>NOT(ISERROR(SEARCH("In Danger of Falling Behind Target",H5)))</formula>
    </cfRule>
    <cfRule type="containsText" dxfId="3688" priority="981" operator="containsText" text="On Track to be Achieved">
      <formula>NOT(ISERROR(SEARCH("On Track to be Achieved",H5)))</formula>
    </cfRule>
    <cfRule type="containsText" dxfId="3687" priority="982" operator="containsText" text="Fully Achieved">
      <formula>NOT(ISERROR(SEARCH("Fully Achieved",H5)))</formula>
    </cfRule>
  </conditionalFormatting>
  <conditionalFormatting sqref="H5:H63">
    <cfRule type="containsText" dxfId="3686" priority="954" operator="containsText" text="Not Yet Due">
      <formula>NOT(ISERROR(SEARCH("Not Yet Due",H5)))</formula>
    </cfRule>
    <cfRule type="containsText" dxfId="3685" priority="960" operator="containsText" text="Deferred">
      <formula>NOT(ISERROR(SEARCH("Deferred",H5)))</formula>
    </cfRule>
    <cfRule type="containsText" dxfId="3684" priority="961" operator="containsText" text="Deleted">
      <formula>NOT(ISERROR(SEARCH("Deleted",H5)))</formula>
    </cfRule>
    <cfRule type="containsText" dxfId="3683" priority="966" operator="containsText" text="In Danger of Falling Behind Target">
      <formula>NOT(ISERROR(SEARCH("In Danger of Falling Behind Target",H5)))</formula>
    </cfRule>
    <cfRule type="containsText" dxfId="3682" priority="970" operator="containsText" text="Not yet due">
      <formula>NOT(ISERROR(SEARCH("Not yet due",H5)))</formula>
    </cfRule>
  </conditionalFormatting>
  <conditionalFormatting sqref="H5:H63">
    <cfRule type="containsText" dxfId="3681" priority="969" operator="containsText" text="Not yet due">
      <formula>NOT(ISERROR(SEARCH("Not yet due",H5)))</formula>
    </cfRule>
  </conditionalFormatting>
  <conditionalFormatting sqref="H5:H63">
    <cfRule type="containsText" dxfId="3680" priority="962" operator="containsText" text="Update not Provided">
      <formula>NOT(ISERROR(SEARCH("Update not Provided",H5)))</formula>
    </cfRule>
    <cfRule type="containsText" dxfId="3679" priority="963" operator="containsText" text="Not yet due">
      <formula>NOT(ISERROR(SEARCH("Not yet due",H5)))</formula>
    </cfRule>
    <cfRule type="containsText" dxfId="3678" priority="964" operator="containsText" text="Completed Behind Schedule">
      <formula>NOT(ISERROR(SEARCH("Completed Behind Schedule",H5)))</formula>
    </cfRule>
    <cfRule type="containsText" dxfId="3677" priority="965" operator="containsText" text="Off Target">
      <formula>NOT(ISERROR(SEARCH("Off Target",H5)))</formula>
    </cfRule>
    <cfRule type="containsText" dxfId="3676" priority="967" operator="containsText" text="On Track to be Achieved">
      <formula>NOT(ISERROR(SEARCH("On Track to be Achieved",H5)))</formula>
    </cfRule>
    <cfRule type="containsText" dxfId="3675" priority="968" operator="containsText" text="Fully Achieved">
      <formula>NOT(ISERROR(SEARCH("Fully Achieved",H5)))</formula>
    </cfRule>
  </conditionalFormatting>
  <conditionalFormatting sqref="H5:H63">
    <cfRule type="containsText" dxfId="3674" priority="955" operator="containsText" text="Deferred">
      <formula>NOT(ISERROR(SEARCH("Deferred",H5)))</formula>
    </cfRule>
    <cfRule type="containsText" dxfId="3673" priority="956" operator="containsText" text="Deleted">
      <formula>NOT(ISERROR(SEARCH("Deleted",H5)))</formula>
    </cfRule>
    <cfRule type="containsText" dxfId="3672" priority="957" operator="containsText" text="In Danger of Falling Behind Target">
      <formula>NOT(ISERROR(SEARCH("In Danger of Falling Behind Target",H5)))</formula>
    </cfRule>
    <cfRule type="containsText" dxfId="3671" priority="958" operator="containsText" text="Not yet due">
      <formula>NOT(ISERROR(SEARCH("Not yet due",H5)))</formula>
    </cfRule>
  </conditionalFormatting>
  <conditionalFormatting sqref="H64:H78">
    <cfRule type="containsText" dxfId="3670" priority="947" operator="containsText" text="Fully Achieved">
      <formula>NOT(ISERROR(SEARCH("Fully Achieved",H64)))</formula>
    </cfRule>
    <cfRule type="containsText" dxfId="3669" priority="948" operator="containsText" text="Fully Achieved">
      <formula>NOT(ISERROR(SEARCH("Fully Achieved",H64)))</formula>
    </cfRule>
  </conditionalFormatting>
  <conditionalFormatting sqref="H64:H78">
    <cfRule type="containsText" dxfId="3668" priority="940" operator="containsText" text="Update not Provided">
      <formula>NOT(ISERROR(SEARCH("Update not Provided",H64)))</formula>
    </cfRule>
    <cfRule type="containsText" dxfId="3667" priority="941" operator="containsText" text="Not yet due">
      <formula>NOT(ISERROR(SEARCH("Not yet due",H64)))</formula>
    </cfRule>
    <cfRule type="containsText" dxfId="3666" priority="942" operator="containsText" text="Completed Behind Schedule">
      <formula>NOT(ISERROR(SEARCH("Completed Behind Schedule",H64)))</formula>
    </cfRule>
    <cfRule type="containsText" dxfId="3665" priority="943" operator="containsText" text="Off Target">
      <formula>NOT(ISERROR(SEARCH("Off Target",H64)))</formula>
    </cfRule>
    <cfRule type="containsText" dxfId="3664" priority="944" operator="containsText" text="In Danger of Falling Behind Target">
      <formula>NOT(ISERROR(SEARCH("In Danger of Falling Behind Target",H64)))</formula>
    </cfRule>
    <cfRule type="containsText" dxfId="3663" priority="945" operator="containsText" text="On Track to be Achieved">
      <formula>NOT(ISERROR(SEARCH("On Track to be Achieved",H64)))</formula>
    </cfRule>
    <cfRule type="containsText" dxfId="3662" priority="946" operator="containsText" text="Fully Achieved">
      <formula>NOT(ISERROR(SEARCH("Fully Achieved",H64)))</formula>
    </cfRule>
  </conditionalFormatting>
  <conditionalFormatting sqref="V64:V128 H64:H78">
    <cfRule type="containsText" dxfId="3661" priority="928" operator="containsText" text="Update not Provided">
      <formula>NOT(ISERROR(SEARCH("Update not Provided",H64)))</formula>
    </cfRule>
    <cfRule type="containsText" dxfId="3660" priority="930" operator="containsText" text="Completed Behind Schedule">
      <formula>NOT(ISERROR(SEARCH("Completed Behind Schedule",H64)))</formula>
    </cfRule>
    <cfRule type="containsText" dxfId="3659" priority="931" operator="containsText" text="Off Target">
      <formula>NOT(ISERROR(SEARCH("Off Target",H64)))</formula>
    </cfRule>
    <cfRule type="containsText" dxfId="3658" priority="932" operator="containsText" text="In Danger of Falling Behind Target">
      <formula>NOT(ISERROR(SEARCH("In Danger of Falling Behind Target",H64)))</formula>
    </cfRule>
    <cfRule type="containsText" dxfId="3657" priority="933" operator="containsText" text="On Track to be Achieved">
      <formula>NOT(ISERROR(SEARCH("On Track to be Achieved",H64)))</formula>
    </cfRule>
    <cfRule type="containsText" dxfId="3656" priority="934" operator="containsText" text="Fully Achieved">
      <formula>NOT(ISERROR(SEARCH("Fully Achieved",H64)))</formula>
    </cfRule>
  </conditionalFormatting>
  <conditionalFormatting sqref="H64:H78">
    <cfRule type="containsText" dxfId="3655" priority="912" operator="containsText" text="Not Yet Due">
      <formula>NOT(ISERROR(SEARCH("Not Yet Due",H64)))</formula>
    </cfRule>
    <cfRule type="containsText" dxfId="3654" priority="918" operator="containsText" text="Deferred">
      <formula>NOT(ISERROR(SEARCH("Deferred",H64)))</formula>
    </cfRule>
    <cfRule type="containsText" dxfId="3653" priority="919" operator="containsText" text="Deleted">
      <formula>NOT(ISERROR(SEARCH("Deleted",H64)))</formula>
    </cfRule>
    <cfRule type="containsText" dxfId="3652" priority="924" operator="containsText" text="In Danger of Falling Behind Target">
      <formula>NOT(ISERROR(SEARCH("In Danger of Falling Behind Target",H64)))</formula>
    </cfRule>
    <cfRule type="containsText" dxfId="3651" priority="929" operator="containsText" text="Not yet due">
      <formula>NOT(ISERROR(SEARCH("Not yet due",H64)))</formula>
    </cfRule>
  </conditionalFormatting>
  <conditionalFormatting sqref="H64:H78">
    <cfRule type="containsText" dxfId="3650" priority="927" operator="containsText" text="Not yet due">
      <formula>NOT(ISERROR(SEARCH("Not yet due",H64)))</formula>
    </cfRule>
  </conditionalFormatting>
  <conditionalFormatting sqref="H64:H78">
    <cfRule type="containsText" dxfId="3649" priority="920" operator="containsText" text="Update not Provided">
      <formula>NOT(ISERROR(SEARCH("Update not Provided",H64)))</formula>
    </cfRule>
    <cfRule type="containsText" dxfId="3648" priority="921" operator="containsText" text="Not yet due">
      <formula>NOT(ISERROR(SEARCH("Not yet due",H64)))</formula>
    </cfRule>
    <cfRule type="containsText" dxfId="3647" priority="922" operator="containsText" text="Completed Behind Schedule">
      <formula>NOT(ISERROR(SEARCH("Completed Behind Schedule",H64)))</formula>
    </cfRule>
    <cfRule type="containsText" dxfId="3646" priority="923" operator="containsText" text="Off Target">
      <formula>NOT(ISERROR(SEARCH("Off Target",H64)))</formula>
    </cfRule>
    <cfRule type="containsText" dxfId="3645" priority="925" operator="containsText" text="On Track to be Achieved">
      <formula>NOT(ISERROR(SEARCH("On Track to be Achieved",H64)))</formula>
    </cfRule>
    <cfRule type="containsText" dxfId="3644" priority="926" operator="containsText" text="Fully Achieved">
      <formula>NOT(ISERROR(SEARCH("Fully Achieved",H64)))</formula>
    </cfRule>
  </conditionalFormatting>
  <conditionalFormatting sqref="H64:H78">
    <cfRule type="containsText" dxfId="3643" priority="913" operator="containsText" text="Deferred">
      <formula>NOT(ISERROR(SEARCH("Deferred",H64)))</formula>
    </cfRule>
    <cfRule type="containsText" dxfId="3642" priority="914" operator="containsText" text="Deleted">
      <formula>NOT(ISERROR(SEARCH("Deleted",H64)))</formula>
    </cfRule>
    <cfRule type="containsText" dxfId="3641" priority="915" operator="containsText" text="In Danger of Falling Behind Target">
      <formula>NOT(ISERROR(SEARCH("In Danger of Falling Behind Target",H64)))</formula>
    </cfRule>
    <cfRule type="containsText" dxfId="3640" priority="916" operator="containsText" text="Not yet due">
      <formula>NOT(ISERROR(SEARCH("Not yet due",H64)))</formula>
    </cfRule>
  </conditionalFormatting>
  <conditionalFormatting sqref="H79:H128">
    <cfRule type="containsText" dxfId="3639" priority="905" operator="containsText" text="Fully Achieved">
      <formula>NOT(ISERROR(SEARCH("Fully Achieved",H79)))</formula>
    </cfRule>
    <cfRule type="containsText" dxfId="3638" priority="906" operator="containsText" text="Fully Achieved">
      <formula>NOT(ISERROR(SEARCH("Fully Achieved",H79)))</formula>
    </cfRule>
  </conditionalFormatting>
  <conditionalFormatting sqref="H79:H128">
    <cfRule type="containsText" dxfId="3637" priority="898" operator="containsText" text="Update not Provided">
      <formula>NOT(ISERROR(SEARCH("Update not Provided",H79)))</formula>
    </cfRule>
    <cfRule type="containsText" dxfId="3636" priority="899" operator="containsText" text="Not yet due">
      <formula>NOT(ISERROR(SEARCH("Not yet due",H79)))</formula>
    </cfRule>
    <cfRule type="containsText" dxfId="3635" priority="900" operator="containsText" text="Completed Behind Schedule">
      <formula>NOT(ISERROR(SEARCH("Completed Behind Schedule",H79)))</formula>
    </cfRule>
    <cfRule type="containsText" dxfId="3634" priority="901" operator="containsText" text="Off Target">
      <formula>NOT(ISERROR(SEARCH("Off Target",H79)))</formula>
    </cfRule>
    <cfRule type="containsText" dxfId="3633" priority="902" operator="containsText" text="In Danger of Falling Behind Target">
      <formula>NOT(ISERROR(SEARCH("In Danger of Falling Behind Target",H79)))</formula>
    </cfRule>
    <cfRule type="containsText" dxfId="3632" priority="903" operator="containsText" text="On Track to be Achieved">
      <formula>NOT(ISERROR(SEARCH("On Track to be Achieved",H79)))</formula>
    </cfRule>
    <cfRule type="containsText" dxfId="3631" priority="904" operator="containsText" text="Fully Achieved">
      <formula>NOT(ISERROR(SEARCH("Fully Achieved",H79)))</formula>
    </cfRule>
  </conditionalFormatting>
  <conditionalFormatting sqref="H79:H128">
    <cfRule type="containsText" dxfId="3630" priority="886" operator="containsText" text="Update not Provided">
      <formula>NOT(ISERROR(SEARCH("Update not Provided",H79)))</formula>
    </cfRule>
    <cfRule type="containsText" dxfId="3629" priority="888" operator="containsText" text="Completed Behind Schedule">
      <formula>NOT(ISERROR(SEARCH("Completed Behind Schedule",H79)))</formula>
    </cfRule>
    <cfRule type="containsText" dxfId="3628" priority="889" operator="containsText" text="Off Target">
      <formula>NOT(ISERROR(SEARCH("Off Target",H79)))</formula>
    </cfRule>
    <cfRule type="containsText" dxfId="3627" priority="890" operator="containsText" text="In Danger of Falling Behind Target">
      <formula>NOT(ISERROR(SEARCH("In Danger of Falling Behind Target",H79)))</formula>
    </cfRule>
    <cfRule type="containsText" dxfId="3626" priority="891" operator="containsText" text="On Track to be Achieved">
      <formula>NOT(ISERROR(SEARCH("On Track to be Achieved",H79)))</formula>
    </cfRule>
    <cfRule type="containsText" dxfId="3625" priority="892" operator="containsText" text="Fully Achieved">
      <formula>NOT(ISERROR(SEARCH("Fully Achieved",H79)))</formula>
    </cfRule>
  </conditionalFormatting>
  <conditionalFormatting sqref="H79:H128">
    <cfRule type="containsText" dxfId="3624" priority="870" operator="containsText" text="Not Yet Due">
      <formula>NOT(ISERROR(SEARCH("Not Yet Due",H79)))</formula>
    </cfRule>
    <cfRule type="containsText" dxfId="3623" priority="876" operator="containsText" text="Deferred">
      <formula>NOT(ISERROR(SEARCH("Deferred",H79)))</formula>
    </cfRule>
    <cfRule type="containsText" dxfId="3622" priority="877" operator="containsText" text="Deleted">
      <formula>NOT(ISERROR(SEARCH("Deleted",H79)))</formula>
    </cfRule>
    <cfRule type="containsText" dxfId="3621" priority="882" operator="containsText" text="In Danger of Falling Behind Target">
      <formula>NOT(ISERROR(SEARCH("In Danger of Falling Behind Target",H79)))</formula>
    </cfRule>
    <cfRule type="containsText" dxfId="3620" priority="887" operator="containsText" text="Not yet due">
      <formula>NOT(ISERROR(SEARCH("Not yet due",H79)))</formula>
    </cfRule>
  </conditionalFormatting>
  <conditionalFormatting sqref="H79:H128">
    <cfRule type="containsText" dxfId="3619" priority="885" operator="containsText" text="Not yet due">
      <formula>NOT(ISERROR(SEARCH("Not yet due",H79)))</formula>
    </cfRule>
  </conditionalFormatting>
  <conditionalFormatting sqref="H79:H128">
    <cfRule type="containsText" dxfId="3618" priority="878" operator="containsText" text="Update not Provided">
      <formula>NOT(ISERROR(SEARCH("Update not Provided",H79)))</formula>
    </cfRule>
    <cfRule type="containsText" dxfId="3617" priority="879" operator="containsText" text="Not yet due">
      <formula>NOT(ISERROR(SEARCH("Not yet due",H79)))</formula>
    </cfRule>
    <cfRule type="containsText" dxfId="3616" priority="880" operator="containsText" text="Completed Behind Schedule">
      <formula>NOT(ISERROR(SEARCH("Completed Behind Schedule",H79)))</formula>
    </cfRule>
    <cfRule type="containsText" dxfId="3615" priority="881" operator="containsText" text="Off Target">
      <formula>NOT(ISERROR(SEARCH("Off Target",H79)))</formula>
    </cfRule>
    <cfRule type="containsText" dxfId="3614" priority="883" operator="containsText" text="On Track to be Achieved">
      <formula>NOT(ISERROR(SEARCH("On Track to be Achieved",H79)))</formula>
    </cfRule>
    <cfRule type="containsText" dxfId="3613" priority="884" operator="containsText" text="Fully Achieved">
      <formula>NOT(ISERROR(SEARCH("Fully Achieved",H79)))</formula>
    </cfRule>
  </conditionalFormatting>
  <conditionalFormatting sqref="H79:H128">
    <cfRule type="containsText" dxfId="3612" priority="871" operator="containsText" text="Deferred">
      <formula>NOT(ISERROR(SEARCH("Deferred",H79)))</formula>
    </cfRule>
    <cfRule type="containsText" dxfId="3611" priority="872" operator="containsText" text="Deleted">
      <formula>NOT(ISERROR(SEARCH("Deleted",H79)))</formula>
    </cfRule>
    <cfRule type="containsText" dxfId="3610" priority="873" operator="containsText" text="In Danger of Falling Behind Target">
      <formula>NOT(ISERROR(SEARCH("In Danger of Falling Behind Target",H79)))</formula>
    </cfRule>
    <cfRule type="containsText" dxfId="3609" priority="874" operator="containsText" text="Not yet due">
      <formula>NOT(ISERROR(SEARCH("Not yet due",H79)))</formula>
    </cfRule>
  </conditionalFormatting>
  <conditionalFormatting sqref="V79:V128">
    <cfRule type="containsText" dxfId="3608" priority="534" operator="containsText" text="Fully Achieved">
      <formula>NOT(ISERROR(SEARCH("Fully Achieved",V79)))</formula>
    </cfRule>
    <cfRule type="containsText" dxfId="3607" priority="535" operator="containsText" text="Fully Achieved">
      <formula>NOT(ISERROR(SEARCH("Fully Achieved",V79)))</formula>
    </cfRule>
  </conditionalFormatting>
  <conditionalFormatting sqref="V79:V128">
    <cfRule type="containsText" dxfId="3606" priority="527" operator="containsText" text="Update not Provided">
      <formula>NOT(ISERROR(SEARCH("Update not Provided",V79)))</formula>
    </cfRule>
    <cfRule type="containsText" dxfId="3605" priority="528" operator="containsText" text="Not yet due">
      <formula>NOT(ISERROR(SEARCH("Not yet due",V79)))</formula>
    </cfRule>
    <cfRule type="containsText" dxfId="3604" priority="529" operator="containsText" text="Completed Behind Schedule">
      <formula>NOT(ISERROR(SEARCH("Completed Behind Schedule",V79)))</formula>
    </cfRule>
    <cfRule type="containsText" dxfId="3603" priority="530" operator="containsText" text="Off Target">
      <formula>NOT(ISERROR(SEARCH("Off Target",V79)))</formula>
    </cfRule>
    <cfRule type="containsText" dxfId="3602" priority="531" operator="containsText" text="In Danger of Falling Behind Target">
      <formula>NOT(ISERROR(SEARCH("In Danger of Falling Behind Target",V79)))</formula>
    </cfRule>
    <cfRule type="containsText" dxfId="3601" priority="532" operator="containsText" text="On Track to be Achieved">
      <formula>NOT(ISERROR(SEARCH("On Track to be Achieved",V79)))</formula>
    </cfRule>
    <cfRule type="containsText" dxfId="3600" priority="533" operator="containsText" text="Fully Achieved">
      <formula>NOT(ISERROR(SEARCH("Fully Achieved",V79)))</formula>
    </cfRule>
  </conditionalFormatting>
  <conditionalFormatting sqref="V79:V128">
    <cfRule type="containsText" dxfId="3599" priority="520" operator="containsText" text="Update not Provided">
      <formula>NOT(ISERROR(SEARCH("Update not Provided",V79)))</formula>
    </cfRule>
    <cfRule type="containsText" dxfId="3598" priority="522" operator="containsText" text="Completed Behind Schedule">
      <formula>NOT(ISERROR(SEARCH("Completed Behind Schedule",V79)))</formula>
    </cfRule>
    <cfRule type="containsText" dxfId="3597" priority="523" operator="containsText" text="Off Target">
      <formula>NOT(ISERROR(SEARCH("Off Target",V79)))</formula>
    </cfRule>
    <cfRule type="containsText" dxfId="3596" priority="524" operator="containsText" text="In Danger of Falling Behind Target">
      <formula>NOT(ISERROR(SEARCH("In Danger of Falling Behind Target",V79)))</formula>
    </cfRule>
    <cfRule type="containsText" dxfId="3595" priority="525" operator="containsText" text="On Track to be Achieved">
      <formula>NOT(ISERROR(SEARCH("On Track to be Achieved",V79)))</formula>
    </cfRule>
    <cfRule type="containsText" dxfId="3594" priority="526" operator="containsText" text="Fully Achieved">
      <formula>NOT(ISERROR(SEARCH("Fully Achieved",V79)))</formula>
    </cfRule>
  </conditionalFormatting>
  <conditionalFormatting sqref="V79:V128">
    <cfRule type="containsText" dxfId="3593" priority="505" operator="containsText" text="Not Yet Due">
      <formula>NOT(ISERROR(SEARCH("Not Yet Due",V79)))</formula>
    </cfRule>
    <cfRule type="containsText" dxfId="3592" priority="510" operator="containsText" text="Deferred">
      <formula>NOT(ISERROR(SEARCH("Deferred",V79)))</formula>
    </cfRule>
    <cfRule type="containsText" dxfId="3591" priority="511" operator="containsText" text="Deleted">
      <formula>NOT(ISERROR(SEARCH("Deleted",V79)))</formula>
    </cfRule>
    <cfRule type="containsText" dxfId="3590" priority="516" operator="containsText" text="In Danger of Falling Behind Target">
      <formula>NOT(ISERROR(SEARCH("In Danger of Falling Behind Target",V79)))</formula>
    </cfRule>
    <cfRule type="containsText" dxfId="3589" priority="521" operator="containsText" text="Not yet due">
      <formula>NOT(ISERROR(SEARCH("Not yet due",V79)))</formula>
    </cfRule>
  </conditionalFormatting>
  <conditionalFormatting sqref="V79:V128">
    <cfRule type="containsText" dxfId="3588" priority="519" operator="containsText" text="Not yet due">
      <formula>NOT(ISERROR(SEARCH("Not yet due",V79)))</formula>
    </cfRule>
  </conditionalFormatting>
  <conditionalFormatting sqref="V79:V128">
    <cfRule type="containsText" dxfId="3587" priority="512" operator="containsText" text="Update not Provided">
      <formula>NOT(ISERROR(SEARCH("Update not Provided",V79)))</formula>
    </cfRule>
    <cfRule type="containsText" dxfId="3586" priority="513" operator="containsText" text="Not yet due">
      <formula>NOT(ISERROR(SEARCH("Not yet due",V79)))</formula>
    </cfRule>
    <cfRule type="containsText" dxfId="3585" priority="514" operator="containsText" text="Completed Behind Schedule">
      <formula>NOT(ISERROR(SEARCH("Completed Behind Schedule",V79)))</formula>
    </cfRule>
    <cfRule type="containsText" dxfId="3584" priority="515" operator="containsText" text="Off Target">
      <formula>NOT(ISERROR(SEARCH("Off Target",V79)))</formula>
    </cfRule>
    <cfRule type="containsText" dxfId="3583" priority="517" operator="containsText" text="On Track to be Achieved">
      <formula>NOT(ISERROR(SEARCH("On Track to be Achieved",V79)))</formula>
    </cfRule>
    <cfRule type="containsText" dxfId="3582" priority="518" operator="containsText" text="Fully Achieved">
      <formula>NOT(ISERROR(SEARCH("Fully Achieved",V79)))</formula>
    </cfRule>
  </conditionalFormatting>
  <conditionalFormatting sqref="V79:V128">
    <cfRule type="containsText" dxfId="3581" priority="506" operator="containsText" text="Deferred">
      <formula>NOT(ISERROR(SEARCH("Deferred",V79)))</formula>
    </cfRule>
    <cfRule type="containsText" dxfId="3580" priority="507" operator="containsText" text="Deleted">
      <formula>NOT(ISERROR(SEARCH("Deleted",V79)))</formula>
    </cfRule>
    <cfRule type="containsText" dxfId="3579" priority="508" operator="containsText" text="In Danger of Falling Behind Target">
      <formula>NOT(ISERROR(SEARCH("In Danger of Falling Behind Target",V79)))</formula>
    </cfRule>
    <cfRule type="containsText" dxfId="3578" priority="509" operator="containsText" text="Not yet due">
      <formula>NOT(ISERROR(SEARCH("Not yet due",V79)))</formula>
    </cfRule>
  </conditionalFormatting>
  <conditionalFormatting sqref="V65:V78">
    <cfRule type="containsText" dxfId="3577" priority="503" operator="containsText" text="Fully Achieved">
      <formula>NOT(ISERROR(SEARCH("Fully Achieved",V65)))</formula>
    </cfRule>
    <cfRule type="containsText" dxfId="3576" priority="504" operator="containsText" text="Fully Achieved">
      <formula>NOT(ISERROR(SEARCH("Fully Achieved",V65)))</formula>
    </cfRule>
  </conditionalFormatting>
  <conditionalFormatting sqref="V65:V78">
    <cfRule type="containsText" dxfId="3575" priority="496" operator="containsText" text="Update not Provided">
      <formula>NOT(ISERROR(SEARCH("Update not Provided",V65)))</formula>
    </cfRule>
    <cfRule type="containsText" dxfId="3574" priority="497" operator="containsText" text="Not yet due">
      <formula>NOT(ISERROR(SEARCH("Not yet due",V65)))</formula>
    </cfRule>
    <cfRule type="containsText" dxfId="3573" priority="498" operator="containsText" text="Completed Behind Schedule">
      <formula>NOT(ISERROR(SEARCH("Completed Behind Schedule",V65)))</formula>
    </cfRule>
    <cfRule type="containsText" dxfId="3572" priority="499" operator="containsText" text="Off Target">
      <formula>NOT(ISERROR(SEARCH("Off Target",V65)))</formula>
    </cfRule>
    <cfRule type="containsText" dxfId="3571" priority="500" operator="containsText" text="In Danger of Falling Behind Target">
      <formula>NOT(ISERROR(SEARCH("In Danger of Falling Behind Target",V65)))</formula>
    </cfRule>
    <cfRule type="containsText" dxfId="3570" priority="501" operator="containsText" text="On Track to be Achieved">
      <formula>NOT(ISERROR(SEARCH("On Track to be Achieved",V65)))</formula>
    </cfRule>
    <cfRule type="containsText" dxfId="3569" priority="502" operator="containsText" text="Fully Achieved">
      <formula>NOT(ISERROR(SEARCH("Fully Achieved",V65)))</formula>
    </cfRule>
  </conditionalFormatting>
  <conditionalFormatting sqref="V65:V78">
    <cfRule type="containsText" dxfId="3568" priority="489" operator="containsText" text="Update not Provided">
      <formula>NOT(ISERROR(SEARCH("Update not Provided",V65)))</formula>
    </cfRule>
    <cfRule type="containsText" dxfId="3567" priority="491" operator="containsText" text="Completed Behind Schedule">
      <formula>NOT(ISERROR(SEARCH("Completed Behind Schedule",V65)))</formula>
    </cfRule>
    <cfRule type="containsText" dxfId="3566" priority="492" operator="containsText" text="Off Target">
      <formula>NOT(ISERROR(SEARCH("Off Target",V65)))</formula>
    </cfRule>
    <cfRule type="containsText" dxfId="3565" priority="493" operator="containsText" text="In Danger of Falling Behind Target">
      <formula>NOT(ISERROR(SEARCH("In Danger of Falling Behind Target",V65)))</formula>
    </cfRule>
    <cfRule type="containsText" dxfId="3564" priority="494" operator="containsText" text="On Track to be Achieved">
      <formula>NOT(ISERROR(SEARCH("On Track to be Achieved",V65)))</formula>
    </cfRule>
    <cfRule type="containsText" dxfId="3563" priority="495" operator="containsText" text="Fully Achieved">
      <formula>NOT(ISERROR(SEARCH("Fully Achieved",V65)))</formula>
    </cfRule>
  </conditionalFormatting>
  <conditionalFormatting sqref="V65:V78">
    <cfRule type="containsText" dxfId="3562" priority="474" operator="containsText" text="Not Yet Due">
      <formula>NOT(ISERROR(SEARCH("Not Yet Due",V65)))</formula>
    </cfRule>
    <cfRule type="containsText" dxfId="3561" priority="479" operator="containsText" text="Deferred">
      <formula>NOT(ISERROR(SEARCH("Deferred",V65)))</formula>
    </cfRule>
    <cfRule type="containsText" dxfId="3560" priority="480" operator="containsText" text="Deleted">
      <formula>NOT(ISERROR(SEARCH("Deleted",V65)))</formula>
    </cfRule>
    <cfRule type="containsText" dxfId="3559" priority="485" operator="containsText" text="In Danger of Falling Behind Target">
      <formula>NOT(ISERROR(SEARCH("In Danger of Falling Behind Target",V65)))</formula>
    </cfRule>
    <cfRule type="containsText" dxfId="3558" priority="490" operator="containsText" text="Not yet due">
      <formula>NOT(ISERROR(SEARCH("Not yet due",V65)))</formula>
    </cfRule>
  </conditionalFormatting>
  <conditionalFormatting sqref="V65:V78">
    <cfRule type="containsText" dxfId="3557" priority="488" operator="containsText" text="Not yet due">
      <formula>NOT(ISERROR(SEARCH("Not yet due",V65)))</formula>
    </cfRule>
  </conditionalFormatting>
  <conditionalFormatting sqref="V65:V78">
    <cfRule type="containsText" dxfId="3556" priority="481" operator="containsText" text="Update not Provided">
      <formula>NOT(ISERROR(SEARCH("Update not Provided",V65)))</formula>
    </cfRule>
    <cfRule type="containsText" dxfId="3555" priority="482" operator="containsText" text="Not yet due">
      <formula>NOT(ISERROR(SEARCH("Not yet due",V65)))</formula>
    </cfRule>
    <cfRule type="containsText" dxfId="3554" priority="483" operator="containsText" text="Completed Behind Schedule">
      <formula>NOT(ISERROR(SEARCH("Completed Behind Schedule",V65)))</formula>
    </cfRule>
    <cfRule type="containsText" dxfId="3553" priority="484" operator="containsText" text="Off Target">
      <formula>NOT(ISERROR(SEARCH("Off Target",V65)))</formula>
    </cfRule>
    <cfRule type="containsText" dxfId="3552" priority="486" operator="containsText" text="On Track to be Achieved">
      <formula>NOT(ISERROR(SEARCH("On Track to be Achieved",V65)))</formula>
    </cfRule>
    <cfRule type="containsText" dxfId="3551" priority="487" operator="containsText" text="Fully Achieved">
      <formula>NOT(ISERROR(SEARCH("Fully Achieved",V65)))</formula>
    </cfRule>
  </conditionalFormatting>
  <conditionalFormatting sqref="V65:V78">
    <cfRule type="containsText" dxfId="3550" priority="475" operator="containsText" text="Deferred">
      <formula>NOT(ISERROR(SEARCH("Deferred",V65)))</formula>
    </cfRule>
    <cfRule type="containsText" dxfId="3549" priority="476" operator="containsText" text="Deleted">
      <formula>NOT(ISERROR(SEARCH("Deleted",V65)))</formula>
    </cfRule>
    <cfRule type="containsText" dxfId="3548" priority="477" operator="containsText" text="In Danger of Falling Behind Target">
      <formula>NOT(ISERROR(SEARCH("In Danger of Falling Behind Target",V65)))</formula>
    </cfRule>
    <cfRule type="containsText" dxfId="3547" priority="478" operator="containsText" text="Not yet due">
      <formula>NOT(ISERROR(SEARCH("Not yet due",V65)))</formula>
    </cfRule>
  </conditionalFormatting>
  <conditionalFormatting sqref="V107:V108 V5:V63">
    <cfRule type="containsText" dxfId="3546" priority="472" operator="containsText" text="Fully Achieved">
      <formula>NOT(ISERROR(SEARCH("Fully Achieved",V5)))</formula>
    </cfRule>
    <cfRule type="containsText" dxfId="3545" priority="473" operator="containsText" text="Fully Achieved">
      <formula>NOT(ISERROR(SEARCH("Fully Achieved",V5)))</formula>
    </cfRule>
  </conditionalFormatting>
  <conditionalFormatting sqref="V107:V108 V5:V63">
    <cfRule type="containsText" dxfId="3544" priority="465" operator="containsText" text="Update not Provided">
      <formula>NOT(ISERROR(SEARCH("Update not Provided",V5)))</formula>
    </cfRule>
    <cfRule type="containsText" dxfId="3543" priority="466" operator="containsText" text="Not yet due">
      <formula>NOT(ISERROR(SEARCH("Not yet due",V5)))</formula>
    </cfRule>
    <cfRule type="containsText" dxfId="3542" priority="467" operator="containsText" text="Completed Behind Schedule">
      <formula>NOT(ISERROR(SEARCH("Completed Behind Schedule",V5)))</formula>
    </cfRule>
    <cfRule type="containsText" dxfId="3541" priority="468" operator="containsText" text="Off Target">
      <formula>NOT(ISERROR(SEARCH("Off Target",V5)))</formula>
    </cfRule>
    <cfRule type="containsText" dxfId="3540" priority="469" operator="containsText" text="In Danger of Falling Behind Target">
      <formula>NOT(ISERROR(SEARCH("In Danger of Falling Behind Target",V5)))</formula>
    </cfRule>
    <cfRule type="containsText" dxfId="3539" priority="470" operator="containsText" text="On Track to be Achieved">
      <formula>NOT(ISERROR(SEARCH("On Track to be Achieved",V5)))</formula>
    </cfRule>
    <cfRule type="containsText" dxfId="3538" priority="471" operator="containsText" text="Fully Achieved">
      <formula>NOT(ISERROR(SEARCH("Fully Achieved",V5)))</formula>
    </cfRule>
  </conditionalFormatting>
  <conditionalFormatting sqref="V107:V108 V5:V63">
    <cfRule type="containsText" dxfId="3537" priority="458" operator="containsText" text="Update not Provided">
      <formula>NOT(ISERROR(SEARCH("Update not Provided",V5)))</formula>
    </cfRule>
    <cfRule type="containsText" dxfId="3536" priority="460" operator="containsText" text="Completed Behind Schedule">
      <formula>NOT(ISERROR(SEARCH("Completed Behind Schedule",V5)))</formula>
    </cfRule>
    <cfRule type="containsText" dxfId="3535" priority="461" operator="containsText" text="Off Target">
      <formula>NOT(ISERROR(SEARCH("Off Target",V5)))</formula>
    </cfRule>
    <cfRule type="containsText" dxfId="3534" priority="462" operator="containsText" text="In Danger of Falling Behind Target">
      <formula>NOT(ISERROR(SEARCH("In Danger of Falling Behind Target",V5)))</formula>
    </cfRule>
    <cfRule type="containsText" dxfId="3533" priority="463" operator="containsText" text="On Track to be Achieved">
      <formula>NOT(ISERROR(SEARCH("On Track to be Achieved",V5)))</formula>
    </cfRule>
    <cfRule type="containsText" dxfId="3532" priority="464" operator="containsText" text="Fully Achieved">
      <formula>NOT(ISERROR(SEARCH("Fully Achieved",V5)))</formula>
    </cfRule>
  </conditionalFormatting>
  <conditionalFormatting sqref="V107:V108 V5:V63">
    <cfRule type="containsText" dxfId="3531" priority="443" operator="containsText" text="Not Yet Due">
      <formula>NOT(ISERROR(SEARCH("Not Yet Due",V5)))</formula>
    </cfRule>
    <cfRule type="containsText" dxfId="3530" priority="448" operator="containsText" text="Deferred">
      <formula>NOT(ISERROR(SEARCH("Deferred",V5)))</formula>
    </cfRule>
    <cfRule type="containsText" dxfId="3529" priority="449" operator="containsText" text="Deleted">
      <formula>NOT(ISERROR(SEARCH("Deleted",V5)))</formula>
    </cfRule>
    <cfRule type="containsText" dxfId="3528" priority="454" operator="containsText" text="In Danger of Falling Behind Target">
      <formula>NOT(ISERROR(SEARCH("In Danger of Falling Behind Target",V5)))</formula>
    </cfRule>
    <cfRule type="containsText" dxfId="3527" priority="459" operator="containsText" text="Not yet due">
      <formula>NOT(ISERROR(SEARCH("Not yet due",V5)))</formula>
    </cfRule>
  </conditionalFormatting>
  <conditionalFormatting sqref="V107:V108 V5:V63">
    <cfRule type="containsText" dxfId="3526" priority="457" operator="containsText" text="Not yet due">
      <formula>NOT(ISERROR(SEARCH("Not yet due",V5)))</formula>
    </cfRule>
  </conditionalFormatting>
  <conditionalFormatting sqref="V107:V108 V5:V63">
    <cfRule type="containsText" dxfId="3525" priority="450" operator="containsText" text="Update not Provided">
      <formula>NOT(ISERROR(SEARCH("Update not Provided",V5)))</formula>
    </cfRule>
    <cfRule type="containsText" dxfId="3524" priority="451" operator="containsText" text="Not yet due">
      <formula>NOT(ISERROR(SEARCH("Not yet due",V5)))</formula>
    </cfRule>
    <cfRule type="containsText" dxfId="3523" priority="452" operator="containsText" text="Completed Behind Schedule">
      <formula>NOT(ISERROR(SEARCH("Completed Behind Schedule",V5)))</formula>
    </cfRule>
    <cfRule type="containsText" dxfId="3522" priority="453" operator="containsText" text="Off Target">
      <formula>NOT(ISERROR(SEARCH("Off Target",V5)))</formula>
    </cfRule>
    <cfRule type="containsText" dxfId="3521" priority="455" operator="containsText" text="On Track to be Achieved">
      <formula>NOT(ISERROR(SEARCH("On Track to be Achieved",V5)))</formula>
    </cfRule>
    <cfRule type="containsText" dxfId="3520" priority="456" operator="containsText" text="Fully Achieved">
      <formula>NOT(ISERROR(SEARCH("Fully Achieved",V5)))</formula>
    </cfRule>
  </conditionalFormatting>
  <conditionalFormatting sqref="V107:V108 V5:V63">
    <cfRule type="containsText" dxfId="3519" priority="444" operator="containsText" text="Deferred">
      <formula>NOT(ISERROR(SEARCH("Deferred",V5)))</formula>
    </cfRule>
    <cfRule type="containsText" dxfId="3518" priority="445" operator="containsText" text="Deleted">
      <formula>NOT(ISERROR(SEARCH("Deleted",V5)))</formula>
    </cfRule>
    <cfRule type="containsText" dxfId="3517" priority="446" operator="containsText" text="In Danger of Falling Behind Target">
      <formula>NOT(ISERROR(SEARCH("In Danger of Falling Behind Target",V5)))</formula>
    </cfRule>
    <cfRule type="containsText" dxfId="3516" priority="447" operator="containsText" text="Not yet due">
      <formula>NOT(ISERROR(SEARCH("Not yet due",V5)))</formula>
    </cfRule>
  </conditionalFormatting>
  <conditionalFormatting sqref="V4:V128">
    <cfRule type="containsText" dxfId="3515" priority="287" operator="containsText" text="Target Partially Met">
      <formula>NOT(ISERROR(SEARCH("Target Partially Met",V4)))</formula>
    </cfRule>
    <cfRule type="containsText" dxfId="3514" priority="1297" operator="containsText" text="Deleted">
      <formula>NOT(ISERROR(SEARCH("Deleted",V4)))</formula>
    </cfRule>
    <cfRule type="containsText" dxfId="3513" priority="1298" operator="containsText" text="Deferred">
      <formula>NOT(ISERROR(SEARCH("Deferred",V4)))</formula>
    </cfRule>
    <cfRule type="containsText" dxfId="3512" priority="1299" operator="containsText" text="Completion Date Within Reasonable Tolerance">
      <formula>NOT(ISERROR(SEARCH("Completion Date Within Reasonable Tolerance",V4)))</formula>
    </cfRule>
    <cfRule type="containsText" dxfId="3511" priority="1300" operator="containsText" text="Completed Significantly After Target Deadline">
      <formula>NOT(ISERROR(SEARCH("Completed Significantly After Target Deadline",V4)))</formula>
    </cfRule>
    <cfRule type="containsText" dxfId="3510" priority="1776" operator="containsText" text="Numerical Outturn Within 10% Tolerance">
      <formula>NOT(ISERROR(SEARCH("Numerical Outturn Within 10% Tolerance",V4)))</formula>
    </cfRule>
    <cfRule type="containsText" dxfId="3509" priority="1777" operator="containsText" text="Numerical Outturn Within 5% Tolerance">
      <formula>NOT(ISERROR(SEARCH("Numerical Outturn Within 5% Tolerance",V4)))</formula>
    </cfRule>
    <cfRule type="containsText" dxfId="3508" priority="1778" operator="containsText" text="Target Achieved / Exceeded">
      <formula>NOT(ISERROR(SEARCH("Target Achieved / Exceeded",V4)))</formula>
    </cfRule>
    <cfRule type="containsText" dxfId="3507" priority="1779" operator="containsText" text="Full Update Not Yet Available">
      <formula>NOT(ISERROR(SEARCH("Full Update Not Yet Available",V4)))</formula>
    </cfRule>
    <cfRule type="containsText" dxfId="3506" priority="1780" operator="containsText" text="Full Update Not Yet Available">
      <formula>NOT(ISERROR(SEARCH("Full Update Not Yet Available",V4)))</formula>
    </cfRule>
    <cfRule type="containsText" dxfId="3505" priority="1783" operator="containsText" text="Update not Provided">
      <formula>NOT(ISERROR(SEARCH("Update not Provided",V4)))</formula>
    </cfRule>
    <cfRule type="containsText" dxfId="3504" priority="1784" operator="containsText" text="Not yet due">
      <formula>NOT(ISERROR(SEARCH("Not yet due",V4)))</formula>
    </cfRule>
    <cfRule type="containsText" dxfId="3503" priority="1785" operator="containsText" text="Completed Behind Schedule">
      <formula>NOT(ISERROR(SEARCH("Completed Behind Schedule",V4)))</formula>
    </cfRule>
    <cfRule type="containsText" dxfId="3502" priority="1786" operator="containsText" text="Off Target">
      <formula>NOT(ISERROR(SEARCH("Off Target",V4)))</formula>
    </cfRule>
    <cfRule type="containsText" dxfId="3501" priority="1787" operator="containsText" text="In Danger of Falling Behind Target">
      <formula>NOT(ISERROR(SEARCH("In Danger of Falling Behind Target",V4)))</formula>
    </cfRule>
    <cfRule type="containsText" dxfId="3500" priority="1788" operator="containsText" text="On Track to be Achieved">
      <formula>NOT(ISERROR(SEARCH("On Track to be Achieved",V4)))</formula>
    </cfRule>
    <cfRule type="containsText" dxfId="3499" priority="1789" operator="containsText" text="Fully Achieved">
      <formula>NOT(ISERROR(SEARCH("Fully Achieved",V4)))</formula>
    </cfRule>
    <cfRule type="containsText" dxfId="3498" priority="1790" operator="containsText" text="Fully Achieved">
      <formula>NOT(ISERROR(SEARCH("Fully Achieved",V4)))</formula>
    </cfRule>
    <cfRule type="containsText" dxfId="3497" priority="1791" operator="containsText" text="Fully Achieved">
      <formula>NOT(ISERROR(SEARCH("Fully Achieved",V4)))</formula>
    </cfRule>
  </conditionalFormatting>
  <conditionalFormatting sqref="M72 M83 M86:M87 M103 M107 M109 M123 M5:M63">
    <cfRule type="containsText" dxfId="3496" priority="204" operator="containsText" text="Fully Achieved">
      <formula>NOT(ISERROR(SEARCH("Fully Achieved",M5)))</formula>
    </cfRule>
    <cfRule type="containsText" dxfId="3495" priority="205" operator="containsText" text="Fully Achieved">
      <formula>NOT(ISERROR(SEARCH("Fully Achieved",M5)))</formula>
    </cfRule>
  </conditionalFormatting>
  <conditionalFormatting sqref="M72 M83 M86:M87 M103 M107 M109 M123 M5:M63">
    <cfRule type="containsText" dxfId="3494" priority="197" operator="containsText" text="Update not Provided">
      <formula>NOT(ISERROR(SEARCH("Update not Provided",M5)))</formula>
    </cfRule>
    <cfRule type="containsText" dxfId="3493" priority="198" operator="containsText" text="Not yet due">
      <formula>NOT(ISERROR(SEARCH("Not yet due",M5)))</formula>
    </cfRule>
    <cfRule type="containsText" dxfId="3492" priority="199" operator="containsText" text="Completed Behind Schedule">
      <formula>NOT(ISERROR(SEARCH("Completed Behind Schedule",M5)))</formula>
    </cfRule>
    <cfRule type="containsText" dxfId="3491" priority="200" operator="containsText" text="Off Target">
      <formula>NOT(ISERROR(SEARCH("Off Target",M5)))</formula>
    </cfRule>
    <cfRule type="containsText" dxfId="3490" priority="201" operator="containsText" text="In Danger of Falling Behind Target">
      <formula>NOT(ISERROR(SEARCH("In Danger of Falling Behind Target",M5)))</formula>
    </cfRule>
    <cfRule type="containsText" dxfId="3489" priority="202" operator="containsText" text="On Track to be Achieved">
      <formula>NOT(ISERROR(SEARCH("On Track to be Achieved",M5)))</formula>
    </cfRule>
    <cfRule type="containsText" dxfId="3488" priority="203" operator="containsText" text="Fully Achieved">
      <formula>NOT(ISERROR(SEARCH("Fully Achieved",M5)))</formula>
    </cfRule>
  </conditionalFormatting>
  <conditionalFormatting sqref="M72 M83 M86:M87 M103 M107 M109 M123 M5:M63">
    <cfRule type="containsText" dxfId="3487" priority="181" operator="containsText" text="Not Yet Due">
      <formula>NOT(ISERROR(SEARCH("Not Yet Due",M5)))</formula>
    </cfRule>
    <cfRule type="containsText" dxfId="3486" priority="186" operator="containsText" text="Deferred">
      <formula>NOT(ISERROR(SEARCH("Deferred",M5)))</formula>
    </cfRule>
    <cfRule type="containsText" dxfId="3485" priority="187" operator="containsText" text="Deleted">
      <formula>NOT(ISERROR(SEARCH("Deleted",M5)))</formula>
    </cfRule>
    <cfRule type="containsText" dxfId="3484" priority="192" operator="containsText" text="In Danger of Falling Behind Target">
      <formula>NOT(ISERROR(SEARCH("In Danger of Falling Behind Target",M5)))</formula>
    </cfRule>
    <cfRule type="containsText" dxfId="3483" priority="196" operator="containsText" text="Not yet due">
      <formula>NOT(ISERROR(SEARCH("Not yet due",M5)))</formula>
    </cfRule>
  </conditionalFormatting>
  <conditionalFormatting sqref="M72 M83 M86:M87 M103 M107 M109 M123 M5:M63">
    <cfRule type="containsText" dxfId="3482" priority="195" operator="containsText" text="Not yet due">
      <formula>NOT(ISERROR(SEARCH("Not yet due",M5)))</formula>
    </cfRule>
  </conditionalFormatting>
  <conditionalFormatting sqref="M72 M83 M86:M87 M103 M107 M109 M123 M5:M63">
    <cfRule type="containsText" dxfId="3481" priority="188" operator="containsText" text="Update not Provided">
      <formula>NOT(ISERROR(SEARCH("Update not Provided",M5)))</formula>
    </cfRule>
    <cfRule type="containsText" dxfId="3480" priority="189" operator="containsText" text="Not yet due">
      <formula>NOT(ISERROR(SEARCH("Not yet due",M5)))</formula>
    </cfRule>
    <cfRule type="containsText" dxfId="3479" priority="190" operator="containsText" text="Completed Behind Schedule">
      <formula>NOT(ISERROR(SEARCH("Completed Behind Schedule",M5)))</formula>
    </cfRule>
    <cfRule type="containsText" dxfId="3478" priority="191" operator="containsText" text="Off Target">
      <formula>NOT(ISERROR(SEARCH("Off Target",M5)))</formula>
    </cfRule>
    <cfRule type="containsText" dxfId="3477" priority="193" operator="containsText" text="On Track to be Achieved">
      <formula>NOT(ISERROR(SEARCH("On Track to be Achieved",M5)))</formula>
    </cfRule>
    <cfRule type="containsText" dxfId="3476" priority="194" operator="containsText" text="Fully Achieved">
      <formula>NOT(ISERROR(SEARCH("Fully Achieved",M5)))</formula>
    </cfRule>
  </conditionalFormatting>
  <conditionalFormatting sqref="M72 M83 M86:M87 M103 M107 M109 M123 M5:M63">
    <cfRule type="containsText" dxfId="3475" priority="182" operator="containsText" text="Deferred">
      <formula>NOT(ISERROR(SEARCH("Deferred",M5)))</formula>
    </cfRule>
    <cfRule type="containsText" dxfId="3474" priority="183" operator="containsText" text="Deleted">
      <formula>NOT(ISERROR(SEARCH("Deleted",M5)))</formula>
    </cfRule>
    <cfRule type="containsText" dxfId="3473" priority="184" operator="containsText" text="In Danger of Falling Behind Target">
      <formula>NOT(ISERROR(SEARCH("In Danger of Falling Behind Target",M5)))</formula>
    </cfRule>
    <cfRule type="containsText" dxfId="3472" priority="185" operator="containsText" text="Not yet due">
      <formula>NOT(ISERROR(SEARCH("Not yet due",M5)))</formula>
    </cfRule>
  </conditionalFormatting>
  <conditionalFormatting sqref="M64:M71 M73:M78">
    <cfRule type="containsText" dxfId="3471" priority="179" operator="containsText" text="Fully Achieved">
      <formula>NOT(ISERROR(SEARCH("Fully Achieved",M64)))</formula>
    </cfRule>
    <cfRule type="containsText" dxfId="3470" priority="180" operator="containsText" text="Fully Achieved">
      <formula>NOT(ISERROR(SEARCH("Fully Achieved",M64)))</formula>
    </cfRule>
  </conditionalFormatting>
  <conditionalFormatting sqref="M64:M71 M73:M78">
    <cfRule type="containsText" dxfId="3469" priority="172" operator="containsText" text="Update not Provided">
      <formula>NOT(ISERROR(SEARCH("Update not Provided",M64)))</formula>
    </cfRule>
    <cfRule type="containsText" dxfId="3468" priority="173" operator="containsText" text="Not yet due">
      <formula>NOT(ISERROR(SEARCH("Not yet due",M64)))</formula>
    </cfRule>
    <cfRule type="containsText" dxfId="3467" priority="174" operator="containsText" text="Completed Behind Schedule">
      <formula>NOT(ISERROR(SEARCH("Completed Behind Schedule",M64)))</formula>
    </cfRule>
    <cfRule type="containsText" dxfId="3466" priority="175" operator="containsText" text="Off Target">
      <formula>NOT(ISERROR(SEARCH("Off Target",M64)))</formula>
    </cfRule>
    <cfRule type="containsText" dxfId="3465" priority="176" operator="containsText" text="In Danger of Falling Behind Target">
      <formula>NOT(ISERROR(SEARCH("In Danger of Falling Behind Target",M64)))</formula>
    </cfRule>
    <cfRule type="containsText" dxfId="3464" priority="177" operator="containsText" text="On Track to be Achieved">
      <formula>NOT(ISERROR(SEARCH("On Track to be Achieved",M64)))</formula>
    </cfRule>
    <cfRule type="containsText" dxfId="3463" priority="178" operator="containsText" text="Fully Achieved">
      <formula>NOT(ISERROR(SEARCH("Fully Achieved",M64)))</formula>
    </cfRule>
  </conditionalFormatting>
  <conditionalFormatting sqref="M64:M71 M73:M78">
    <cfRule type="containsText" dxfId="3462" priority="165" operator="containsText" text="Update not Provided">
      <formula>NOT(ISERROR(SEARCH("Update not Provided",M64)))</formula>
    </cfRule>
    <cfRule type="containsText" dxfId="3461" priority="167" operator="containsText" text="Completed Behind Schedule">
      <formula>NOT(ISERROR(SEARCH("Completed Behind Schedule",M64)))</formula>
    </cfRule>
    <cfRule type="containsText" dxfId="3460" priority="168" operator="containsText" text="Off Target">
      <formula>NOT(ISERROR(SEARCH("Off Target",M64)))</formula>
    </cfRule>
    <cfRule type="containsText" dxfId="3459" priority="169" operator="containsText" text="In Danger of Falling Behind Target">
      <formula>NOT(ISERROR(SEARCH("In Danger of Falling Behind Target",M64)))</formula>
    </cfRule>
    <cfRule type="containsText" dxfId="3458" priority="170" operator="containsText" text="On Track to be Achieved">
      <formula>NOT(ISERROR(SEARCH("On Track to be Achieved",M64)))</formula>
    </cfRule>
    <cfRule type="containsText" dxfId="3457" priority="171" operator="containsText" text="Fully Achieved">
      <formula>NOT(ISERROR(SEARCH("Fully Achieved",M64)))</formula>
    </cfRule>
  </conditionalFormatting>
  <conditionalFormatting sqref="M64:M71 M73:M78">
    <cfRule type="containsText" dxfId="3456" priority="150" operator="containsText" text="Not Yet Due">
      <formula>NOT(ISERROR(SEARCH("Not Yet Due",M64)))</formula>
    </cfRule>
    <cfRule type="containsText" dxfId="3455" priority="155" operator="containsText" text="Deferred">
      <formula>NOT(ISERROR(SEARCH("Deferred",M64)))</formula>
    </cfRule>
    <cfRule type="containsText" dxfId="3454" priority="156" operator="containsText" text="Deleted">
      <formula>NOT(ISERROR(SEARCH("Deleted",M64)))</formula>
    </cfRule>
    <cfRule type="containsText" dxfId="3453" priority="161" operator="containsText" text="In Danger of Falling Behind Target">
      <formula>NOT(ISERROR(SEARCH("In Danger of Falling Behind Target",M64)))</formula>
    </cfRule>
    <cfRule type="containsText" dxfId="3452" priority="166" operator="containsText" text="Not yet due">
      <formula>NOT(ISERROR(SEARCH("Not yet due",M64)))</formula>
    </cfRule>
  </conditionalFormatting>
  <conditionalFormatting sqref="M64:M71 M73:M78">
    <cfRule type="containsText" dxfId="3451" priority="164" operator="containsText" text="Not yet due">
      <formula>NOT(ISERROR(SEARCH("Not yet due",M64)))</formula>
    </cfRule>
  </conditionalFormatting>
  <conditionalFormatting sqref="M64:M71 M73:M78">
    <cfRule type="containsText" dxfId="3450" priority="157" operator="containsText" text="Update not Provided">
      <formula>NOT(ISERROR(SEARCH("Update not Provided",M64)))</formula>
    </cfRule>
    <cfRule type="containsText" dxfId="3449" priority="158" operator="containsText" text="Not yet due">
      <formula>NOT(ISERROR(SEARCH("Not yet due",M64)))</formula>
    </cfRule>
    <cfRule type="containsText" dxfId="3448" priority="159" operator="containsText" text="Completed Behind Schedule">
      <formula>NOT(ISERROR(SEARCH("Completed Behind Schedule",M64)))</formula>
    </cfRule>
    <cfRule type="containsText" dxfId="3447" priority="160" operator="containsText" text="Off Target">
      <formula>NOT(ISERROR(SEARCH("Off Target",M64)))</formula>
    </cfRule>
    <cfRule type="containsText" dxfId="3446" priority="162" operator="containsText" text="On Track to be Achieved">
      <formula>NOT(ISERROR(SEARCH("On Track to be Achieved",M64)))</formula>
    </cfRule>
    <cfRule type="containsText" dxfId="3445" priority="163" operator="containsText" text="Fully Achieved">
      <formula>NOT(ISERROR(SEARCH("Fully Achieved",M64)))</formula>
    </cfRule>
  </conditionalFormatting>
  <conditionalFormatting sqref="M64:M71 M73:M78">
    <cfRule type="containsText" dxfId="3444" priority="151" operator="containsText" text="Deferred">
      <formula>NOT(ISERROR(SEARCH("Deferred",M64)))</formula>
    </cfRule>
    <cfRule type="containsText" dxfId="3443" priority="152" operator="containsText" text="Deleted">
      <formula>NOT(ISERROR(SEARCH("Deleted",M64)))</formula>
    </cfRule>
    <cfRule type="containsText" dxfId="3442" priority="153" operator="containsText" text="In Danger of Falling Behind Target">
      <formula>NOT(ISERROR(SEARCH("In Danger of Falling Behind Target",M64)))</formula>
    </cfRule>
    <cfRule type="containsText" dxfId="3441" priority="154" operator="containsText" text="Not yet due">
      <formula>NOT(ISERROR(SEARCH("Not yet due",M64)))</formula>
    </cfRule>
  </conditionalFormatting>
  <conditionalFormatting sqref="M79:M82 M84:M85 M88:M102 M104:M106 M108 M110:M122 M124:M128">
    <cfRule type="containsText" dxfId="3440" priority="148" operator="containsText" text="Fully Achieved">
      <formula>NOT(ISERROR(SEARCH("Fully Achieved",M79)))</formula>
    </cfRule>
    <cfRule type="containsText" dxfId="3439" priority="149" operator="containsText" text="Fully Achieved">
      <formula>NOT(ISERROR(SEARCH("Fully Achieved",M79)))</formula>
    </cfRule>
  </conditionalFormatting>
  <conditionalFormatting sqref="M79:M82 M84:M85 M88:M102 M104:M106 M108 M110:M122 M124:M128">
    <cfRule type="containsText" dxfId="3438" priority="141" operator="containsText" text="Update not Provided">
      <formula>NOT(ISERROR(SEARCH("Update not Provided",M79)))</formula>
    </cfRule>
    <cfRule type="containsText" dxfId="3437" priority="142" operator="containsText" text="Not yet due">
      <formula>NOT(ISERROR(SEARCH("Not yet due",M79)))</formula>
    </cfRule>
    <cfRule type="containsText" dxfId="3436" priority="143" operator="containsText" text="Completed Behind Schedule">
      <formula>NOT(ISERROR(SEARCH("Completed Behind Schedule",M79)))</formula>
    </cfRule>
    <cfRule type="containsText" dxfId="3435" priority="144" operator="containsText" text="Off Target">
      <formula>NOT(ISERROR(SEARCH("Off Target",M79)))</formula>
    </cfRule>
    <cfRule type="containsText" dxfId="3434" priority="145" operator="containsText" text="In Danger of Falling Behind Target">
      <formula>NOT(ISERROR(SEARCH("In Danger of Falling Behind Target",M79)))</formula>
    </cfRule>
    <cfRule type="containsText" dxfId="3433" priority="146" operator="containsText" text="On Track to be Achieved">
      <formula>NOT(ISERROR(SEARCH("On Track to be Achieved",M79)))</formula>
    </cfRule>
    <cfRule type="containsText" dxfId="3432" priority="147" operator="containsText" text="Fully Achieved">
      <formula>NOT(ISERROR(SEARCH("Fully Achieved",M79)))</formula>
    </cfRule>
  </conditionalFormatting>
  <conditionalFormatting sqref="M79:M82 M84:M85 M88:M102 M104:M106 M108 M110:M122 M124:M128">
    <cfRule type="containsText" dxfId="3431" priority="134" operator="containsText" text="Update not Provided">
      <formula>NOT(ISERROR(SEARCH("Update not Provided",M79)))</formula>
    </cfRule>
    <cfRule type="containsText" dxfId="3430" priority="136" operator="containsText" text="Completed Behind Schedule">
      <formula>NOT(ISERROR(SEARCH("Completed Behind Schedule",M79)))</formula>
    </cfRule>
    <cfRule type="containsText" dxfId="3429" priority="137" operator="containsText" text="Off Target">
      <formula>NOT(ISERROR(SEARCH("Off Target",M79)))</formula>
    </cfRule>
    <cfRule type="containsText" dxfId="3428" priority="138" operator="containsText" text="In Danger of Falling Behind Target">
      <formula>NOT(ISERROR(SEARCH("In Danger of Falling Behind Target",M79)))</formula>
    </cfRule>
    <cfRule type="containsText" dxfId="3427" priority="139" operator="containsText" text="On Track to be Achieved">
      <formula>NOT(ISERROR(SEARCH("On Track to be Achieved",M79)))</formula>
    </cfRule>
    <cfRule type="containsText" dxfId="3426" priority="140" operator="containsText" text="Fully Achieved">
      <formula>NOT(ISERROR(SEARCH("Fully Achieved",M79)))</formula>
    </cfRule>
  </conditionalFormatting>
  <conditionalFormatting sqref="M79:M82 M84:M85 M88:M102 M104:M106 M108 M110:M122 M124:M128">
    <cfRule type="containsText" dxfId="3425" priority="119" operator="containsText" text="Not Yet Due">
      <formula>NOT(ISERROR(SEARCH("Not Yet Due",M79)))</formula>
    </cfRule>
    <cfRule type="containsText" dxfId="3424" priority="124" operator="containsText" text="Deferred">
      <formula>NOT(ISERROR(SEARCH("Deferred",M79)))</formula>
    </cfRule>
    <cfRule type="containsText" dxfId="3423" priority="125" operator="containsText" text="Deleted">
      <formula>NOT(ISERROR(SEARCH("Deleted",M79)))</formula>
    </cfRule>
    <cfRule type="containsText" dxfId="3422" priority="130" operator="containsText" text="In Danger of Falling Behind Target">
      <formula>NOT(ISERROR(SEARCH("In Danger of Falling Behind Target",M79)))</formula>
    </cfRule>
    <cfRule type="containsText" dxfId="3421" priority="135" operator="containsText" text="Not yet due">
      <formula>NOT(ISERROR(SEARCH("Not yet due",M79)))</formula>
    </cfRule>
  </conditionalFormatting>
  <conditionalFormatting sqref="M79:M82 M84:M85 M88:M102 M104:M106 M108 M110:M122 M124:M128">
    <cfRule type="containsText" dxfId="3420" priority="133" operator="containsText" text="Not yet due">
      <formula>NOT(ISERROR(SEARCH("Not yet due",M79)))</formula>
    </cfRule>
  </conditionalFormatting>
  <conditionalFormatting sqref="M79:M82 M84:M85 M88:M102 M104:M106 M108 M110:M122 M124:M128">
    <cfRule type="containsText" dxfId="3419" priority="126" operator="containsText" text="Update not Provided">
      <formula>NOT(ISERROR(SEARCH("Update not Provided",M79)))</formula>
    </cfRule>
    <cfRule type="containsText" dxfId="3418" priority="127" operator="containsText" text="Not yet due">
      <formula>NOT(ISERROR(SEARCH("Not yet due",M79)))</formula>
    </cfRule>
    <cfRule type="containsText" dxfId="3417" priority="128" operator="containsText" text="Completed Behind Schedule">
      <formula>NOT(ISERROR(SEARCH("Completed Behind Schedule",M79)))</formula>
    </cfRule>
    <cfRule type="containsText" dxfId="3416" priority="129" operator="containsText" text="Off Target">
      <formula>NOT(ISERROR(SEARCH("Off Target",M79)))</formula>
    </cfRule>
    <cfRule type="containsText" dxfId="3415" priority="131" operator="containsText" text="On Track to be Achieved">
      <formula>NOT(ISERROR(SEARCH("On Track to be Achieved",M79)))</formula>
    </cfRule>
    <cfRule type="containsText" dxfId="3414" priority="132" operator="containsText" text="Fully Achieved">
      <formula>NOT(ISERROR(SEARCH("Fully Achieved",M79)))</formula>
    </cfRule>
  </conditionalFormatting>
  <conditionalFormatting sqref="M79:M82 M84:M85 M88:M102 M104:M106 M108 M110:M122 M124:M128">
    <cfRule type="containsText" dxfId="3413" priority="120" operator="containsText" text="Deferred">
      <formula>NOT(ISERROR(SEARCH("Deferred",M79)))</formula>
    </cfRule>
    <cfRule type="containsText" dxfId="3412" priority="121" operator="containsText" text="Deleted">
      <formula>NOT(ISERROR(SEARCH("Deleted",M79)))</formula>
    </cfRule>
    <cfRule type="containsText" dxfId="3411" priority="122" operator="containsText" text="In Danger of Falling Behind Target">
      <formula>NOT(ISERROR(SEARCH("In Danger of Falling Behind Target",M79)))</formula>
    </cfRule>
    <cfRule type="containsText" dxfId="3410" priority="123" operator="containsText" text="Not yet due">
      <formula>NOT(ISERROR(SEARCH("Not yet due",M79)))</formula>
    </cfRule>
  </conditionalFormatting>
  <conditionalFormatting sqref="R5:R62">
    <cfRule type="containsText" dxfId="3409" priority="117" operator="containsText" text="Fully Achieved">
      <formula>NOT(ISERROR(SEARCH("Fully Achieved",R5)))</formula>
    </cfRule>
    <cfRule type="containsText" dxfId="3408" priority="118" operator="containsText" text="Fully Achieved">
      <formula>NOT(ISERROR(SEARCH("Fully Achieved",R5)))</formula>
    </cfRule>
  </conditionalFormatting>
  <conditionalFormatting sqref="R5:R62">
    <cfRule type="containsText" dxfId="3407" priority="110" operator="containsText" text="Update not Provided">
      <formula>NOT(ISERROR(SEARCH("Update not Provided",R5)))</formula>
    </cfRule>
    <cfRule type="containsText" dxfId="3406" priority="111" operator="containsText" text="Not yet due">
      <formula>NOT(ISERROR(SEARCH("Not yet due",R5)))</formula>
    </cfRule>
    <cfRule type="containsText" dxfId="3405" priority="112" operator="containsText" text="Completed Behind Schedule">
      <formula>NOT(ISERROR(SEARCH("Completed Behind Schedule",R5)))</formula>
    </cfRule>
    <cfRule type="containsText" dxfId="3404" priority="113" operator="containsText" text="Off Target">
      <formula>NOT(ISERROR(SEARCH("Off Target",R5)))</formula>
    </cfRule>
    <cfRule type="containsText" dxfId="3403" priority="114" operator="containsText" text="In Danger of Falling Behind Target">
      <formula>NOT(ISERROR(SEARCH("In Danger of Falling Behind Target",R5)))</formula>
    </cfRule>
    <cfRule type="containsText" dxfId="3402" priority="115" operator="containsText" text="On Track to be Achieved">
      <formula>NOT(ISERROR(SEARCH("On Track to be Achieved",R5)))</formula>
    </cfRule>
    <cfRule type="containsText" dxfId="3401" priority="116" operator="containsText" text="Fully Achieved">
      <formula>NOT(ISERROR(SEARCH("Fully Achieved",R5)))</formula>
    </cfRule>
  </conditionalFormatting>
  <conditionalFormatting sqref="R5:R62">
    <cfRule type="containsText" dxfId="3400" priority="94" operator="containsText" text="Not Yet Due">
      <formula>NOT(ISERROR(SEARCH("Not Yet Due",R5)))</formula>
    </cfRule>
    <cfRule type="containsText" dxfId="3399" priority="99" operator="containsText" text="Deferred">
      <formula>NOT(ISERROR(SEARCH("Deferred",R5)))</formula>
    </cfRule>
    <cfRule type="containsText" dxfId="3398" priority="100" operator="containsText" text="Deleted">
      <formula>NOT(ISERROR(SEARCH("Deleted",R5)))</formula>
    </cfRule>
    <cfRule type="containsText" dxfId="3397" priority="105" operator="containsText" text="In Danger of Falling Behind Target">
      <formula>NOT(ISERROR(SEARCH("In Danger of Falling Behind Target",R5)))</formula>
    </cfRule>
    <cfRule type="containsText" dxfId="3396" priority="109" operator="containsText" text="Not yet due">
      <formula>NOT(ISERROR(SEARCH("Not yet due",R5)))</formula>
    </cfRule>
  </conditionalFormatting>
  <conditionalFormatting sqref="R5:R62">
    <cfRule type="containsText" dxfId="3395" priority="108" operator="containsText" text="Not yet due">
      <formula>NOT(ISERROR(SEARCH("Not yet due",R5)))</formula>
    </cfRule>
  </conditionalFormatting>
  <conditionalFormatting sqref="R5:R62">
    <cfRule type="containsText" dxfId="3394" priority="101" operator="containsText" text="Update not Provided">
      <formula>NOT(ISERROR(SEARCH("Update not Provided",R5)))</formula>
    </cfRule>
    <cfRule type="containsText" dxfId="3393" priority="102" operator="containsText" text="Not yet due">
      <formula>NOT(ISERROR(SEARCH("Not yet due",R5)))</formula>
    </cfRule>
    <cfRule type="containsText" dxfId="3392" priority="103" operator="containsText" text="Completed Behind Schedule">
      <formula>NOT(ISERROR(SEARCH("Completed Behind Schedule",R5)))</formula>
    </cfRule>
    <cfRule type="containsText" dxfId="3391" priority="104" operator="containsText" text="Off Target">
      <formula>NOT(ISERROR(SEARCH("Off Target",R5)))</formula>
    </cfRule>
    <cfRule type="containsText" dxfId="3390" priority="106" operator="containsText" text="On Track to be Achieved">
      <formula>NOT(ISERROR(SEARCH("On Track to be Achieved",R5)))</formula>
    </cfRule>
    <cfRule type="containsText" dxfId="3389" priority="107" operator="containsText" text="Fully Achieved">
      <formula>NOT(ISERROR(SEARCH("Fully Achieved",R5)))</formula>
    </cfRule>
  </conditionalFormatting>
  <conditionalFormatting sqref="R5:R62">
    <cfRule type="containsText" dxfId="3388" priority="95" operator="containsText" text="Deferred">
      <formula>NOT(ISERROR(SEARCH("Deferred",R5)))</formula>
    </cfRule>
    <cfRule type="containsText" dxfId="3387" priority="96" operator="containsText" text="Deleted">
      <formula>NOT(ISERROR(SEARCH("Deleted",R5)))</formula>
    </cfRule>
    <cfRule type="containsText" dxfId="3386" priority="97" operator="containsText" text="In Danger of Falling Behind Target">
      <formula>NOT(ISERROR(SEARCH("In Danger of Falling Behind Target",R5)))</formula>
    </cfRule>
    <cfRule type="containsText" dxfId="3385" priority="98" operator="containsText" text="Not yet due">
      <formula>NOT(ISERROR(SEARCH("Not yet due",R5)))</formula>
    </cfRule>
  </conditionalFormatting>
  <conditionalFormatting sqref="R64:R77">
    <cfRule type="containsText" dxfId="3384" priority="92" operator="containsText" text="Fully Achieved">
      <formula>NOT(ISERROR(SEARCH("Fully Achieved",R64)))</formula>
    </cfRule>
    <cfRule type="containsText" dxfId="3383" priority="93" operator="containsText" text="Fully Achieved">
      <formula>NOT(ISERROR(SEARCH("Fully Achieved",R64)))</formula>
    </cfRule>
  </conditionalFormatting>
  <conditionalFormatting sqref="R64:R77">
    <cfRule type="containsText" dxfId="3382" priority="85" operator="containsText" text="Update not Provided">
      <formula>NOT(ISERROR(SEARCH("Update not Provided",R64)))</formula>
    </cfRule>
    <cfRule type="containsText" dxfId="3381" priority="86" operator="containsText" text="Not yet due">
      <formula>NOT(ISERROR(SEARCH("Not yet due",R64)))</formula>
    </cfRule>
    <cfRule type="containsText" dxfId="3380" priority="87" operator="containsText" text="Completed Behind Schedule">
      <formula>NOT(ISERROR(SEARCH("Completed Behind Schedule",R64)))</formula>
    </cfRule>
    <cfRule type="containsText" dxfId="3379" priority="88" operator="containsText" text="Off Target">
      <formula>NOT(ISERROR(SEARCH("Off Target",R64)))</formula>
    </cfRule>
    <cfRule type="containsText" dxfId="3378" priority="89" operator="containsText" text="In Danger of Falling Behind Target">
      <formula>NOT(ISERROR(SEARCH("In Danger of Falling Behind Target",R64)))</formula>
    </cfRule>
    <cfRule type="containsText" dxfId="3377" priority="90" operator="containsText" text="On Track to be Achieved">
      <formula>NOT(ISERROR(SEARCH("On Track to be Achieved",R64)))</formula>
    </cfRule>
    <cfRule type="containsText" dxfId="3376" priority="91" operator="containsText" text="Fully Achieved">
      <formula>NOT(ISERROR(SEARCH("Fully Achieved",R64)))</formula>
    </cfRule>
  </conditionalFormatting>
  <conditionalFormatting sqref="R64:R77">
    <cfRule type="containsText" dxfId="3375" priority="78" operator="containsText" text="Update not Provided">
      <formula>NOT(ISERROR(SEARCH("Update not Provided",R64)))</formula>
    </cfRule>
    <cfRule type="containsText" dxfId="3374" priority="80" operator="containsText" text="Completed Behind Schedule">
      <formula>NOT(ISERROR(SEARCH("Completed Behind Schedule",R64)))</formula>
    </cfRule>
    <cfRule type="containsText" dxfId="3373" priority="81" operator="containsText" text="Off Target">
      <formula>NOT(ISERROR(SEARCH("Off Target",R64)))</formula>
    </cfRule>
    <cfRule type="containsText" dxfId="3372" priority="82" operator="containsText" text="In Danger of Falling Behind Target">
      <formula>NOT(ISERROR(SEARCH("In Danger of Falling Behind Target",R64)))</formula>
    </cfRule>
    <cfRule type="containsText" dxfId="3371" priority="83" operator="containsText" text="On Track to be Achieved">
      <formula>NOT(ISERROR(SEARCH("On Track to be Achieved",R64)))</formula>
    </cfRule>
    <cfRule type="containsText" dxfId="3370" priority="84" operator="containsText" text="Fully Achieved">
      <formula>NOT(ISERROR(SEARCH("Fully Achieved",R64)))</formula>
    </cfRule>
  </conditionalFormatting>
  <conditionalFormatting sqref="R64:R77">
    <cfRule type="containsText" dxfId="3369" priority="63" operator="containsText" text="Not Yet Due">
      <formula>NOT(ISERROR(SEARCH("Not Yet Due",R64)))</formula>
    </cfRule>
    <cfRule type="containsText" dxfId="3368" priority="68" operator="containsText" text="Deferred">
      <formula>NOT(ISERROR(SEARCH("Deferred",R64)))</formula>
    </cfRule>
    <cfRule type="containsText" dxfId="3367" priority="69" operator="containsText" text="Deleted">
      <formula>NOT(ISERROR(SEARCH("Deleted",R64)))</formula>
    </cfRule>
    <cfRule type="containsText" dxfId="3366" priority="74" operator="containsText" text="In Danger of Falling Behind Target">
      <formula>NOT(ISERROR(SEARCH("In Danger of Falling Behind Target",R64)))</formula>
    </cfRule>
    <cfRule type="containsText" dxfId="3365" priority="79" operator="containsText" text="Not yet due">
      <formula>NOT(ISERROR(SEARCH("Not yet due",R64)))</formula>
    </cfRule>
  </conditionalFormatting>
  <conditionalFormatting sqref="R64:R77">
    <cfRule type="containsText" dxfId="3364" priority="77" operator="containsText" text="Not yet due">
      <formula>NOT(ISERROR(SEARCH("Not yet due",R64)))</formula>
    </cfRule>
  </conditionalFormatting>
  <conditionalFormatting sqref="R64:R77">
    <cfRule type="containsText" dxfId="3363" priority="70" operator="containsText" text="Update not Provided">
      <formula>NOT(ISERROR(SEARCH("Update not Provided",R64)))</formula>
    </cfRule>
    <cfRule type="containsText" dxfId="3362" priority="71" operator="containsText" text="Not yet due">
      <formula>NOT(ISERROR(SEARCH("Not yet due",R64)))</formula>
    </cfRule>
    <cfRule type="containsText" dxfId="3361" priority="72" operator="containsText" text="Completed Behind Schedule">
      <formula>NOT(ISERROR(SEARCH("Completed Behind Schedule",R64)))</formula>
    </cfRule>
    <cfRule type="containsText" dxfId="3360" priority="73" operator="containsText" text="Off Target">
      <formula>NOT(ISERROR(SEARCH("Off Target",R64)))</formula>
    </cfRule>
    <cfRule type="containsText" dxfId="3359" priority="75" operator="containsText" text="On Track to be Achieved">
      <formula>NOT(ISERROR(SEARCH("On Track to be Achieved",R64)))</formula>
    </cfRule>
    <cfRule type="containsText" dxfId="3358" priority="76" operator="containsText" text="Fully Achieved">
      <formula>NOT(ISERROR(SEARCH("Fully Achieved",R64)))</formula>
    </cfRule>
  </conditionalFormatting>
  <conditionalFormatting sqref="R64:R77">
    <cfRule type="containsText" dxfId="3357" priority="64" operator="containsText" text="Deferred">
      <formula>NOT(ISERROR(SEARCH("Deferred",R64)))</formula>
    </cfRule>
    <cfRule type="containsText" dxfId="3356" priority="65" operator="containsText" text="Deleted">
      <formula>NOT(ISERROR(SEARCH("Deleted",R64)))</formula>
    </cfRule>
    <cfRule type="containsText" dxfId="3355" priority="66" operator="containsText" text="In Danger of Falling Behind Target">
      <formula>NOT(ISERROR(SEARCH("In Danger of Falling Behind Target",R64)))</formula>
    </cfRule>
    <cfRule type="containsText" dxfId="3354" priority="67" operator="containsText" text="Not yet due">
      <formula>NOT(ISERROR(SEARCH("Not yet due",R64)))</formula>
    </cfRule>
  </conditionalFormatting>
  <conditionalFormatting sqref="R79:R128">
    <cfRule type="containsText" dxfId="3353" priority="61" operator="containsText" text="Fully Achieved">
      <formula>NOT(ISERROR(SEARCH("Fully Achieved",R79)))</formula>
    </cfRule>
    <cfRule type="containsText" dxfId="3352" priority="62" operator="containsText" text="Fully Achieved">
      <formula>NOT(ISERROR(SEARCH("Fully Achieved",R79)))</formula>
    </cfRule>
  </conditionalFormatting>
  <conditionalFormatting sqref="R79:R128">
    <cfRule type="containsText" dxfId="3351" priority="54" operator="containsText" text="Update not Provided">
      <formula>NOT(ISERROR(SEARCH("Update not Provided",R79)))</formula>
    </cfRule>
    <cfRule type="containsText" dxfId="3350" priority="55" operator="containsText" text="Not yet due">
      <formula>NOT(ISERROR(SEARCH("Not yet due",R79)))</formula>
    </cfRule>
    <cfRule type="containsText" dxfId="3349" priority="56" operator="containsText" text="Completed Behind Schedule">
      <formula>NOT(ISERROR(SEARCH("Completed Behind Schedule",R79)))</formula>
    </cfRule>
    <cfRule type="containsText" dxfId="3348" priority="57" operator="containsText" text="Off Target">
      <formula>NOT(ISERROR(SEARCH("Off Target",R79)))</formula>
    </cfRule>
    <cfRule type="containsText" dxfId="3347" priority="58" operator="containsText" text="In Danger of Falling Behind Target">
      <formula>NOT(ISERROR(SEARCH("In Danger of Falling Behind Target",R79)))</formula>
    </cfRule>
    <cfRule type="containsText" dxfId="3346" priority="59" operator="containsText" text="On Track to be Achieved">
      <formula>NOT(ISERROR(SEARCH("On Track to be Achieved",R79)))</formula>
    </cfRule>
    <cfRule type="containsText" dxfId="3345" priority="60" operator="containsText" text="Fully Achieved">
      <formula>NOT(ISERROR(SEARCH("Fully Achieved",R79)))</formula>
    </cfRule>
  </conditionalFormatting>
  <conditionalFormatting sqref="R79:R128">
    <cfRule type="containsText" dxfId="3344" priority="47" operator="containsText" text="Update not Provided">
      <formula>NOT(ISERROR(SEARCH("Update not Provided",R79)))</formula>
    </cfRule>
    <cfRule type="containsText" dxfId="3343" priority="49" operator="containsText" text="Completed Behind Schedule">
      <formula>NOT(ISERROR(SEARCH("Completed Behind Schedule",R79)))</formula>
    </cfRule>
    <cfRule type="containsText" dxfId="3342" priority="50" operator="containsText" text="Off Target">
      <formula>NOT(ISERROR(SEARCH("Off Target",R79)))</formula>
    </cfRule>
    <cfRule type="containsText" dxfId="3341" priority="51" operator="containsText" text="In Danger of Falling Behind Target">
      <formula>NOT(ISERROR(SEARCH("In Danger of Falling Behind Target",R79)))</formula>
    </cfRule>
    <cfRule type="containsText" dxfId="3340" priority="52" operator="containsText" text="On Track to be Achieved">
      <formula>NOT(ISERROR(SEARCH("On Track to be Achieved",R79)))</formula>
    </cfRule>
    <cfRule type="containsText" dxfId="3339" priority="53" operator="containsText" text="Fully Achieved">
      <formula>NOT(ISERROR(SEARCH("Fully Achieved",R79)))</formula>
    </cfRule>
  </conditionalFormatting>
  <conditionalFormatting sqref="R79:R128">
    <cfRule type="containsText" dxfId="3338" priority="32" operator="containsText" text="Not Yet Due">
      <formula>NOT(ISERROR(SEARCH("Not Yet Due",R79)))</formula>
    </cfRule>
    <cfRule type="containsText" dxfId="3337" priority="37" operator="containsText" text="Deferred">
      <formula>NOT(ISERROR(SEARCH("Deferred",R79)))</formula>
    </cfRule>
    <cfRule type="containsText" dxfId="3336" priority="38" operator="containsText" text="Deleted">
      <formula>NOT(ISERROR(SEARCH("Deleted",R79)))</formula>
    </cfRule>
    <cfRule type="containsText" dxfId="3335" priority="43" operator="containsText" text="In Danger of Falling Behind Target">
      <formula>NOT(ISERROR(SEARCH("In Danger of Falling Behind Target",R79)))</formula>
    </cfRule>
    <cfRule type="containsText" dxfId="3334" priority="48" operator="containsText" text="Not yet due">
      <formula>NOT(ISERROR(SEARCH("Not yet due",R79)))</formula>
    </cfRule>
  </conditionalFormatting>
  <conditionalFormatting sqref="R79:R128">
    <cfRule type="containsText" dxfId="3333" priority="46" operator="containsText" text="Not yet due">
      <formula>NOT(ISERROR(SEARCH("Not yet due",R79)))</formula>
    </cfRule>
  </conditionalFormatting>
  <conditionalFormatting sqref="R79:R128">
    <cfRule type="containsText" dxfId="3332" priority="39" operator="containsText" text="Update not Provided">
      <formula>NOT(ISERROR(SEARCH("Update not Provided",R79)))</formula>
    </cfRule>
    <cfRule type="containsText" dxfId="3331" priority="40" operator="containsText" text="Not yet due">
      <formula>NOT(ISERROR(SEARCH("Not yet due",R79)))</formula>
    </cfRule>
    <cfRule type="containsText" dxfId="3330" priority="41" operator="containsText" text="Completed Behind Schedule">
      <formula>NOT(ISERROR(SEARCH("Completed Behind Schedule",R79)))</formula>
    </cfRule>
    <cfRule type="containsText" dxfId="3329" priority="42" operator="containsText" text="Off Target">
      <formula>NOT(ISERROR(SEARCH("Off Target",R79)))</formula>
    </cfRule>
    <cfRule type="containsText" dxfId="3328" priority="44" operator="containsText" text="On Track to be Achieved">
      <formula>NOT(ISERROR(SEARCH("On Track to be Achieved",R79)))</formula>
    </cfRule>
    <cfRule type="containsText" dxfId="3327" priority="45" operator="containsText" text="Fully Achieved">
      <formula>NOT(ISERROR(SEARCH("Fully Achieved",R79)))</formula>
    </cfRule>
  </conditionalFormatting>
  <conditionalFormatting sqref="R79:R128">
    <cfRule type="containsText" dxfId="3326" priority="33" operator="containsText" text="Deferred">
      <formula>NOT(ISERROR(SEARCH("Deferred",R79)))</formula>
    </cfRule>
    <cfRule type="containsText" dxfId="3325" priority="34" operator="containsText" text="Deleted">
      <formula>NOT(ISERROR(SEARCH("Deleted",R79)))</formula>
    </cfRule>
    <cfRule type="containsText" dxfId="3324" priority="35" operator="containsText" text="In Danger of Falling Behind Target">
      <formula>NOT(ISERROR(SEARCH("In Danger of Falling Behind Target",R79)))</formula>
    </cfRule>
    <cfRule type="containsText" dxfId="3323" priority="36" operator="containsText" text="Not yet due">
      <formula>NOT(ISERROR(SEARCH("Not yet due",R79)))</formula>
    </cfRule>
  </conditionalFormatting>
  <dataValidations xWindow="1274" yWindow="707" count="2">
    <dataValidation type="list" allowBlank="1" showInputMessage="1" showErrorMessage="1" sqref="V4:V128">
      <formula1>$A$161:$A$170</formula1>
    </dataValidation>
    <dataValidation type="list" allowBlank="1" showInputMessage="1" showErrorMessage="1" promptTitle="Is target on track?" prompt="Please choose an option from the drop down list that best describes the current situation for this target." sqref="R4:R62 R79:R128 H4:H128 R64:R77 M4:M128">
      <formula1>$A$179:$A$187</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115" activePane="bottomLeft" state="frozen"/>
      <selection pane="bottomLeft" activeCell="R126" sqref="R126"/>
    </sheetView>
  </sheetViews>
  <sheetFormatPr defaultColWidth="9.140625" defaultRowHeight="15" x14ac:dyDescent="0.25"/>
  <cols>
    <col min="1" max="1" width="12.85546875" style="35" customWidth="1"/>
    <col min="2" max="2" width="43.5703125" style="35" customWidth="1"/>
    <col min="3" max="3" width="28.42578125" style="43" customWidth="1"/>
    <col min="4" max="5" width="26.140625" style="35" hidden="1" customWidth="1"/>
    <col min="6" max="8" width="26.140625" style="35" customWidth="1"/>
    <col min="9" max="10" width="26.140625" style="35" hidden="1" customWidth="1"/>
    <col min="11" max="14" width="9.140625" style="34" customWidth="1"/>
    <col min="15" max="15" width="16.5703125" style="34" customWidth="1"/>
    <col min="16" max="19" width="9.140625" style="34" customWidth="1"/>
    <col min="20" max="20" width="24.85546875" style="34" customWidth="1"/>
    <col min="21" max="26" width="9.140625" style="34" customWidth="1"/>
    <col min="27" max="46" width="9.140625" style="34"/>
    <col min="47" max="16384" width="9.140625" style="35"/>
  </cols>
  <sheetData>
    <row r="1" spans="1:50" s="223" customFormat="1" ht="24" customHeight="1" thickBot="1" x14ac:dyDescent="0.35">
      <c r="A1" s="222" t="s">
        <v>62</v>
      </c>
      <c r="C1" s="224"/>
    </row>
    <row r="2" spans="1:50" s="194" customFormat="1" ht="61.5" thickTop="1" x14ac:dyDescent="0.35">
      <c r="A2" s="200" t="s">
        <v>2</v>
      </c>
      <c r="B2" s="195" t="s">
        <v>0</v>
      </c>
      <c r="C2" s="195" t="s">
        <v>429</v>
      </c>
      <c r="D2" s="196" t="s">
        <v>6</v>
      </c>
      <c r="E2" s="196" t="s">
        <v>9</v>
      </c>
      <c r="F2" s="196" t="s">
        <v>7</v>
      </c>
      <c r="G2" s="196" t="s">
        <v>10</v>
      </c>
      <c r="H2" s="196" t="s">
        <v>8</v>
      </c>
      <c r="I2" s="196" t="s">
        <v>11</v>
      </c>
      <c r="J2" s="196" t="s">
        <v>12</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50" s="53" customFormat="1" ht="25.5" customHeight="1" x14ac:dyDescent="0.25">
      <c r="A3" s="188" t="s">
        <v>206</v>
      </c>
      <c r="B3" s="201"/>
      <c r="C3" s="190"/>
      <c r="D3" s="189"/>
      <c r="E3" s="189"/>
      <c r="F3" s="159"/>
      <c r="G3" s="144"/>
      <c r="H3" s="144"/>
      <c r="I3" s="144"/>
      <c r="J3" s="144"/>
      <c r="K3" s="139"/>
      <c r="L3" s="139"/>
      <c r="M3" s="139"/>
      <c r="N3" s="139"/>
      <c r="O3" s="139"/>
      <c r="P3" s="139"/>
      <c r="Q3" s="139"/>
      <c r="R3" s="139"/>
      <c r="S3" s="139"/>
      <c r="T3" s="139"/>
      <c r="U3" s="139"/>
      <c r="V3" s="139"/>
      <c r="W3" s="139"/>
      <c r="X3" s="139"/>
      <c r="Y3" s="139"/>
      <c r="Z3" s="139"/>
      <c r="AA3" s="139"/>
      <c r="AB3" s="140"/>
      <c r="AC3" s="141"/>
      <c r="AD3" s="142"/>
      <c r="AE3" s="142"/>
      <c r="AF3" s="142"/>
      <c r="AG3" s="143"/>
      <c r="AH3" s="143"/>
      <c r="AI3" s="143"/>
      <c r="AJ3" s="143"/>
      <c r="AK3" s="143"/>
      <c r="AL3" s="143"/>
      <c r="AM3" s="143"/>
      <c r="AN3" s="143"/>
      <c r="AO3" s="143"/>
      <c r="AP3" s="143"/>
      <c r="AQ3" s="143"/>
      <c r="AR3" s="143"/>
      <c r="AS3" s="143"/>
      <c r="AT3" s="143"/>
      <c r="AU3" s="143"/>
      <c r="AV3" s="143"/>
      <c r="AW3" s="143"/>
      <c r="AX3" s="143"/>
    </row>
    <row r="4" spans="1:50" ht="99.75" customHeight="1" x14ac:dyDescent="0.25">
      <c r="A4" s="184" t="str">
        <f>'1. ALL DATA'!A5</f>
        <v>VFM01</v>
      </c>
      <c r="B4" s="186" t="str">
        <f>'1. ALL DATA'!C5</f>
        <v>Set Budget for 2019/20</v>
      </c>
      <c r="C4" s="334" t="str">
        <f>'1. ALL DATA'!D5</f>
        <v>Set Budget for Council Approval
(February 2019)</v>
      </c>
      <c r="D4" s="187" t="str">
        <f>'1. ALL DATA'!H5</f>
        <v>Not yet due</v>
      </c>
      <c r="E4" s="432" t="s">
        <v>47</v>
      </c>
      <c r="F4" s="431" t="str">
        <f>'1. ALL DATA'!M5</f>
        <v>On Track to be Achieved</v>
      </c>
      <c r="G4" s="199" t="s">
        <v>224</v>
      </c>
      <c r="H4" s="135" t="str">
        <f>'1. ALL DATA'!R5</f>
        <v>On Track to be Achieved</v>
      </c>
      <c r="I4" s="199"/>
      <c r="J4" s="135" t="str">
        <f>'1. ALL DATA'!V5</f>
        <v>Update not provided</v>
      </c>
      <c r="O4" s="444" t="s">
        <v>222</v>
      </c>
    </row>
    <row r="5" spans="1:50" ht="99.75" customHeight="1" x14ac:dyDescent="0.25">
      <c r="A5" s="184" t="str">
        <f>'1. ALL DATA'!A6</f>
        <v>VFM02</v>
      </c>
      <c r="B5" s="186" t="str">
        <f>'1. ALL DATA'!C6</f>
        <v>Statement of Accounts</v>
      </c>
      <c r="C5" s="334" t="str">
        <f>'1. ALL DATA'!D6</f>
        <v>Submit Statement of Accounts by New Statutory Deadline 
(July 2018)</v>
      </c>
      <c r="D5" s="187" t="str">
        <f>'1. ALL DATA'!H6</f>
        <v>On Track to be Achieved</v>
      </c>
      <c r="E5" s="199" t="s">
        <v>224</v>
      </c>
      <c r="F5" s="187" t="str">
        <f>'1. ALL DATA'!M6</f>
        <v>Fully Achieved</v>
      </c>
      <c r="G5" s="199" t="s">
        <v>224</v>
      </c>
      <c r="H5" s="135" t="str">
        <f>'1. ALL DATA'!R6</f>
        <v>Fully Achieved</v>
      </c>
      <c r="I5" s="199"/>
      <c r="J5" s="135" t="str">
        <f>'1. ALL DATA'!V6</f>
        <v>Update not provided</v>
      </c>
      <c r="O5" s="444" t="s">
        <v>223</v>
      </c>
      <c r="Y5" s="199" t="s">
        <v>224</v>
      </c>
    </row>
    <row r="6" spans="1:50" ht="99.75" customHeight="1" x14ac:dyDescent="0.25">
      <c r="A6" s="184" t="str">
        <f>'1. ALL DATA'!A7</f>
        <v>VFM03</v>
      </c>
      <c r="B6" s="186" t="str">
        <f>'1. ALL DATA'!C7</f>
        <v>Responding to Significant Local Government Finance Changes and Assessing the Impact on the Council’s Financial Position</v>
      </c>
      <c r="C6" s="334" t="str">
        <f>'1. ALL DATA'!D7</f>
        <v>Activities Throughout the Year Reported in Line with the Timed Responses 
(March 2019)</v>
      </c>
      <c r="D6" s="187" t="str">
        <f>'1. ALL DATA'!H7</f>
        <v>On Track to be Achieved</v>
      </c>
      <c r="E6" s="199" t="s">
        <v>224</v>
      </c>
      <c r="F6" s="187" t="str">
        <f>'1. ALL DATA'!M7</f>
        <v>On Track to be Achieved</v>
      </c>
      <c r="G6" s="199" t="s">
        <v>224</v>
      </c>
      <c r="H6" s="135" t="str">
        <f>'1. ALL DATA'!R7</f>
        <v>On Track to be Achieved</v>
      </c>
      <c r="I6" s="199"/>
      <c r="J6" s="135" t="str">
        <f>'1. ALL DATA'!V7</f>
        <v>Update not provided</v>
      </c>
      <c r="O6" s="444" t="s">
        <v>224</v>
      </c>
      <c r="T6" s="197"/>
      <c r="Y6" s="340" t="s">
        <v>222</v>
      </c>
    </row>
    <row r="7" spans="1:50" ht="94.5" x14ac:dyDescent="0.25">
      <c r="A7" s="184" t="str">
        <f>'1. ALL DATA'!A8</f>
        <v>VFM04</v>
      </c>
      <c r="B7" s="186" t="str">
        <f>'1. ALL DATA'!C8</f>
        <v xml:space="preserve">Improve Finance Awareness with Members  </v>
      </c>
      <c r="C7" s="334" t="str">
        <f>'1. ALL DATA'!D8</f>
        <v>At Least 2 Briefings Delivered to Elected Members During the Year 
(March 2019)</v>
      </c>
      <c r="D7" s="187" t="str">
        <f>'1. ALL DATA'!H8</f>
        <v>On Track to be Achieved</v>
      </c>
      <c r="E7" s="199" t="s">
        <v>224</v>
      </c>
      <c r="F7" s="187" t="str">
        <f>'1. ALL DATA'!M8</f>
        <v>On Track to be Achieved</v>
      </c>
      <c r="G7" s="199" t="s">
        <v>224</v>
      </c>
      <c r="H7" s="135" t="str">
        <f>'1. ALL DATA'!R8</f>
        <v>On Track to be Achieved</v>
      </c>
      <c r="I7" s="199"/>
      <c r="J7" s="135" t="str">
        <f>'1. ALL DATA'!V8</f>
        <v>Update not provided</v>
      </c>
      <c r="O7" s="432" t="s">
        <v>47</v>
      </c>
      <c r="T7" s="198"/>
    </row>
    <row r="8" spans="1:50" ht="99.75" customHeight="1" x14ac:dyDescent="0.25">
      <c r="A8" s="184" t="str">
        <f>'1. ALL DATA'!A9</f>
        <v>VFM05</v>
      </c>
      <c r="B8" s="186" t="str">
        <f>'1. ALL DATA'!C9</f>
        <v>Continuing to Improve the Value for Money of Council Services</v>
      </c>
      <c r="C8" s="334" t="str">
        <f>'1. ALL DATA'!D9</f>
        <v>Achieve Savings Targets as Stated in the Medium Term Financial Strategy 
(March 2019)</v>
      </c>
      <c r="D8" s="187" t="str">
        <f>'1. ALL DATA'!H9</f>
        <v>On Track to be Achieved</v>
      </c>
      <c r="E8" s="199" t="s">
        <v>224</v>
      </c>
      <c r="F8" s="187" t="str">
        <f>'1. ALL DATA'!M9</f>
        <v>On Track to be Achieved</v>
      </c>
      <c r="G8" s="432" t="s">
        <v>47</v>
      </c>
      <c r="H8" s="442" t="str">
        <f>'1. ALL DATA'!R9</f>
        <v>Update not Provided</v>
      </c>
      <c r="I8" s="199"/>
      <c r="J8" s="135" t="str">
        <f>'1. ALL DATA'!V9</f>
        <v>Update not provided</v>
      </c>
      <c r="T8" s="198"/>
    </row>
    <row r="9" spans="1:50" ht="99.75" customHeight="1" x14ac:dyDescent="0.25">
      <c r="A9" s="184" t="str">
        <f>'1. ALL DATA'!A10</f>
        <v>VFM06</v>
      </c>
      <c r="B9" s="186" t="str">
        <f>'1. ALL DATA'!C10</f>
        <v>Continuing to Improve the Value for Money of Council Services</v>
      </c>
      <c r="C9" s="334" t="str">
        <f>'1. ALL DATA'!D10</f>
        <v>Conduct Budget Consultation 
(September 2018)</v>
      </c>
      <c r="D9" s="187" t="str">
        <f>'1. ALL DATA'!H10</f>
        <v>On Track to be Achieved</v>
      </c>
      <c r="E9" s="199" t="s">
        <v>224</v>
      </c>
      <c r="F9" s="187" t="str">
        <f>'1. ALL DATA'!M10</f>
        <v>Fully Achieved</v>
      </c>
      <c r="G9" s="443" t="s">
        <v>224</v>
      </c>
      <c r="H9" s="135" t="str">
        <f>'1. ALL DATA'!R10</f>
        <v>Fully Achieved</v>
      </c>
      <c r="I9" s="199"/>
      <c r="J9" s="135" t="str">
        <f>'1. ALL DATA'!V10</f>
        <v>Update not provided</v>
      </c>
      <c r="T9" s="198"/>
    </row>
    <row r="10" spans="1:50" ht="99.75" customHeight="1" x14ac:dyDescent="0.25">
      <c r="A10" s="184" t="str">
        <f>'1. ALL DATA'!A11</f>
        <v>VFM07</v>
      </c>
      <c r="B10" s="186" t="str">
        <f>'1. ALL DATA'!C11</f>
        <v>Continuing to Improve the Value for Money of Council Services</v>
      </c>
      <c r="C10" s="334" t="str">
        <f>'1. ALL DATA'!D11</f>
        <v>Review Payment of Fees for the Independent Remuneration Panel 
(March 2019)</v>
      </c>
      <c r="D10" s="187" t="str">
        <f>'1. ALL DATA'!H11</f>
        <v>Not yet due</v>
      </c>
      <c r="E10" s="432" t="s">
        <v>47</v>
      </c>
      <c r="F10" s="187" t="str">
        <f>'1. ALL DATA'!M11</f>
        <v>Not yet due</v>
      </c>
      <c r="G10" s="198" t="s">
        <v>223</v>
      </c>
      <c r="H10" s="135" t="str">
        <f>'1. ALL DATA'!R11</f>
        <v>On Track to be Achieved</v>
      </c>
      <c r="I10" s="199"/>
      <c r="J10" s="135" t="str">
        <f>'1. ALL DATA'!V11</f>
        <v>Update not provided</v>
      </c>
    </row>
    <row r="11" spans="1:50" ht="99.75" customHeight="1" x14ac:dyDescent="0.25">
      <c r="A11" s="184" t="str">
        <f>'1. ALL DATA'!A12</f>
        <v>VFM08</v>
      </c>
      <c r="B11" s="186" t="str">
        <f>'1. ALL DATA'!C12</f>
        <v>Continuing to Improve the Value for Money of Council Services</v>
      </c>
      <c r="C11" s="334" t="str">
        <f>'1. ALL DATA'!D12</f>
        <v>90% Satisfaction with the Corporate Contribution to the Strategic Leisure Management Project 
(March 2019)</v>
      </c>
      <c r="D11" s="187" t="str">
        <f>'1. ALL DATA'!H12</f>
        <v>Not yet due</v>
      </c>
      <c r="E11" s="432" t="s">
        <v>47</v>
      </c>
      <c r="F11" s="187" t="str">
        <f>'1. ALL DATA'!M12</f>
        <v>Not yet due</v>
      </c>
      <c r="G11" s="432" t="s">
        <v>47</v>
      </c>
      <c r="H11" s="135" t="str">
        <f>'1. ALL DATA'!R12</f>
        <v>Not yet due</v>
      </c>
      <c r="I11" s="199"/>
      <c r="J11" s="135" t="str">
        <f>'1. ALL DATA'!V12</f>
        <v>Update not provided</v>
      </c>
    </row>
    <row r="12" spans="1:50" ht="99.75" customHeight="1" x14ac:dyDescent="0.25">
      <c r="A12" s="184" t="str">
        <f>'1. ALL DATA'!A13</f>
        <v>VFM09</v>
      </c>
      <c r="B12" s="186" t="str">
        <f>'1. ALL DATA'!C13</f>
        <v>Continuing to Improve the Value for Money of Council Services</v>
      </c>
      <c r="C12" s="334" t="str">
        <f>'1. ALL DATA'!D13</f>
        <v>90% Satisfaction with the Corporate Contribution to the Accommodation Move Project 
(March 2019)</v>
      </c>
      <c r="D12" s="187" t="str">
        <f>'1. ALL DATA'!H13</f>
        <v>Not yet due</v>
      </c>
      <c r="E12" s="432" t="s">
        <v>47</v>
      </c>
      <c r="F12" s="187" t="str">
        <f>'1. ALL DATA'!M13</f>
        <v>Not yet due</v>
      </c>
      <c r="G12" s="432" t="s">
        <v>47</v>
      </c>
      <c r="H12" s="135" t="str">
        <f>'1. ALL DATA'!R13</f>
        <v>Not yet due</v>
      </c>
      <c r="I12" s="199"/>
      <c r="J12" s="135" t="str">
        <f>'1. ALL DATA'!V13</f>
        <v>Update not provided</v>
      </c>
    </row>
    <row r="13" spans="1:50" ht="99.75" customHeight="1" x14ac:dyDescent="0.25">
      <c r="A13" s="184" t="str">
        <f>'1. ALL DATA'!A14</f>
        <v>VFM10</v>
      </c>
      <c r="B13" s="186" t="str">
        <f>'1. ALL DATA'!C14</f>
        <v>Providing a Secure Virtual Working Environment and Raising Awareness with Elected Members</v>
      </c>
      <c r="C13" s="334" t="str">
        <f>'1. ALL DATA'!D14</f>
        <v>Security Arrangements to Meet Requirements of PSN (or Replacement) / PCIDSS and Member Briefing Undertaken 
(March 2019)</v>
      </c>
      <c r="D13" s="187" t="str">
        <f>'1. ALL DATA'!H14</f>
        <v>On Track to be Achieved</v>
      </c>
      <c r="E13" s="199" t="s">
        <v>224</v>
      </c>
      <c r="F13" s="187" t="str">
        <f>'1. ALL DATA'!M14</f>
        <v>On Track to be Achieved</v>
      </c>
      <c r="G13" s="199" t="s">
        <v>224</v>
      </c>
      <c r="H13" s="135" t="str">
        <f>'1. ALL DATA'!R14</f>
        <v>On Track to be Achieved</v>
      </c>
      <c r="I13" s="198"/>
      <c r="J13" s="135" t="str">
        <f>'1. ALL DATA'!V14</f>
        <v>Update not provided</v>
      </c>
    </row>
    <row r="14" spans="1:50" ht="99.75" customHeight="1" x14ac:dyDescent="0.25">
      <c r="A14" s="184" t="str">
        <f>'1. ALL DATA'!A15</f>
        <v>VFM11</v>
      </c>
      <c r="B14" s="186" t="str">
        <f>'1. ALL DATA'!C15</f>
        <v>Increasing Staffing Availability Through Reduced Sickness</v>
      </c>
      <c r="C14" s="334" t="str">
        <f>'1. ALL DATA'!D15</f>
        <v>Short Term Sickness Days Average: 2.95 days</v>
      </c>
      <c r="D14" s="187" t="str">
        <f>'1. ALL DATA'!H15</f>
        <v>On Track to be Achieved</v>
      </c>
      <c r="E14" s="199" t="s">
        <v>224</v>
      </c>
      <c r="F14" s="187" t="str">
        <f>'1. ALL DATA'!M15</f>
        <v>On Track to be Achieved</v>
      </c>
      <c r="G14" s="199" t="s">
        <v>224</v>
      </c>
      <c r="H14" s="135" t="str">
        <f>'1. ALL DATA'!R15</f>
        <v>On Track to be Achieved</v>
      </c>
      <c r="I14" s="199"/>
      <c r="J14" s="135" t="str">
        <f>'1. ALL DATA'!V15</f>
        <v>Update not provided</v>
      </c>
    </row>
    <row r="15" spans="1:50" ht="99.75" customHeight="1" x14ac:dyDescent="0.25">
      <c r="A15" s="184" t="str">
        <f>'1. ALL DATA'!A16</f>
        <v>VFM12</v>
      </c>
      <c r="B15" s="186" t="str">
        <f>'1. ALL DATA'!C16</f>
        <v>Continuing to Meet Public Sector Equality Duties</v>
      </c>
      <c r="C15" s="334" t="str">
        <f>'1. ALL DATA'!D16</f>
        <v>Review of Single Equality Scheme Complete
(July 2018)</v>
      </c>
      <c r="D15" s="187" t="str">
        <f>'1. ALL DATA'!H16</f>
        <v>On Track to be Achieved</v>
      </c>
      <c r="E15" s="199" t="s">
        <v>224</v>
      </c>
      <c r="F15" s="187" t="str">
        <f>'1. ALL DATA'!M16</f>
        <v>Fully Achieved</v>
      </c>
      <c r="G15" s="199" t="s">
        <v>224</v>
      </c>
      <c r="H15" s="135" t="str">
        <f>'1. ALL DATA'!R16</f>
        <v>Fully Achieved</v>
      </c>
      <c r="I15" s="199"/>
      <c r="J15" s="135" t="str">
        <f>'1. ALL DATA'!V16</f>
        <v>Update not provided</v>
      </c>
    </row>
    <row r="16" spans="1:50" ht="99.75" customHeight="1" x14ac:dyDescent="0.25">
      <c r="A16" s="184" t="str">
        <f>'1. ALL DATA'!A17</f>
        <v>VFM13</v>
      </c>
      <c r="B16" s="186" t="str">
        <f>'1. ALL DATA'!C17</f>
        <v>Improve On The Average Time To Pay Creditors</v>
      </c>
      <c r="C16" s="334" t="str">
        <f>'1. ALL DATA'!D17</f>
        <v>Average Time to Pay Creditors: 
13 days</v>
      </c>
      <c r="D16" s="187" t="str">
        <f>'1. ALL DATA'!H17</f>
        <v>On Track to be Achieved</v>
      </c>
      <c r="E16" s="199" t="s">
        <v>224</v>
      </c>
      <c r="F16" s="187" t="str">
        <f>'1. ALL DATA'!M17</f>
        <v>On Track to be Achieved</v>
      </c>
      <c r="G16" s="199" t="s">
        <v>224</v>
      </c>
      <c r="H16" s="135" t="str">
        <f>'1. ALL DATA'!R17</f>
        <v>On Track to be Achieved</v>
      </c>
      <c r="I16" s="199"/>
      <c r="J16" s="135" t="str">
        <f>'1. ALL DATA'!V17</f>
        <v>Update not provided</v>
      </c>
    </row>
    <row r="17" spans="1:10" ht="99.75" customHeight="1" x14ac:dyDescent="0.25">
      <c r="A17" s="184" t="str">
        <f>'1. ALL DATA'!A18</f>
        <v>VFM14</v>
      </c>
      <c r="B17" s="186" t="str">
        <f>'1. ALL DATA'!C18</f>
        <v xml:space="preserve">Legal and Assets </v>
      </c>
      <c r="C17" s="334" t="str">
        <f>'1. ALL DATA'!D18</f>
        <v>Introduce the Policies and Procedures Necessary to Ensure Compliance with the General Data Protection Regulations 
(May 2018)</v>
      </c>
      <c r="D17" s="187" t="str">
        <f>'1. ALL DATA'!H18</f>
        <v>Fully Achieved</v>
      </c>
      <c r="E17" s="199" t="s">
        <v>224</v>
      </c>
      <c r="F17" s="187" t="str">
        <f>'1. ALL DATA'!M18</f>
        <v>Fully Achieved</v>
      </c>
      <c r="G17" s="199" t="s">
        <v>224</v>
      </c>
      <c r="H17" s="135" t="str">
        <f>'1. ALL DATA'!R18</f>
        <v>Fully Achieved</v>
      </c>
      <c r="I17" s="199"/>
      <c r="J17" s="135" t="str">
        <f>'1. ALL DATA'!V18</f>
        <v>Update not provided</v>
      </c>
    </row>
    <row r="18" spans="1:10" ht="99.75" customHeight="1" x14ac:dyDescent="0.25">
      <c r="A18" s="184" t="str">
        <f>'1. ALL DATA'!A19</f>
        <v>VFM15</v>
      </c>
      <c r="B18" s="186" t="str">
        <f>'1. ALL DATA'!C19</f>
        <v xml:space="preserve">Legal and Assets </v>
      </c>
      <c r="C18" s="334" t="str">
        <f>'1. ALL DATA'!D19</f>
        <v>Condition Survey Commissioned in Respect of the Canal Street Industrial Units 
(October 2018)</v>
      </c>
      <c r="D18" s="187" t="str">
        <f>'1. ALL DATA'!H19</f>
        <v>On Track to be Achieved</v>
      </c>
      <c r="E18" s="199" t="s">
        <v>224</v>
      </c>
      <c r="F18" s="187" t="str">
        <f>'1. ALL DATA'!M19</f>
        <v>Fully Achieved</v>
      </c>
      <c r="G18" s="199" t="s">
        <v>224</v>
      </c>
      <c r="H18" s="135" t="str">
        <f>'1. ALL DATA'!R19</f>
        <v>Fully Achieved</v>
      </c>
      <c r="I18" s="199"/>
      <c r="J18" s="135" t="str">
        <f>'1. ALL DATA'!V19</f>
        <v>Update not provided</v>
      </c>
    </row>
    <row r="19" spans="1:10" ht="99.75" customHeight="1" x14ac:dyDescent="0.25">
      <c r="A19" s="184" t="str">
        <f>'1. ALL DATA'!A20</f>
        <v>VFM16</v>
      </c>
      <c r="B19" s="186" t="str">
        <f>'1. ALL DATA'!C20</f>
        <v>Leisure and Cultural Service Delivery Review</v>
      </c>
      <c r="C19" s="334" t="str">
        <f>'1. ALL DATA'!D20</f>
        <v>Progress the Project in Line With Key Milestones, Providing Quarterly Updates 
(March 2019)</v>
      </c>
      <c r="D19" s="187" t="str">
        <f>'1. ALL DATA'!H20</f>
        <v>On Track to be Achieved</v>
      </c>
      <c r="E19" s="199" t="s">
        <v>224</v>
      </c>
      <c r="F19" s="187" t="str">
        <f>'1. ALL DATA'!M20</f>
        <v>On Track to be Achieved</v>
      </c>
      <c r="G19" s="199" t="s">
        <v>224</v>
      </c>
      <c r="H19" s="135" t="str">
        <f>'1. ALL DATA'!R20</f>
        <v>On Track to be Achieved</v>
      </c>
      <c r="I19" s="199"/>
      <c r="J19" s="135" t="str">
        <f>'1. ALL DATA'!V20</f>
        <v>Update not provided</v>
      </c>
    </row>
    <row r="20" spans="1:10" ht="99.75" customHeight="1" x14ac:dyDescent="0.25">
      <c r="A20" s="184" t="str">
        <f>'1. ALL DATA'!A21</f>
        <v>VFM17</v>
      </c>
      <c r="B20" s="186" t="str">
        <f>'1. ALL DATA'!C21</f>
        <v>Leisure and Cultural Service Delivery Review</v>
      </c>
      <c r="C20" s="334" t="str">
        <f>'1. ALL DATA'!D21</f>
        <v>Establish a Contracts and Strategic Leisure Team 
(September 2018)</v>
      </c>
      <c r="D20" s="187" t="str">
        <f>'1. ALL DATA'!H21</f>
        <v>Not yet due</v>
      </c>
      <c r="E20" s="432" t="s">
        <v>47</v>
      </c>
      <c r="F20" s="187" t="str">
        <f>'1. ALL DATA'!M21</f>
        <v>Off Target</v>
      </c>
      <c r="G20" s="432" t="s">
        <v>47</v>
      </c>
      <c r="H20" s="135" t="str">
        <f>'1. ALL DATA'!R21</f>
        <v>Completed Behind Schedule</v>
      </c>
      <c r="I20" s="199"/>
      <c r="J20" s="135" t="str">
        <f>'1. ALL DATA'!V21</f>
        <v>Update not provided</v>
      </c>
    </row>
    <row r="21" spans="1:10" ht="99.75" customHeight="1" x14ac:dyDescent="0.25">
      <c r="A21" s="184" t="str">
        <f>'1. ALL DATA'!A22</f>
        <v>VFM18</v>
      </c>
      <c r="B21" s="186" t="str">
        <f>'1. ALL DATA'!C22</f>
        <v>Leisure and Cultural Service Delivery Review</v>
      </c>
      <c r="C21" s="334" t="str">
        <f>'1. ALL DATA'!D22</f>
        <v>Commence the Monitoring of the Delivery of Cultural Services in Line With the Agreed Contract(s) 
(Quarter 3 2018/19)</v>
      </c>
      <c r="D21" s="187" t="str">
        <f>'1. ALL DATA'!H22</f>
        <v>Not yet due</v>
      </c>
      <c r="E21" s="432" t="s">
        <v>47</v>
      </c>
      <c r="F21" s="187" t="str">
        <f>'1. ALL DATA'!M22</f>
        <v>On Track to be Achieved</v>
      </c>
      <c r="G21" s="444" t="s">
        <v>223</v>
      </c>
      <c r="H21" s="135" t="str">
        <f>'1. ALL DATA'!R22</f>
        <v>Fully Achieved</v>
      </c>
      <c r="I21" s="199"/>
      <c r="J21" s="135" t="str">
        <f>'1. ALL DATA'!V22</f>
        <v>Update not provided</v>
      </c>
    </row>
    <row r="22" spans="1:10" ht="99.75" customHeight="1" x14ac:dyDescent="0.25">
      <c r="A22" s="184" t="str">
        <f>'1. ALL DATA'!A23</f>
        <v>VFM19</v>
      </c>
      <c r="B22" s="186" t="str">
        <f>'1. ALL DATA'!C23</f>
        <v xml:space="preserve">Improve Awareness of ESBC Venues and Initiatives </v>
      </c>
      <c r="C22" s="334" t="str">
        <f>'1. ALL DATA'!D23</f>
        <v>Deliver a Minimum of 2 Town Centre Events in Conjunction With Local Partners 
(October 2018)</v>
      </c>
      <c r="D22" s="187" t="str">
        <f>'1. ALL DATA'!H23</f>
        <v>On Track to be Achieved</v>
      </c>
      <c r="E22" s="199" t="s">
        <v>224</v>
      </c>
      <c r="F22" s="187" t="str">
        <f>'1. ALL DATA'!M23</f>
        <v>Fully Achieved</v>
      </c>
      <c r="G22" s="199" t="s">
        <v>224</v>
      </c>
      <c r="H22" s="135" t="str">
        <f>'1. ALL DATA'!R23</f>
        <v>Fully Achieved</v>
      </c>
      <c r="I22" s="199"/>
      <c r="J22" s="135" t="str">
        <f>'1. ALL DATA'!V23</f>
        <v>Update not provided</v>
      </c>
    </row>
    <row r="23" spans="1:10" ht="99.75" customHeight="1" x14ac:dyDescent="0.25">
      <c r="A23" s="184" t="str">
        <f>'1. ALL DATA'!A24</f>
        <v>VFM20</v>
      </c>
      <c r="B23" s="186" t="str">
        <f>'1. ALL DATA'!C24</f>
        <v>Improve Awareness of ESBC Venues and Initiatives</v>
      </c>
      <c r="C23" s="334" t="str">
        <f>'1. ALL DATA'!D24</f>
        <v>Attend a Minimum of 4 “Outreach” Days (1 Per Quarter) to Raise the Profile of the Council’s Services</v>
      </c>
      <c r="D23" s="187" t="str">
        <f>'1. ALL DATA'!H24</f>
        <v>On Track to be Achieved</v>
      </c>
      <c r="E23" s="199" t="s">
        <v>224</v>
      </c>
      <c r="F23" s="187" t="str">
        <f>'1. ALL DATA'!M24</f>
        <v>On Track to be Achieved</v>
      </c>
      <c r="G23" s="199" t="s">
        <v>224</v>
      </c>
      <c r="H23" s="135" t="str">
        <f>'1. ALL DATA'!R24</f>
        <v>On Track to be Achieved</v>
      </c>
      <c r="I23" s="199"/>
      <c r="J23" s="135" t="str">
        <f>'1. ALL DATA'!V24</f>
        <v>Update not provided</v>
      </c>
    </row>
    <row r="24" spans="1:10" ht="99.75" customHeight="1" x14ac:dyDescent="0.25">
      <c r="A24" s="184" t="str">
        <f>'1. ALL DATA'!A25</f>
        <v>VFM21</v>
      </c>
      <c r="B24" s="186" t="str">
        <f>'1. ALL DATA'!C25</f>
        <v xml:space="preserve">Improvements to the Brewhouse Facilities </v>
      </c>
      <c r="C24" s="334" t="str">
        <f>'1. ALL DATA'!D25</f>
        <v>Investigate The Feasibility Of Securing External Funding To Further Develop And Improve The Brewhouse Facilities
(July 2018)</v>
      </c>
      <c r="D24" s="187" t="str">
        <f>'1. ALL DATA'!H25</f>
        <v>On Track to be Achieved</v>
      </c>
      <c r="E24" s="199" t="s">
        <v>224</v>
      </c>
      <c r="F24" s="187" t="str">
        <f>'1. ALL DATA'!M25</f>
        <v>Fully Achieved</v>
      </c>
      <c r="G24" s="199" t="s">
        <v>224</v>
      </c>
      <c r="H24" s="135" t="str">
        <f>'1. ALL DATA'!R25</f>
        <v>Fully Achieved</v>
      </c>
      <c r="I24" s="199"/>
      <c r="J24" s="135" t="str">
        <f>'1. ALL DATA'!V25</f>
        <v>Update not provided</v>
      </c>
    </row>
    <row r="25" spans="1:10" ht="99.75" customHeight="1" x14ac:dyDescent="0.25">
      <c r="A25" s="184" t="str">
        <f>'1. ALL DATA'!A26</f>
        <v>VFM22</v>
      </c>
      <c r="B25" s="186" t="str">
        <f>'1. ALL DATA'!C26</f>
        <v>Improve Efficiency in Repairs, Maintenance and Adaptation Works Procurement</v>
      </c>
      <c r="C25" s="334" t="str">
        <f>'1. ALL DATA'!D26</f>
        <v>New Contract With an External Building Services Contractor Commences
(June 2018)</v>
      </c>
      <c r="D25" s="187" t="str">
        <f>'1. ALL DATA'!H26</f>
        <v>Fully Achieved</v>
      </c>
      <c r="E25" s="199" t="s">
        <v>224</v>
      </c>
      <c r="F25" s="187" t="str">
        <f>'1. ALL DATA'!M26</f>
        <v>Fully Achieved</v>
      </c>
      <c r="G25" s="199" t="s">
        <v>224</v>
      </c>
      <c r="H25" s="135" t="str">
        <f>'1. ALL DATA'!R26</f>
        <v>Fully Achieved</v>
      </c>
      <c r="I25" s="199"/>
      <c r="J25" s="135" t="str">
        <f>'1. ALL DATA'!V26</f>
        <v>Update not provided</v>
      </c>
    </row>
    <row r="26" spans="1:10" ht="99.75" customHeight="1" x14ac:dyDescent="0.25">
      <c r="A26" s="184" t="str">
        <f>'1. ALL DATA'!A27</f>
        <v>VFM23</v>
      </c>
      <c r="B26" s="186" t="str">
        <f>'1. ALL DATA'!C27</f>
        <v>Maintaining a Strong Building Consultancy Service</v>
      </c>
      <c r="C26" s="334" t="str">
        <f>'1. ALL DATA'!D27</f>
        <v>Ensuring Site Inspections are Undertaken Within 1 Day of Notification:
95%</v>
      </c>
      <c r="D26" s="187" t="str">
        <f>'1. ALL DATA'!H27</f>
        <v>On Track to be Achieved</v>
      </c>
      <c r="E26" s="199" t="s">
        <v>224</v>
      </c>
      <c r="F26" s="187" t="str">
        <f>'1. ALL DATA'!M27</f>
        <v>On Track to be Achieved</v>
      </c>
      <c r="G26" s="199" t="s">
        <v>224</v>
      </c>
      <c r="H26" s="135" t="str">
        <f>'1. ALL DATA'!R27</f>
        <v>On Track to be Achieved</v>
      </c>
      <c r="I26" s="199"/>
      <c r="J26" s="135" t="str">
        <f>'1. ALL DATA'!V27</f>
        <v>Update not provided</v>
      </c>
    </row>
    <row r="27" spans="1:10" ht="99.75" customHeight="1" x14ac:dyDescent="0.25">
      <c r="A27" s="184" t="str">
        <f>'1. ALL DATA'!A28</f>
        <v>VFM24</v>
      </c>
      <c r="B27" s="186" t="str">
        <f>'1. ALL DATA'!C28</f>
        <v>Maintaining A Strong Building Consultancy Service</v>
      </c>
      <c r="C27" s="334" t="str">
        <f>'1. ALL DATA'!D28</f>
        <v>Identify a Mechanism for Monitoring Customer Satisfaction and Establish Baseline Level
(March 2019)</v>
      </c>
      <c r="D27" s="187" t="str">
        <f>'1. ALL DATA'!H28</f>
        <v>On Track to be Achieved</v>
      </c>
      <c r="E27" s="199" t="s">
        <v>224</v>
      </c>
      <c r="F27" s="187" t="str">
        <f>'1. ALL DATA'!M28</f>
        <v>On Track to be Achieved</v>
      </c>
      <c r="G27" s="199" t="s">
        <v>224</v>
      </c>
      <c r="H27" s="135" t="str">
        <f>'1. ALL DATA'!R28</f>
        <v>On Track to be Achieved</v>
      </c>
      <c r="I27" s="199"/>
      <c r="J27" s="135" t="str">
        <f>'1. ALL DATA'!V28</f>
        <v>Update not provided</v>
      </c>
    </row>
    <row r="28" spans="1:10" ht="99.75" customHeight="1" x14ac:dyDescent="0.25">
      <c r="A28" s="184" t="str">
        <f>'1. ALL DATA'!A29</f>
        <v>VFM25</v>
      </c>
      <c r="B28" s="186" t="str">
        <f>'1. ALL DATA'!C29</f>
        <v xml:space="preserve">Smarter Working Initiatives </v>
      </c>
      <c r="C28" s="334" t="str">
        <f>'1. ALL DATA'!D29</f>
        <v>Review Smarter Waste Collection Business Plan 
(November 2018)</v>
      </c>
      <c r="D28" s="187" t="str">
        <f>'1. ALL DATA'!H29</f>
        <v>On Track to be Achieved</v>
      </c>
      <c r="E28" s="199" t="s">
        <v>224</v>
      </c>
      <c r="F28" s="187" t="str">
        <f>'1. ALL DATA'!M29</f>
        <v>On Track to be Achieved</v>
      </c>
      <c r="G28" s="444" t="s">
        <v>223</v>
      </c>
      <c r="H28" s="135" t="str">
        <f>'1. ALL DATA'!R29</f>
        <v>Fully Achieved</v>
      </c>
      <c r="I28" s="199"/>
      <c r="J28" s="135" t="str">
        <f>'1. ALL DATA'!V29</f>
        <v>Update not provided</v>
      </c>
    </row>
    <row r="29" spans="1:10" ht="99.75" customHeight="1" x14ac:dyDescent="0.25">
      <c r="A29" s="184" t="str">
        <f>'1. ALL DATA'!A30</f>
        <v>VFM26</v>
      </c>
      <c r="B29" s="186" t="str">
        <f>'1. ALL DATA'!C30</f>
        <v>Smarter Working Initiatives</v>
      </c>
      <c r="C29" s="334" t="str">
        <f>'1. ALL DATA'!D30</f>
        <v>Review of Street Cleaning Operations Complete
(January 2019)</v>
      </c>
      <c r="D29" s="187" t="str">
        <f>'1. ALL DATA'!H30</f>
        <v>Not yet due</v>
      </c>
      <c r="E29" s="432" t="s">
        <v>47</v>
      </c>
      <c r="F29" s="187" t="str">
        <f>'1. ALL DATA'!M30</f>
        <v>Not yet due</v>
      </c>
      <c r="G29" s="444" t="s">
        <v>223</v>
      </c>
      <c r="H29" s="135" t="str">
        <f>'1. ALL DATA'!R30</f>
        <v>On Track to be Achieved</v>
      </c>
      <c r="I29" s="199"/>
      <c r="J29" s="135" t="str">
        <f>'1. ALL DATA'!V30</f>
        <v>Update not provided</v>
      </c>
    </row>
    <row r="30" spans="1:10" ht="99.75" customHeight="1" x14ac:dyDescent="0.25">
      <c r="A30" s="184" t="str">
        <f>'1. ALL DATA'!A31</f>
        <v>VFM27</v>
      </c>
      <c r="B30" s="186" t="str">
        <f>'1. ALL DATA'!C31</f>
        <v>Smarter Working Initiatives</v>
      </c>
      <c r="C30" s="334" t="str">
        <f>'1. ALL DATA'!D31</f>
        <v>Review Public Toilet Provision
(April 2018)</v>
      </c>
      <c r="D30" s="187" t="str">
        <f>'1. ALL DATA'!H31</f>
        <v>Fully Achieved</v>
      </c>
      <c r="E30" s="199" t="s">
        <v>224</v>
      </c>
      <c r="F30" s="187" t="str">
        <f>'1. ALL DATA'!M31</f>
        <v>Fully Achieved</v>
      </c>
      <c r="G30" s="199" t="s">
        <v>224</v>
      </c>
      <c r="H30" s="135" t="str">
        <f>'1. ALL DATA'!R31</f>
        <v>Fully Achieved</v>
      </c>
      <c r="I30" s="199"/>
      <c r="J30" s="135" t="str">
        <f>'1. ALL DATA'!V31</f>
        <v>Update not provided</v>
      </c>
    </row>
    <row r="31" spans="1:10" ht="99.75" customHeight="1" x14ac:dyDescent="0.25">
      <c r="A31" s="184" t="str">
        <f>'1. ALL DATA'!A32</f>
        <v>VFM28</v>
      </c>
      <c r="B31" s="186" t="str">
        <f>'1. ALL DATA'!C32</f>
        <v>Minimise The Number Of Missed Bin Collections</v>
      </c>
      <c r="C31" s="334" t="str">
        <f>'1. ALL DATA'!D32</f>
        <v>1.5 missed bins per 10,000 collections</v>
      </c>
      <c r="D31" s="187" t="str">
        <f>'1. ALL DATA'!H32</f>
        <v>Off Target</v>
      </c>
      <c r="E31" s="199" t="s">
        <v>224</v>
      </c>
      <c r="F31" s="187" t="str">
        <f>'1. ALL DATA'!M32</f>
        <v>Off Target</v>
      </c>
      <c r="G31" s="199" t="s">
        <v>224</v>
      </c>
      <c r="H31" s="135" t="str">
        <f>'1. ALL DATA'!R32</f>
        <v>Off Target</v>
      </c>
      <c r="I31" s="199"/>
      <c r="J31" s="135" t="str">
        <f>'1. ALL DATA'!V32</f>
        <v>Update not provided</v>
      </c>
    </row>
    <row r="32" spans="1:10" ht="99.75" customHeight="1" x14ac:dyDescent="0.25">
      <c r="A32" s="184" t="str">
        <f>'1. ALL DATA'!A33</f>
        <v>VFM29</v>
      </c>
      <c r="B32" s="186" t="str">
        <f>'1. ALL DATA'!C33</f>
        <v>Deliver A High Quality Environmental Service</v>
      </c>
      <c r="C32" s="334" t="str">
        <f>'1. ALL DATA'!D33</f>
        <v>Resolve 100% of Customer Requests for Repaired or Replacement Bin Requests Within 5 Working Days 
(March 2019)</v>
      </c>
      <c r="D32" s="187" t="str">
        <f>'1. ALL DATA'!H33</f>
        <v>On Track to be Achieved</v>
      </c>
      <c r="E32" s="199" t="s">
        <v>224</v>
      </c>
      <c r="F32" s="187" t="str">
        <f>'1. ALL DATA'!M33</f>
        <v>On Track to be Achieved</v>
      </c>
      <c r="G32" s="199" t="s">
        <v>224</v>
      </c>
      <c r="H32" s="135" t="str">
        <f>'1. ALL DATA'!R33</f>
        <v>On Track to be Achieved</v>
      </c>
      <c r="I32" s="199"/>
      <c r="J32" s="135" t="str">
        <f>'1. ALL DATA'!V33</f>
        <v>Update not provided</v>
      </c>
    </row>
    <row r="33" spans="1:10" ht="99.75" customHeight="1" x14ac:dyDescent="0.25">
      <c r="A33" s="184" t="str">
        <f>'1. ALL DATA'!A34</f>
        <v>VFM30</v>
      </c>
      <c r="B33" s="186" t="str">
        <f>'1. ALL DATA'!C34</f>
        <v xml:space="preserve">Work In Partnership To Minimise Costs And Maximise Waste And Recycling Opportunities </v>
      </c>
      <c r="C33" s="334" t="str">
        <f>'1. ALL DATA'!D34</f>
        <v>2 Performance Reports Per Year on JWMB / Partnership Working</v>
      </c>
      <c r="D33" s="187" t="str">
        <f>'1. ALL DATA'!H34</f>
        <v>Not yet due</v>
      </c>
      <c r="E33" s="432" t="s">
        <v>47</v>
      </c>
      <c r="F33" s="187" t="str">
        <f>'1. ALL DATA'!M34</f>
        <v>Not yet due</v>
      </c>
      <c r="G33" s="444" t="s">
        <v>223</v>
      </c>
      <c r="H33" s="135" t="str">
        <f>'1. ALL DATA'!R34</f>
        <v>On Track to be Achieved</v>
      </c>
      <c r="I33" s="199"/>
      <c r="J33" s="135" t="str">
        <f>'1. ALL DATA'!V34</f>
        <v>Update not provided</v>
      </c>
    </row>
    <row r="34" spans="1:10" ht="99.75" customHeight="1" x14ac:dyDescent="0.25">
      <c r="A34" s="184" t="str">
        <f>'1. ALL DATA'!A35</f>
        <v>VFM31</v>
      </c>
      <c r="B34" s="186" t="str">
        <f>'1. ALL DATA'!C35</f>
        <v xml:space="preserve">Improve Planning Awareness with Members  </v>
      </c>
      <c r="C34" s="334" t="str">
        <f>'1. ALL DATA'!D35</f>
        <v>At Least 2 Briefings Delivered to Elected Members During the Year 
(March 2019)</v>
      </c>
      <c r="D34" s="187" t="str">
        <f>'1. ALL DATA'!H35</f>
        <v>On Track to be Achieved</v>
      </c>
      <c r="E34" s="199" t="s">
        <v>224</v>
      </c>
      <c r="F34" s="187" t="str">
        <f>'1. ALL DATA'!M35</f>
        <v>On Track to be Achieved</v>
      </c>
      <c r="G34" s="199" t="s">
        <v>224</v>
      </c>
      <c r="H34" s="135" t="str">
        <f>'1. ALL DATA'!R35</f>
        <v>On Track to be Achieved</v>
      </c>
      <c r="I34" s="199"/>
      <c r="J34" s="135" t="str">
        <f>'1. ALL DATA'!V35</f>
        <v>Update not provided</v>
      </c>
    </row>
    <row r="35" spans="1:10" ht="99.75" customHeight="1" x14ac:dyDescent="0.25">
      <c r="A35" s="184" t="str">
        <f>'1. ALL DATA'!A36</f>
        <v>VFM32</v>
      </c>
      <c r="B35" s="186" t="str">
        <f>'1. ALL DATA'!C36</f>
        <v>Continue to Develop SMARTER Working Practices for Planning</v>
      </c>
      <c r="C35" s="334" t="str">
        <f>'1. ALL DATA'!D36</f>
        <v>Introduce the New Charging Regime 
(April 2018)</v>
      </c>
      <c r="D35" s="187" t="str">
        <f>'1. ALL DATA'!H36</f>
        <v>Fully Achieved</v>
      </c>
      <c r="E35" s="199" t="s">
        <v>224</v>
      </c>
      <c r="F35" s="187" t="str">
        <f>'1. ALL DATA'!M36</f>
        <v>Fully Achieved</v>
      </c>
      <c r="G35" s="199" t="s">
        <v>224</v>
      </c>
      <c r="H35" s="135" t="str">
        <f>'1. ALL DATA'!R36</f>
        <v>Fully Achieved</v>
      </c>
      <c r="I35" s="199"/>
      <c r="J35" s="135" t="str">
        <f>'1. ALL DATA'!V36</f>
        <v>Update not provided</v>
      </c>
    </row>
    <row r="36" spans="1:10" ht="99.75" customHeight="1" x14ac:dyDescent="0.25">
      <c r="A36" s="184" t="str">
        <f>'1. ALL DATA'!A37</f>
        <v>VFM33</v>
      </c>
      <c r="B36" s="186" t="str">
        <f>'1. ALL DATA'!C37</f>
        <v>Continue to Develop SMARTER Working Practices for Planning</v>
      </c>
      <c r="C36" s="334" t="str">
        <f>'1. ALL DATA'!D37</f>
        <v>Seek to Identify Any Other Commercialisation Opportunities 
(December 2018)</v>
      </c>
      <c r="D36" s="187" t="str">
        <f>'1. ALL DATA'!H37</f>
        <v>Not yet due</v>
      </c>
      <c r="E36" s="432" t="s">
        <v>47</v>
      </c>
      <c r="F36" s="187" t="str">
        <f>'1. ALL DATA'!M37</f>
        <v>On Track to be Achieved</v>
      </c>
      <c r="G36" s="444" t="s">
        <v>223</v>
      </c>
      <c r="H36" s="135" t="str">
        <f>'1. ALL DATA'!R37</f>
        <v>Fully Achieved</v>
      </c>
      <c r="I36" s="199"/>
      <c r="J36" s="135" t="str">
        <f>'1. ALL DATA'!V37</f>
        <v>Update not provided</v>
      </c>
    </row>
    <row r="37" spans="1:10" ht="99.75" customHeight="1" x14ac:dyDescent="0.25">
      <c r="A37" s="184" t="str">
        <f>'1. ALL DATA'!A38</f>
        <v>VFM34</v>
      </c>
      <c r="B37" s="186" t="str">
        <f>'1. ALL DATA'!C38</f>
        <v>Continue to Develop SMARTER Working Practices for Planning</v>
      </c>
      <c r="C37" s="334" t="str">
        <f>'1. ALL DATA'!D38</f>
        <v>Investigate and Report on the use of Permission in Principle (PiP) 
(September 2018)</v>
      </c>
      <c r="D37" s="187" t="str">
        <f>'1. ALL DATA'!H38</f>
        <v>On Track to be Achieved</v>
      </c>
      <c r="E37" s="199" t="s">
        <v>224</v>
      </c>
      <c r="F37" s="187" t="str">
        <f>'1. ALL DATA'!M38</f>
        <v>Fully Achieved</v>
      </c>
      <c r="G37" s="199" t="s">
        <v>224</v>
      </c>
      <c r="H37" s="135" t="str">
        <f>'1. ALL DATA'!R38</f>
        <v>Fully Achieved</v>
      </c>
      <c r="I37" s="199"/>
      <c r="J37" s="135" t="str">
        <f>'1. ALL DATA'!V38</f>
        <v>Update not provided</v>
      </c>
    </row>
    <row r="38" spans="1:10" ht="99.75" customHeight="1" x14ac:dyDescent="0.25">
      <c r="A38" s="184" t="str">
        <f>'1. ALL DATA'!A39</f>
        <v>VFM35</v>
      </c>
      <c r="B38" s="186" t="str">
        <f>'1. ALL DATA'!C39</f>
        <v>Continue to Develop SMARTER Working Practices for Planning</v>
      </c>
      <c r="C38" s="334" t="str">
        <f>'1. ALL DATA'!D39</f>
        <v>Digitised Planning Information Progress Report
(March 2019)</v>
      </c>
      <c r="D38" s="187" t="str">
        <f>'1. ALL DATA'!H39</f>
        <v>Not yet due</v>
      </c>
      <c r="E38" s="432" t="s">
        <v>47</v>
      </c>
      <c r="F38" s="187" t="str">
        <f>'1. ALL DATA'!M39</f>
        <v>On Track to be Achieved</v>
      </c>
      <c r="G38" s="199" t="s">
        <v>224</v>
      </c>
      <c r="H38" s="135" t="str">
        <f>'1. ALL DATA'!R39</f>
        <v>On Track to be Achieved</v>
      </c>
      <c r="I38" s="199"/>
      <c r="J38" s="135" t="str">
        <f>'1. ALL DATA'!V39</f>
        <v>Update not provided</v>
      </c>
    </row>
    <row r="39" spans="1:10" ht="99.75" customHeight="1" x14ac:dyDescent="0.25">
      <c r="A39" s="184" t="str">
        <f>'1. ALL DATA'!A40</f>
        <v>VFM36</v>
      </c>
      <c r="B39" s="186" t="str">
        <f>'1. ALL DATA'!C40</f>
        <v>Improve Value for Money in Environmental Health Activities</v>
      </c>
      <c r="C39" s="334" t="str">
        <f>'1. ALL DATA'!D40</f>
        <v>Introduce a Charging Policy for Requested FHRS Re-Inspections and Food Safety Advice to Businesses
(June 2018)</v>
      </c>
      <c r="D39" s="187" t="str">
        <f>'1. ALL DATA'!H40</f>
        <v>Fully Achieved</v>
      </c>
      <c r="E39" s="199" t="s">
        <v>224</v>
      </c>
      <c r="F39" s="187" t="str">
        <f>'1. ALL DATA'!M40</f>
        <v>Fully Achieved</v>
      </c>
      <c r="G39" s="199" t="s">
        <v>224</v>
      </c>
      <c r="H39" s="135" t="str">
        <f>'1. ALL DATA'!R40</f>
        <v>Fully Achieved</v>
      </c>
      <c r="I39" s="199"/>
      <c r="J39" s="135" t="str">
        <f>'1. ALL DATA'!V40</f>
        <v>Update not provided</v>
      </c>
    </row>
    <row r="40" spans="1:10" ht="99.75" customHeight="1" x14ac:dyDescent="0.25">
      <c r="A40" s="184" t="str">
        <f>'1. ALL DATA'!A41</f>
        <v>VFM37</v>
      </c>
      <c r="B40" s="186" t="str">
        <f>'1. ALL DATA'!C41</f>
        <v>Improve Value for Money in Environmental Health Activities</v>
      </c>
      <c r="C40" s="334" t="str">
        <f>'1. ALL DATA'!D41</f>
        <v>Complete a Review of Animal Welfare Policy Within 2 Months of Anticipated Legislative Updates</v>
      </c>
      <c r="D40" s="187" t="str">
        <f>'1. ALL DATA'!H41</f>
        <v>Not yet due</v>
      </c>
      <c r="E40" s="432" t="s">
        <v>47</v>
      </c>
      <c r="F40" s="187" t="str">
        <f>'1. ALL DATA'!M41</f>
        <v>On Track to be Achieved</v>
      </c>
      <c r="G40" s="444" t="s">
        <v>223</v>
      </c>
      <c r="H40" s="135" t="str">
        <f>'1. ALL DATA'!R41</f>
        <v>Fully Achieved</v>
      </c>
      <c r="I40" s="199"/>
      <c r="J40" s="135" t="str">
        <f>'1. ALL DATA'!V41</f>
        <v>Update not provided</v>
      </c>
    </row>
    <row r="41" spans="1:10" ht="99.75" customHeight="1" x14ac:dyDescent="0.25">
      <c r="A41" s="184" t="str">
        <f>'1. ALL DATA'!A42</f>
        <v>VFM38</v>
      </c>
      <c r="B41" s="186" t="str">
        <f>'1. ALL DATA'!C42</f>
        <v>Improve Value for Money in Environmental Health Activities</v>
      </c>
      <c r="C41" s="334" t="str">
        <f>'1. ALL DATA'!D42</f>
        <v>Complete a Review of the Public Health Funeral Policy
(September 2018)</v>
      </c>
      <c r="D41" s="187" t="str">
        <f>'1. ALL DATA'!H42</f>
        <v>On Track to be Achieved</v>
      </c>
      <c r="E41" s="199" t="s">
        <v>224</v>
      </c>
      <c r="F41" s="187" t="str">
        <f>'1. ALL DATA'!M42</f>
        <v>Fully Achieved</v>
      </c>
      <c r="G41" s="199" t="s">
        <v>224</v>
      </c>
      <c r="H41" s="135" t="str">
        <f>'1. ALL DATA'!R42</f>
        <v>Fully Achieved</v>
      </c>
      <c r="I41" s="199"/>
      <c r="J41" s="135" t="str">
        <f>'1. ALL DATA'!V42</f>
        <v>Update not provided</v>
      </c>
    </row>
    <row r="42" spans="1:10" ht="99.75" customHeight="1" x14ac:dyDescent="0.25">
      <c r="A42" s="184" t="str">
        <f>'1. ALL DATA'!A43</f>
        <v>VFM39</v>
      </c>
      <c r="B42" s="186" t="str">
        <f>'1. ALL DATA'!C43</f>
        <v>Disabled Facilities Grant Service</v>
      </c>
      <c r="C42" s="334" t="str">
        <f>'1. ALL DATA'!D43</f>
        <v>Implement In-House Disabled Facility Grant Service
(April 2018)</v>
      </c>
      <c r="D42" s="187" t="str">
        <f>'1. ALL DATA'!H43</f>
        <v>Fully Achieved</v>
      </c>
      <c r="E42" s="199" t="s">
        <v>224</v>
      </c>
      <c r="F42" s="187" t="str">
        <f>'1. ALL DATA'!M43</f>
        <v>Fully Achieved</v>
      </c>
      <c r="G42" s="199" t="s">
        <v>224</v>
      </c>
      <c r="H42" s="135" t="str">
        <f>'1. ALL DATA'!R43</f>
        <v>Fully Achieved</v>
      </c>
      <c r="I42" s="199"/>
      <c r="J42" s="135" t="str">
        <f>'1. ALL DATA'!V43</f>
        <v>Update not provided</v>
      </c>
    </row>
    <row r="43" spans="1:10" ht="99.75" customHeight="1" x14ac:dyDescent="0.25">
      <c r="A43" s="184" t="str">
        <f>'1. ALL DATA'!A44</f>
        <v>VFM40</v>
      </c>
      <c r="B43" s="186" t="str">
        <f>'1. ALL DATA'!C44</f>
        <v>Community and Civil Enforcement Activities</v>
      </c>
      <c r="C43" s="334" t="str">
        <f>'1. ALL DATA'!D44</f>
        <v>Undertake a Review of Community and Civil Enforcement  Role 
(October 2018)</v>
      </c>
      <c r="D43" s="187" t="str">
        <f>'1. ALL DATA'!H44</f>
        <v>Not yet due</v>
      </c>
      <c r="E43" s="432" t="s">
        <v>47</v>
      </c>
      <c r="F43" s="187" t="str">
        <f>'1. ALL DATA'!M44</f>
        <v>On Track to be Achieved</v>
      </c>
      <c r="G43" s="444" t="s">
        <v>223</v>
      </c>
      <c r="H43" s="135" t="str">
        <f>'1. ALL DATA'!R44</f>
        <v>Fully Achieved</v>
      </c>
      <c r="I43" s="341"/>
      <c r="J43" s="135" t="str">
        <f>'1. ALL DATA'!V44</f>
        <v>Update not provided</v>
      </c>
    </row>
    <row r="44" spans="1:10" ht="99.75" customHeight="1" x14ac:dyDescent="0.25">
      <c r="A44" s="184" t="str">
        <f>'1. ALL DATA'!A45</f>
        <v>VFM41</v>
      </c>
      <c r="B44" s="186" t="str">
        <f>'1. ALL DATA'!C45</f>
        <v>Licensing Activities</v>
      </c>
      <c r="C44" s="334" t="str">
        <f>'1. ALL DATA'!D45</f>
        <v>Refreshed Gambling Act Policy Approved
(January 2019)</v>
      </c>
      <c r="D44" s="187" t="str">
        <f>'1. ALL DATA'!H45</f>
        <v>Not yet due</v>
      </c>
      <c r="E44" s="432" t="s">
        <v>47</v>
      </c>
      <c r="F44" s="187" t="str">
        <f>'1. ALL DATA'!M45</f>
        <v>On Track to be Achieved</v>
      </c>
      <c r="G44" s="199" t="s">
        <v>224</v>
      </c>
      <c r="H44" s="135" t="str">
        <f>'1. ALL DATA'!R45</f>
        <v>On Track to be Achieved</v>
      </c>
      <c r="I44" s="199"/>
      <c r="J44" s="135" t="str">
        <f>'1. ALL DATA'!V45</f>
        <v>Update not provided</v>
      </c>
    </row>
    <row r="45" spans="1:10" ht="99.75" customHeight="1" x14ac:dyDescent="0.25">
      <c r="A45" s="184" t="str">
        <f>'1. ALL DATA'!A46</f>
        <v>VFM42</v>
      </c>
      <c r="B45" s="186" t="str">
        <f>'1. ALL DATA'!C46</f>
        <v>Licensing Activities</v>
      </c>
      <c r="C45" s="334" t="str">
        <f>'1. ALL DATA'!D46</f>
        <v>Review of Taxi Compliance Testing Stations Complete
(March 2019)</v>
      </c>
      <c r="D45" s="187" t="str">
        <f>'1. ALL DATA'!H46</f>
        <v>Not yet due</v>
      </c>
      <c r="E45" s="432" t="s">
        <v>47</v>
      </c>
      <c r="F45" s="187" t="str">
        <f>'1. ALL DATA'!M46</f>
        <v>Not yet due</v>
      </c>
      <c r="G45" s="432" t="s">
        <v>47</v>
      </c>
      <c r="H45" s="135" t="str">
        <f>'1. ALL DATA'!R46</f>
        <v>Not yet due</v>
      </c>
      <c r="I45" s="199"/>
      <c r="J45" s="135" t="str">
        <f>'1. ALL DATA'!V46</f>
        <v>Update not provided</v>
      </c>
    </row>
    <row r="46" spans="1:10" ht="99.75" customHeight="1" x14ac:dyDescent="0.25">
      <c r="A46" s="184" t="str">
        <f>'1. ALL DATA'!A47</f>
        <v>VFM43</v>
      </c>
      <c r="B46" s="186" t="str">
        <f>'1. ALL DATA'!C47</f>
        <v>Continue to Improve the Ways We Provide Benefits to Those Most in Need:Time Taken to Process Benefit New Claims and Change Events (Previously NI 181)</v>
      </c>
      <c r="C46" s="334" t="str">
        <f>'1. ALL DATA'!D47</f>
        <v>7 Days</v>
      </c>
      <c r="D46" s="187" t="str">
        <f>'1. ALL DATA'!H47</f>
        <v>On Track to be Achieved</v>
      </c>
      <c r="E46" s="199" t="s">
        <v>224</v>
      </c>
      <c r="F46" s="187" t="str">
        <f>'1. ALL DATA'!M47</f>
        <v>On Track to be Achieved</v>
      </c>
      <c r="G46" s="199" t="s">
        <v>224</v>
      </c>
      <c r="H46" s="135" t="str">
        <f>'1. ALL DATA'!R47</f>
        <v>On Track to be Achieved</v>
      </c>
      <c r="I46" s="199"/>
      <c r="J46" s="135" t="str">
        <f>'1. ALL DATA'!V47</f>
        <v>Update not provided</v>
      </c>
    </row>
    <row r="47" spans="1:10" ht="99.75" customHeight="1" x14ac:dyDescent="0.25">
      <c r="A47" s="184" t="str">
        <f>'1. ALL DATA'!A48</f>
        <v>VFM44</v>
      </c>
      <c r="B47" s="186" t="str">
        <f>'1. ALL DATA'!C48</f>
        <v>Continuing to Improve Customer Access to Services</v>
      </c>
      <c r="C47" s="334" t="str">
        <f>'1. ALL DATA'!D48</f>
        <v>99% of CSC and Telephony Team Enquiries Resolved at First Point of Contact</v>
      </c>
      <c r="D47" s="187" t="str">
        <f>'1. ALL DATA'!H48</f>
        <v>On Track to be Achieved</v>
      </c>
      <c r="E47" s="199" t="s">
        <v>224</v>
      </c>
      <c r="F47" s="187" t="str">
        <f>'1. ALL DATA'!M48</f>
        <v>On Track to be Achieved</v>
      </c>
      <c r="G47" s="199" t="s">
        <v>224</v>
      </c>
      <c r="H47" s="135" t="str">
        <f>'1. ALL DATA'!R48</f>
        <v>On Track to be Achieved</v>
      </c>
      <c r="I47" s="199"/>
      <c r="J47" s="135" t="str">
        <f>'1. ALL DATA'!V48</f>
        <v>Update not provided</v>
      </c>
    </row>
    <row r="48" spans="1:10" ht="99.75" customHeight="1" x14ac:dyDescent="0.25">
      <c r="A48" s="184" t="str">
        <f>'1. ALL DATA'!A49</f>
        <v>VFM45</v>
      </c>
      <c r="B48" s="186" t="str">
        <f>'1. ALL DATA'!C49</f>
        <v>Continuing to Improve Customer Access to Services</v>
      </c>
      <c r="C48" s="334" t="str">
        <f>'1. ALL DATA'!D49</f>
        <v xml:space="preserve">Minimum 75% Telephony Team Calls Answered Within 10 Seconds </v>
      </c>
      <c r="D48" s="187" t="str">
        <f>'1. ALL DATA'!H49</f>
        <v>On Track to be Achieved</v>
      </c>
      <c r="E48" s="199" t="s">
        <v>224</v>
      </c>
      <c r="F48" s="187" t="str">
        <f>'1. ALL DATA'!M49</f>
        <v>On Track to be Achieved</v>
      </c>
      <c r="G48" s="199" t="s">
        <v>224</v>
      </c>
      <c r="H48" s="135" t="str">
        <f>'1. ALL DATA'!R49</f>
        <v>On Track to be Achieved</v>
      </c>
      <c r="I48" s="199"/>
      <c r="J48" s="135" t="str">
        <f>'1. ALL DATA'!V49</f>
        <v>Update not provided</v>
      </c>
    </row>
    <row r="49" spans="1:47" ht="99.75" customHeight="1" x14ac:dyDescent="0.25">
      <c r="A49" s="184" t="str">
        <f>'1. ALL DATA'!A50</f>
        <v>VFM46</v>
      </c>
      <c r="B49" s="186" t="str">
        <f>'1. ALL DATA'!C50</f>
        <v>Working Towards the Reduction of Claimant Error Housing Benefit Overpayments (HBOPs): % of HBOPs  Recovered During the Year; % of HBOPS Processed and on Payment Arrangement</v>
      </c>
      <c r="C49" s="334" t="str">
        <f>'1. ALL DATA'!D50</f>
        <v>% of HBOPs Recovered During the Year: 
80%
% of HBOPs Processed and on Payment Arrangement:
85%</v>
      </c>
      <c r="D49" s="187" t="str">
        <f>'1. ALL DATA'!H50</f>
        <v>On Track to be Achieved</v>
      </c>
      <c r="E49" s="199" t="s">
        <v>224</v>
      </c>
      <c r="F49" s="187" t="str">
        <f>'1. ALL DATA'!M50</f>
        <v>On Track to be Achieved</v>
      </c>
      <c r="G49" s="199" t="s">
        <v>224</v>
      </c>
      <c r="H49" s="135" t="str">
        <f>'1. ALL DATA'!R50</f>
        <v>On Track to be Achieved</v>
      </c>
      <c r="I49" s="199"/>
      <c r="J49" s="135" t="str">
        <f>'1. ALL DATA'!V50</f>
        <v>Update not provided</v>
      </c>
    </row>
    <row r="50" spans="1:47" ht="99.75" customHeight="1" x14ac:dyDescent="0.25">
      <c r="A50" s="184" t="str">
        <f>'1. ALL DATA'!A51</f>
        <v>VFM47</v>
      </c>
      <c r="B50" s="186" t="str">
        <f>'1. ALL DATA'!C51</f>
        <v xml:space="preserve">Continue to Maximise Income Through Effective Collection Processes (Previously BV 9 &amp; 10) </v>
      </c>
      <c r="C50" s="334" t="str">
        <f>'1. ALL DATA'!D51</f>
        <v>Collection Rates of -    
Council Tax : 98%     
NNDR : 99%</v>
      </c>
      <c r="D50" s="187" t="str">
        <f>'1. ALL DATA'!H51</f>
        <v>On Track to be Achieved</v>
      </c>
      <c r="E50" s="199" t="s">
        <v>224</v>
      </c>
      <c r="F50" s="187" t="str">
        <f>'1. ALL DATA'!M51</f>
        <v>On Track to be Achieved</v>
      </c>
      <c r="G50" s="199" t="s">
        <v>224</v>
      </c>
      <c r="H50" s="135" t="str">
        <f>'1. ALL DATA'!R51</f>
        <v>On Track to be Achieved</v>
      </c>
      <c r="I50" s="199"/>
      <c r="J50" s="135" t="str">
        <f>'1. ALL DATA'!V51</f>
        <v>Update not provided</v>
      </c>
    </row>
    <row r="51" spans="1:47" ht="99.75" customHeight="1" x14ac:dyDescent="0.25">
      <c r="A51" s="184" t="str">
        <f>'1. ALL DATA'!A52</f>
        <v>VFM48</v>
      </c>
      <c r="B51" s="186" t="str">
        <f>'1. ALL DATA'!C52</f>
        <v>Continue to Maximise Income Through Effective Collection Processes: Reduce Arrears for Council Tax; NNDR; Sundry Debts</v>
      </c>
      <c r="C51" s="334" t="str">
        <f>'1. ALL DATA'!D52</f>
        <v xml:space="preserve">Council Tax Former Years Arrears: 
£1,900,000 (net)     
NNDR Former Years Arrears:
£500,000 (net)     
Sundry Debts Current Years Arrears (older than 90 days): 
£40,000
</v>
      </c>
      <c r="D51" s="187" t="str">
        <f>'1. ALL DATA'!H52</f>
        <v>On Track to be Achieved</v>
      </c>
      <c r="E51" s="199" t="s">
        <v>224</v>
      </c>
      <c r="F51" s="187" t="str">
        <f>'1. ALL DATA'!M52</f>
        <v>On Track to be Achieved</v>
      </c>
      <c r="G51" s="199" t="s">
        <v>224</v>
      </c>
      <c r="H51" s="135" t="str">
        <f>'1. ALL DATA'!R52</f>
        <v>On Track to be Achieved</v>
      </c>
      <c r="I51" s="341"/>
      <c r="J51" s="135" t="str">
        <f>'1. ALL DATA'!V52</f>
        <v>Update not provided</v>
      </c>
    </row>
    <row r="52" spans="1:47" ht="99.75" customHeight="1" x14ac:dyDescent="0.25">
      <c r="A52" s="184" t="str">
        <f>'1. ALL DATA'!A53</f>
        <v>VFM49</v>
      </c>
      <c r="B52" s="186" t="str">
        <f>'1. ALL DATA'!C53</f>
        <v>Prepare for Universal Credit Full Service Implementation</v>
      </c>
      <c r="C52" s="334" t="str">
        <f>'1. ALL DATA'!D53</f>
        <v>Hold 2 Stakeholder Meetings and 1 Member Briefing
(March 2019)</v>
      </c>
      <c r="D52" s="187" t="str">
        <f>'1. ALL DATA'!H53</f>
        <v>Not yet due</v>
      </c>
      <c r="E52" s="432" t="s">
        <v>47</v>
      </c>
      <c r="F52" s="187" t="str">
        <f>'1. ALL DATA'!M53</f>
        <v>On Track to be Achieved</v>
      </c>
      <c r="G52" s="444" t="s">
        <v>223</v>
      </c>
      <c r="H52" s="135" t="str">
        <f>'1. ALL DATA'!R53</f>
        <v>Fully Achieved</v>
      </c>
      <c r="I52" s="199"/>
      <c r="J52" s="135" t="str">
        <f>'1. ALL DATA'!V53</f>
        <v>Update not provided</v>
      </c>
    </row>
    <row r="53" spans="1:47" ht="99.75" customHeight="1" x14ac:dyDescent="0.25">
      <c r="A53" s="184" t="str">
        <f>'1. ALL DATA'!A54</f>
        <v>VFM50</v>
      </c>
      <c r="B53" s="186" t="str">
        <f>'1. ALL DATA'!C54</f>
        <v>Review Council Tax Support Scheme</v>
      </c>
      <c r="C53" s="334" t="str">
        <f>'1. ALL DATA'!D54</f>
        <v>Carry Out Review of the Council Tax Reduction Scheme 
(September 2018)</v>
      </c>
      <c r="D53" s="187" t="str">
        <f>'1. ALL DATA'!H54</f>
        <v>Not yet due</v>
      </c>
      <c r="E53" s="432" t="s">
        <v>47</v>
      </c>
      <c r="F53" s="187" t="str">
        <f>'1. ALL DATA'!M54</f>
        <v>Fully Achieved</v>
      </c>
      <c r="G53" s="199" t="s">
        <v>224</v>
      </c>
      <c r="H53" s="135" t="str">
        <f>'1. ALL DATA'!R54</f>
        <v>Fully Achieved</v>
      </c>
      <c r="I53" s="199"/>
      <c r="J53" s="135" t="str">
        <f>'1. ALL DATA'!V54</f>
        <v>Update not provided</v>
      </c>
    </row>
    <row r="54" spans="1:47" ht="99.75" customHeight="1" x14ac:dyDescent="0.25">
      <c r="A54" s="184" t="str">
        <f>'1. ALL DATA'!A55</f>
        <v>VFM51</v>
      </c>
      <c r="B54" s="186" t="str">
        <f>'1. ALL DATA'!C55</f>
        <v>Review the Discretionary Housing Payments Policy and the Council Tax Reduction Discretionary Payments Policy</v>
      </c>
      <c r="C54" s="334" t="str">
        <f>'1. ALL DATA'!D55</f>
        <v>Carry Out a Review of the Council’s Discretionary Payment Policies 
(April 2018)</v>
      </c>
      <c r="D54" s="187" t="str">
        <f>'1. ALL DATA'!H55</f>
        <v>Fully Achieved</v>
      </c>
      <c r="E54" s="199" t="s">
        <v>224</v>
      </c>
      <c r="F54" s="187" t="str">
        <f>'1. ALL DATA'!M55</f>
        <v>Fully Achieved</v>
      </c>
      <c r="G54" s="199" t="s">
        <v>224</v>
      </c>
      <c r="H54" s="135" t="str">
        <f>'1. ALL DATA'!R55</f>
        <v>Fully Achieved</v>
      </c>
      <c r="I54" s="199"/>
      <c r="J54" s="135" t="str">
        <f>'1. ALL DATA'!V55</f>
        <v>Update not provided</v>
      </c>
    </row>
    <row r="55" spans="1:47" ht="126" x14ac:dyDescent="0.25">
      <c r="A55" s="184" t="str">
        <f>'1. ALL DATA'!A56</f>
        <v>VFM52</v>
      </c>
      <c r="B55" s="186" t="str">
        <f>'1. ALL DATA'!C56</f>
        <v>Investigate Automation of the Assessment Benefit Claims and Changes of Circumstances</v>
      </c>
      <c r="C55" s="334" t="str">
        <f>'1. ALL DATA'!D56</f>
        <v>Carry Out Pilot Study to Investigate Automation of the Assessment Benefit Claims and Changes of Circumstances 
(September 2018)</v>
      </c>
      <c r="D55" s="187" t="str">
        <f>'1. ALL DATA'!H56</f>
        <v>Not yet due</v>
      </c>
      <c r="E55" s="432" t="s">
        <v>47</v>
      </c>
      <c r="F55" s="187" t="str">
        <f>'1. ALL DATA'!M56</f>
        <v>Fully Achieved</v>
      </c>
      <c r="G55" s="199" t="s">
        <v>224</v>
      </c>
      <c r="H55" s="135" t="str">
        <f>'1. ALL DATA'!R56</f>
        <v>Fully Achieved</v>
      </c>
      <c r="I55" s="199"/>
      <c r="J55" s="135" t="str">
        <f>'1. ALL DATA'!V56</f>
        <v>Update not provided</v>
      </c>
    </row>
    <row r="56" spans="1:47" ht="99.75" customHeight="1" x14ac:dyDescent="0.25">
      <c r="A56" s="184" t="str">
        <f>'1. ALL DATA'!A57</f>
        <v>VFM53</v>
      </c>
      <c r="B56" s="186" t="str">
        <f>'1. ALL DATA'!C57</f>
        <v>Continuing to Improve Customer Access to Services</v>
      </c>
      <c r="C56" s="334" t="str">
        <f>'1. ALL DATA'!D57</f>
        <v>Introduce Payment Kiosk at Burton Customer Service Centre 
(June 2018)</v>
      </c>
      <c r="D56" s="187" t="str">
        <f>'1. ALL DATA'!H57</f>
        <v>Off Target</v>
      </c>
      <c r="E56" s="199" t="s">
        <v>224</v>
      </c>
      <c r="F56" s="187" t="str">
        <f>'1. ALL DATA'!M57</f>
        <v>Completed Behind Schedule</v>
      </c>
      <c r="G56" s="199" t="s">
        <v>224</v>
      </c>
      <c r="H56" s="135" t="str">
        <f>'1. ALL DATA'!R57</f>
        <v>Completed Behind Schedule</v>
      </c>
      <c r="I56" s="199"/>
      <c r="J56" s="135" t="str">
        <f>'1. ALL DATA'!V57</f>
        <v>Update not provided</v>
      </c>
    </row>
    <row r="57" spans="1:47" ht="99.75" customHeight="1" x14ac:dyDescent="0.25">
      <c r="A57" s="184" t="str">
        <f>'1. ALL DATA'!A58</f>
        <v>VFM54</v>
      </c>
      <c r="B57" s="186" t="str">
        <f>'1. ALL DATA'!C58</f>
        <v>Continuing to Improve Customer Access to Services</v>
      </c>
      <c r="C57" s="334" t="str">
        <f>'1. ALL DATA'!D58</f>
        <v>Plan for Amendments and Alterations to Customer Service Centre Complete
(August 2018)</v>
      </c>
      <c r="D57" s="187" t="str">
        <f>'1. ALL DATA'!H58</f>
        <v>On Track to be Achieved</v>
      </c>
      <c r="E57" s="199" t="s">
        <v>224</v>
      </c>
      <c r="F57" s="187" t="str">
        <f>'1. ALL DATA'!M58</f>
        <v>Fully Achieved</v>
      </c>
      <c r="G57" s="199" t="s">
        <v>224</v>
      </c>
      <c r="H57" s="135" t="str">
        <f>'1. ALL DATA'!R58</f>
        <v>Fully Achieved</v>
      </c>
      <c r="I57" s="199"/>
      <c r="J57" s="135" t="str">
        <f>'1. ALL DATA'!V58</f>
        <v>Update not provided</v>
      </c>
      <c r="AU57" s="34"/>
    </row>
    <row r="58" spans="1:47" s="146" customFormat="1" ht="94.5" x14ac:dyDescent="0.25">
      <c r="A58" s="184" t="str">
        <f>'1. ALL DATA'!A59</f>
        <v>VFM55</v>
      </c>
      <c r="B58" s="186" t="str">
        <f>'1. ALL DATA'!C59</f>
        <v xml:space="preserve">Maintain Commissioning Approach with Third Sector Partners </v>
      </c>
      <c r="C58" s="334" t="str">
        <f>'1. ALL DATA'!D59</f>
        <v>Procurement of at Least 2 Contract Opportunities via Third Sector Organisations
(March 2019)</v>
      </c>
      <c r="D58" s="187" t="str">
        <f>'1. ALL DATA'!H59</f>
        <v>Not yet due</v>
      </c>
      <c r="E58" s="432" t="s">
        <v>47</v>
      </c>
      <c r="F58" s="187" t="str">
        <f>'1. ALL DATA'!M59</f>
        <v>Not yet due</v>
      </c>
      <c r="G58" s="432" t="s">
        <v>47</v>
      </c>
      <c r="H58" s="135" t="str">
        <f>'1. ALL DATA'!R59</f>
        <v>Not yet due</v>
      </c>
      <c r="I58" s="199"/>
      <c r="J58" s="135" t="str">
        <f>'1. ALL DATA'!V59</f>
        <v>Update not provided</v>
      </c>
      <c r="K58" s="147"/>
      <c r="L58" s="147"/>
      <c r="M58" s="147"/>
      <c r="N58" s="148"/>
      <c r="O58" s="149"/>
      <c r="P58" s="149"/>
      <c r="Q58" s="149"/>
      <c r="R58" s="149"/>
      <c r="S58" s="150"/>
      <c r="T58" s="147"/>
      <c r="U58" s="147"/>
      <c r="V58" s="147"/>
      <c r="W58" s="147"/>
      <c r="X58" s="151"/>
      <c r="Y58" s="151"/>
      <c r="Z58" s="151"/>
      <c r="AA58" s="151"/>
      <c r="AB58" s="145"/>
      <c r="AC58" s="141"/>
      <c r="AD58" s="152"/>
      <c r="AE58" s="152"/>
      <c r="AF58" s="152"/>
      <c r="AG58" s="152"/>
      <c r="AH58" s="152"/>
      <c r="AI58" s="152"/>
      <c r="AJ58" s="152"/>
      <c r="AK58" s="152"/>
      <c r="AL58" s="152"/>
      <c r="AM58" s="152"/>
      <c r="AN58" s="152"/>
      <c r="AO58" s="152"/>
      <c r="AP58" s="152"/>
      <c r="AQ58" s="152"/>
      <c r="AR58" s="152"/>
      <c r="AS58" s="152"/>
      <c r="AT58" s="152"/>
      <c r="AU58" s="152"/>
    </row>
    <row r="59" spans="1:47" ht="99.75" customHeight="1" x14ac:dyDescent="0.25">
      <c r="A59" s="184" t="str">
        <f>'1. ALL DATA'!A60</f>
        <v>VFM56</v>
      </c>
      <c r="B59" s="186" t="str">
        <f>'1. ALL DATA'!C60</f>
        <v>Neighbourhood Fund Implementation</v>
      </c>
      <c r="C59" s="334" t="str">
        <f>'1. ALL DATA'!D60</f>
        <v>4 New Projects and 4 Existing Projects Taken to Completion</v>
      </c>
      <c r="D59" s="187" t="str">
        <f>'1. ALL DATA'!H60</f>
        <v>On Track to be Achieved</v>
      </c>
      <c r="E59" s="199" t="s">
        <v>224</v>
      </c>
      <c r="F59" s="187" t="str">
        <f>'1. ALL DATA'!M60</f>
        <v>On Track to be Achieved</v>
      </c>
      <c r="G59" s="444" t="s">
        <v>223</v>
      </c>
      <c r="H59" s="135" t="str">
        <f>'1. ALL DATA'!R60</f>
        <v>Fully Achieved</v>
      </c>
      <c r="I59" s="199"/>
      <c r="J59" s="135" t="str">
        <f>'1. ALL DATA'!V60</f>
        <v>Update not provided</v>
      </c>
    </row>
    <row r="60" spans="1:47" ht="99.75" customHeight="1" x14ac:dyDescent="0.25">
      <c r="A60" s="184" t="str">
        <f>'1. ALL DATA'!A61</f>
        <v>VFM57</v>
      </c>
      <c r="B60" s="186" t="str">
        <f>'1. ALL DATA'!C61</f>
        <v>Raise the Profile of Neighbourhood Fund (NF) and Councillor Community Fund (CCF)</v>
      </c>
      <c r="C60" s="334" t="str">
        <f>'1. ALL DATA'!D61</f>
        <v>Highlight Supported NF and CCF Projects Via Social Media Channels 
(March 2019)</v>
      </c>
      <c r="D60" s="187" t="str">
        <f>'1. ALL DATA'!H61</f>
        <v>Not yet due</v>
      </c>
      <c r="E60" s="432" t="s">
        <v>47</v>
      </c>
      <c r="F60" s="187" t="str">
        <f>'1. ALL DATA'!M61</f>
        <v>Not yet due</v>
      </c>
      <c r="G60" s="432" t="s">
        <v>47</v>
      </c>
      <c r="H60" s="135" t="str">
        <f>'1. ALL DATA'!R61</f>
        <v>Not yet due</v>
      </c>
      <c r="I60" s="199"/>
      <c r="J60" s="135" t="str">
        <f>'1. ALL DATA'!V61</f>
        <v>Update not provided</v>
      </c>
    </row>
    <row r="61" spans="1:47" ht="99.75" customHeight="1" x14ac:dyDescent="0.25">
      <c r="A61" s="357" t="str">
        <f>'1. ALL DATA'!A62</f>
        <v>VFM58</v>
      </c>
      <c r="B61" s="245" t="str">
        <f>'1. ALL DATA'!C62</f>
        <v>Brief Elected Members on New Councillor Community Fund (CCF)</v>
      </c>
      <c r="C61" s="358" t="str">
        <f>'1. ALL DATA'!D62</f>
        <v>Hold Member Workshop on the CCF Providing Guidance on Developing Community Projects 
(July 2018)</v>
      </c>
      <c r="D61" s="246" t="str">
        <f>'1. ALL DATA'!H62</f>
        <v>On Track to be Achieved</v>
      </c>
      <c r="E61" s="199" t="s">
        <v>224</v>
      </c>
      <c r="F61" s="246" t="str">
        <f>'1. ALL DATA'!M62</f>
        <v>Fully Achieved</v>
      </c>
      <c r="G61" s="199" t="s">
        <v>224</v>
      </c>
      <c r="H61" s="191" t="str">
        <f>'1. ALL DATA'!R62</f>
        <v>Fully Achieved</v>
      </c>
      <c r="I61" s="362"/>
      <c r="J61" s="191" t="str">
        <f>'1. ALL DATA'!V62</f>
        <v>Update not provided</v>
      </c>
    </row>
    <row r="62" spans="1:47" ht="25.5" customHeight="1" x14ac:dyDescent="0.25">
      <c r="A62" s="188" t="str">
        <f>'1. ALL DATA'!A63</f>
        <v>Promoting Local Economic Growth - to Benefit Local People by Turning Aspiration into Reality</v>
      </c>
      <c r="B62" s="364"/>
      <c r="C62" s="364"/>
      <c r="D62" s="364"/>
      <c r="E62" s="364"/>
      <c r="F62" s="364"/>
      <c r="G62" s="364"/>
      <c r="H62" s="364"/>
      <c r="I62" s="364"/>
      <c r="J62" s="365"/>
    </row>
    <row r="63" spans="1:47" s="349" customFormat="1" ht="69.75" customHeight="1" x14ac:dyDescent="0.3">
      <c r="A63" s="185" t="str">
        <f>'1. ALL DATA'!A64</f>
        <v>PLEG01</v>
      </c>
      <c r="B63" s="186" t="str">
        <f>'1. ALL DATA'!C64</f>
        <v>Markets Options Appraisal</v>
      </c>
      <c r="C63" s="355" t="str">
        <f>'1. ALL DATA'!D64</f>
        <v>Evaluation of Future Options for the Market Offering Completed 
(March 2019)</v>
      </c>
      <c r="D63" s="187" t="str">
        <f>'1. ALL DATA'!H64</f>
        <v>Not yet due</v>
      </c>
      <c r="E63" s="432" t="s">
        <v>47</v>
      </c>
      <c r="F63" s="187" t="str">
        <f>'1. ALL DATA'!M64</f>
        <v>Deferred</v>
      </c>
      <c r="G63" s="432" t="s">
        <v>47</v>
      </c>
      <c r="H63" s="187" t="str">
        <f>'1. ALL DATA'!R64</f>
        <v>Deferred</v>
      </c>
      <c r="I63" s="363"/>
      <c r="J63" s="187" t="str">
        <f>'1. ALL DATA'!V64</f>
        <v>Update not provided</v>
      </c>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row>
    <row r="64" spans="1:47" ht="99.75" customHeight="1" x14ac:dyDescent="0.25">
      <c r="A64" s="184" t="str">
        <f>'1. ALL DATA'!A65</f>
        <v>PLEG02</v>
      </c>
      <c r="B64" s="186" t="str">
        <f>'1. ALL DATA'!C65</f>
        <v>Major Planning Applications Determined Within 13 Weeks</v>
      </c>
      <c r="C64" s="334" t="str">
        <f>'1. ALL DATA'!D65</f>
        <v>Top Quartile as Measured Against Relevant DCLG Figures</v>
      </c>
      <c r="D64" s="187" t="str">
        <f>'1. ALL DATA'!H65</f>
        <v>On Track to be Achieved</v>
      </c>
      <c r="E64" s="199" t="s">
        <v>224</v>
      </c>
      <c r="F64" s="187" t="str">
        <f>'1. ALL DATA'!M65</f>
        <v>On Track to be Achieved</v>
      </c>
      <c r="G64" s="199" t="s">
        <v>224</v>
      </c>
      <c r="H64" s="135" t="str">
        <f>'1. ALL DATA'!R65</f>
        <v>On Track to be Achieved</v>
      </c>
      <c r="I64" s="199"/>
      <c r="J64" s="135" t="str">
        <f>'1. ALL DATA'!V65</f>
        <v>Update not provided</v>
      </c>
    </row>
    <row r="65" spans="1:10" ht="99.75" customHeight="1" x14ac:dyDescent="0.25">
      <c r="A65" s="184" t="str">
        <f>'1. ALL DATA'!A66</f>
        <v>PLEG03</v>
      </c>
      <c r="B65" s="186" t="str">
        <f>'1. ALL DATA'!C66</f>
        <v>Minor Planning Applications Determined Within 8 Weeks</v>
      </c>
      <c r="C65" s="334" t="str">
        <f>'1. ALL DATA'!D66</f>
        <v>Top Quartile as Measured Against Relevant DCLG Figures</v>
      </c>
      <c r="D65" s="187" t="str">
        <f>'1. ALL DATA'!H66</f>
        <v>On Track to be Achieved</v>
      </c>
      <c r="E65" s="199" t="s">
        <v>224</v>
      </c>
      <c r="F65" s="187" t="str">
        <f>'1. ALL DATA'!M66</f>
        <v>On Track to be Achieved</v>
      </c>
      <c r="G65" s="199" t="s">
        <v>224</v>
      </c>
      <c r="H65" s="135" t="str">
        <f>'1. ALL DATA'!R66</f>
        <v>On Track to be Achieved</v>
      </c>
      <c r="I65" s="199"/>
      <c r="J65" s="135" t="str">
        <f>'1. ALL DATA'!V66</f>
        <v>Update not provided</v>
      </c>
    </row>
    <row r="66" spans="1:10" ht="99.75" customHeight="1" x14ac:dyDescent="0.25">
      <c r="A66" s="184" t="str">
        <f>'1. ALL DATA'!A67</f>
        <v>PLEG04</v>
      </c>
      <c r="B66" s="186" t="str">
        <f>'1. ALL DATA'!C67</f>
        <v>Other Planning Applications Determined Within 8 Weeks</v>
      </c>
      <c r="C66" s="334" t="str">
        <f>'1. ALL DATA'!D67</f>
        <v>Top Quartile as Measured Against Relevant DCLG Figures</v>
      </c>
      <c r="D66" s="187" t="str">
        <f>'1. ALL DATA'!H67</f>
        <v>On Track to be Achieved</v>
      </c>
      <c r="E66" s="199" t="s">
        <v>224</v>
      </c>
      <c r="F66" s="187" t="str">
        <f>'1. ALL DATA'!M67</f>
        <v>On Track to be Achieved</v>
      </c>
      <c r="G66" s="199" t="s">
        <v>224</v>
      </c>
      <c r="H66" s="135" t="str">
        <f>'1. ALL DATA'!R67</f>
        <v>On Track to be Achieved</v>
      </c>
      <c r="I66" s="199"/>
      <c r="J66" s="135" t="str">
        <f>'1. ALL DATA'!V67</f>
        <v>Update not provided</v>
      </c>
    </row>
    <row r="67" spans="1:10" ht="99.75" customHeight="1" x14ac:dyDescent="0.25">
      <c r="A67" s="184" t="str">
        <f>'1. ALL DATA'!A68</f>
        <v>PLEG05</v>
      </c>
      <c r="B67" s="186" t="str">
        <f>'1. ALL DATA'!C68</f>
        <v xml:space="preserve">To Carry Out Necessary Work With Reference to the Transfer of the Local Land Charges Register to the Land Registry </v>
      </c>
      <c r="C67" s="334" t="str">
        <f>'1. ALL DATA'!D68</f>
        <v>Completed in Accordance With Any Legislative Requirements
(March 2019)</v>
      </c>
      <c r="D67" s="187" t="str">
        <f>'1. ALL DATA'!H68</f>
        <v>On Track to be Achieved</v>
      </c>
      <c r="E67" s="199" t="s">
        <v>224</v>
      </c>
      <c r="F67" s="187" t="str">
        <f>'1. ALL DATA'!M68</f>
        <v>On Track to be Achieved</v>
      </c>
      <c r="G67" s="199" t="s">
        <v>224</v>
      </c>
      <c r="H67" s="135" t="str">
        <f>'1. ALL DATA'!R68</f>
        <v>On Track to be Achieved</v>
      </c>
      <c r="I67" s="199"/>
      <c r="J67" s="135" t="str">
        <f>'1. ALL DATA'!V68</f>
        <v>Update not provided</v>
      </c>
    </row>
    <row r="68" spans="1:10" ht="99.75" customHeight="1" x14ac:dyDescent="0.25">
      <c r="A68" s="184" t="str">
        <f>'1. ALL DATA'!A69</f>
        <v>PLEG06</v>
      </c>
      <c r="B68" s="186" t="str">
        <f>'1. ALL DATA'!C69</f>
        <v xml:space="preserve">To Carry Out Necessary Work With Reference To Planning Legislative Changes </v>
      </c>
      <c r="C68" s="334" t="str">
        <f>'1. ALL DATA'!D69</f>
        <v>Completed in Accordance With Any Legislative Changes And Requirements
(March 2019)</v>
      </c>
      <c r="D68" s="187" t="str">
        <f>'1. ALL DATA'!H69</f>
        <v>On Track to be Achieved</v>
      </c>
      <c r="E68" s="199" t="s">
        <v>224</v>
      </c>
      <c r="F68" s="187" t="str">
        <f>'1. ALL DATA'!M69</f>
        <v>On Track to be Achieved</v>
      </c>
      <c r="G68" s="444" t="s">
        <v>223</v>
      </c>
      <c r="H68" s="135" t="str">
        <f>'1. ALL DATA'!R69</f>
        <v>Fully Achieved</v>
      </c>
      <c r="I68" s="199"/>
      <c r="J68" s="135" t="str">
        <f>'1. ALL DATA'!V69</f>
        <v>Update not provided</v>
      </c>
    </row>
    <row r="69" spans="1:10" ht="99.75" customHeight="1" x14ac:dyDescent="0.25">
      <c r="A69" s="184" t="str">
        <f>'1. ALL DATA'!A70</f>
        <v>PLEG07</v>
      </c>
      <c r="B69" s="186" t="str">
        <f>'1. ALL DATA'!C70</f>
        <v xml:space="preserve">Campaign for Improvements to Burton Train Station </v>
      </c>
      <c r="C69" s="334" t="str">
        <f>'1. ALL DATA'!D70</f>
        <v>Agree an Action Plan with Key Partners to Campaign for Improvements to Burton Train Station 
(March 2019)</v>
      </c>
      <c r="D69" s="187" t="str">
        <f>'1. ALL DATA'!H70</f>
        <v>On Track to be Achieved</v>
      </c>
      <c r="E69" s="199" t="s">
        <v>224</v>
      </c>
      <c r="F69" s="187" t="str">
        <f>'1. ALL DATA'!M70</f>
        <v>On Track to be Achieved</v>
      </c>
      <c r="G69" s="199" t="s">
        <v>224</v>
      </c>
      <c r="H69" s="135" t="str">
        <f>'1. ALL DATA'!R70</f>
        <v>On Track to be Achieved</v>
      </c>
      <c r="I69" s="199"/>
      <c r="J69" s="135" t="str">
        <f>'1. ALL DATA'!V70</f>
        <v>Update not provided</v>
      </c>
    </row>
    <row r="70" spans="1:10" ht="99.75" customHeight="1" x14ac:dyDescent="0.25">
      <c r="A70" s="184" t="str">
        <f>'1. ALL DATA'!A71</f>
        <v>PLEG08</v>
      </c>
      <c r="B70" s="186" t="str">
        <f>'1. ALL DATA'!C71</f>
        <v>Deliver Supplementary Planning Documents</v>
      </c>
      <c r="C70" s="334" t="str">
        <f>'1. ALL DATA'!D71</f>
        <v>Adoption of Open Spaces Supplementary Planning Document
(March 2019)</v>
      </c>
      <c r="D70" s="187" t="str">
        <f>'1. ALL DATA'!H71</f>
        <v>On Track to be Achieved</v>
      </c>
      <c r="E70" s="199" t="s">
        <v>224</v>
      </c>
      <c r="F70" s="187" t="str">
        <f>'1. ALL DATA'!M71</f>
        <v>On Track to be Achieved</v>
      </c>
      <c r="G70" s="199" t="s">
        <v>224</v>
      </c>
      <c r="H70" s="135" t="str">
        <f>'1. ALL DATA'!R71</f>
        <v>On Track to be Achieved</v>
      </c>
      <c r="I70" s="199"/>
      <c r="J70" s="135" t="str">
        <f>'1. ALL DATA'!V71</f>
        <v>Update not provided</v>
      </c>
    </row>
    <row r="71" spans="1:10" ht="99.75" customHeight="1" x14ac:dyDescent="0.25">
      <c r="A71" s="184" t="str">
        <f>'1. ALL DATA'!A72</f>
        <v>PLEG09</v>
      </c>
      <c r="B71" s="186" t="str">
        <f>'1. ALL DATA'!C72</f>
        <v>Implement the Brownfield and Infill Regeneration Strategy</v>
      </c>
      <c r="C71" s="334" t="str">
        <f>'1. ALL DATA'!D72</f>
        <v>Identify a Pilot Scheme for Using Commuted Sums to Facilitate Affordable Housing on Brownfield Land
(July 2018)</v>
      </c>
      <c r="D71" s="187" t="str">
        <f>'1. ALL DATA'!H72</f>
        <v>On Track to be Achieved</v>
      </c>
      <c r="E71" s="199" t="s">
        <v>224</v>
      </c>
      <c r="F71" s="187" t="str">
        <f>'1. ALL DATA'!M72</f>
        <v>Fully Achieved</v>
      </c>
      <c r="G71" s="199" t="s">
        <v>224</v>
      </c>
      <c r="H71" s="135" t="str">
        <f>'1. ALL DATA'!R72</f>
        <v>Fully Achieved</v>
      </c>
      <c r="I71" s="341"/>
      <c r="J71" s="135" t="str">
        <f>'1. ALL DATA'!V72</f>
        <v>Update not provided</v>
      </c>
    </row>
    <row r="72" spans="1:10" ht="99.75" customHeight="1" x14ac:dyDescent="0.25">
      <c r="A72" s="184" t="str">
        <f>'1. ALL DATA'!A73</f>
        <v>PLEG10</v>
      </c>
      <c r="B72" s="186" t="str">
        <f>'1. ALL DATA'!C73</f>
        <v xml:space="preserve">Deliver a Mixed-Use Scheme at Bargates </v>
      </c>
      <c r="C72" s="334" t="str">
        <f>'1. ALL DATA'!D73</f>
        <v xml:space="preserve">Complete the Sale of Bargates (Conditional on Planning Permission Being Granted) 
(July 2018) </v>
      </c>
      <c r="D72" s="187" t="str">
        <f>'1. ALL DATA'!H73</f>
        <v>Off Target</v>
      </c>
      <c r="E72" s="199" t="s">
        <v>224</v>
      </c>
      <c r="F72" s="187" t="str">
        <f>'1. ALL DATA'!M73</f>
        <v>Off Target</v>
      </c>
      <c r="G72" s="199" t="s">
        <v>224</v>
      </c>
      <c r="H72" s="135" t="str">
        <f>'1. ALL DATA'!R73</f>
        <v>Off target</v>
      </c>
      <c r="I72" s="341"/>
      <c r="J72" s="135" t="str">
        <f>'1. ALL DATA'!V73</f>
        <v>Update not provided</v>
      </c>
    </row>
    <row r="73" spans="1:10" ht="99.75" customHeight="1" x14ac:dyDescent="0.25">
      <c r="A73" s="184" t="str">
        <f>'1. ALL DATA'!A74</f>
        <v>PLEG11</v>
      </c>
      <c r="B73" s="186" t="str">
        <f>'1. ALL DATA'!C74</f>
        <v>Facilitate Inward Investment and Support Businesses Looking for Funding and Employment Opportunities Across the Region to Position the Council as a Key Contact for Inward Investment</v>
      </c>
      <c r="C73" s="334" t="str">
        <f>'1. ALL DATA'!D74</f>
        <v>(a) Conduct a Marketing Campaign Aimed at Businesses (October 2018) and; (b) Produce an Annual Report on Activity (March 2019)</v>
      </c>
      <c r="D73" s="187" t="str">
        <f>'1. ALL DATA'!H74</f>
        <v>On Track to be Achieved</v>
      </c>
      <c r="E73" s="199" t="s">
        <v>224</v>
      </c>
      <c r="F73" s="187" t="str">
        <f>'1. ALL DATA'!M74</f>
        <v>On Track to be Achieved</v>
      </c>
      <c r="G73" s="199" t="s">
        <v>224</v>
      </c>
      <c r="H73" s="135" t="str">
        <f>'1. ALL DATA'!R74</f>
        <v>On Track to be Achieved</v>
      </c>
      <c r="I73" s="341"/>
      <c r="J73" s="135" t="str">
        <f>'1. ALL DATA'!V74</f>
        <v>Update not provided</v>
      </c>
    </row>
    <row r="74" spans="1:10" ht="99.75" customHeight="1" x14ac:dyDescent="0.25">
      <c r="A74" s="184" t="str">
        <f>'1. ALL DATA'!A75</f>
        <v>PLEG12</v>
      </c>
      <c r="B74" s="186" t="str">
        <f>'1. ALL DATA'!C75</f>
        <v>Facilitate Inward Investment and Support Businesses Looking for Funding and Employment Opportunities Across the Region to Position the Council as a Key Contact for Inward Investment</v>
      </c>
      <c r="C74" s="334" t="str">
        <f>'1. ALL DATA'!D75</f>
        <v>Review the Success of the Marketing Campaign and Implement any Relevant Next Steps 
(March 2019)</v>
      </c>
      <c r="D74" s="187" t="str">
        <f>'1. ALL DATA'!H75</f>
        <v>Not yet due</v>
      </c>
      <c r="E74" s="432" t="s">
        <v>47</v>
      </c>
      <c r="F74" s="187" t="str">
        <f>'1. ALL DATA'!M75</f>
        <v>Not yet due</v>
      </c>
      <c r="G74" s="432" t="s">
        <v>47</v>
      </c>
      <c r="H74" s="135" t="str">
        <f>'1. ALL DATA'!R75</f>
        <v>Not yet due</v>
      </c>
      <c r="I74" s="199"/>
      <c r="J74" s="135" t="str">
        <f>'1. ALL DATA'!V75</f>
        <v>Update not provided</v>
      </c>
    </row>
    <row r="75" spans="1:10" ht="99.75" customHeight="1" x14ac:dyDescent="0.25">
      <c r="A75" s="184" t="str">
        <f>'1. ALL DATA'!A76</f>
        <v>PLEG13</v>
      </c>
      <c r="B75" s="186" t="str">
        <f>'1. ALL DATA'!C76</f>
        <v xml:space="preserve">Promote Local Employment Opportunities </v>
      </c>
      <c r="C75" s="334" t="str">
        <f>'1. ALL DATA'!D76</f>
        <v>Support the Delivery of Three Job Fairs 
(March 2019)</v>
      </c>
      <c r="D75" s="187" t="str">
        <f>'1. ALL DATA'!H76</f>
        <v>On Track to be Achieved</v>
      </c>
      <c r="E75" s="199" t="s">
        <v>224</v>
      </c>
      <c r="F75" s="187" t="str">
        <f>'1. ALL DATA'!M76</f>
        <v>Fully Achieved</v>
      </c>
      <c r="G75" s="199" t="s">
        <v>224</v>
      </c>
      <c r="H75" s="135" t="str">
        <f>'1. ALL DATA'!R76</f>
        <v>Fully Achieved</v>
      </c>
      <c r="I75" s="199"/>
      <c r="J75" s="135" t="str">
        <f>'1. ALL DATA'!V76</f>
        <v>Update not provided</v>
      </c>
    </row>
    <row r="76" spans="1:10" ht="99.75" customHeight="1" x14ac:dyDescent="0.25">
      <c r="A76" s="184" t="str">
        <f>'1. ALL DATA'!A77</f>
        <v>PLEG14</v>
      </c>
      <c r="B76" s="186" t="str">
        <f>'1. ALL DATA'!C77</f>
        <v>Complete the Sale of Land at Lynwood Road</v>
      </c>
      <c r="C76" s="334" t="str">
        <f>'1. ALL DATA'!D77</f>
        <v>Complete the Sale of Land at Lynwood Road for a Residential Development 
(September 2018)</v>
      </c>
      <c r="D76" s="187" t="str">
        <f>'1. ALL DATA'!H77</f>
        <v>On Track to be Achieved</v>
      </c>
      <c r="E76" s="199" t="s">
        <v>224</v>
      </c>
      <c r="F76" s="187" t="str">
        <f>'1. ALL DATA'!M77</f>
        <v>Fully Achieved</v>
      </c>
      <c r="G76" s="199" t="s">
        <v>224</v>
      </c>
      <c r="H76" s="135" t="str">
        <f>'1. ALL DATA'!R77</f>
        <v>Fully Achieved</v>
      </c>
      <c r="I76" s="199"/>
      <c r="J76" s="135" t="str">
        <f>'1. ALL DATA'!V77</f>
        <v>Update not provided</v>
      </c>
    </row>
    <row r="77" spans="1:10" ht="25.5" customHeight="1" x14ac:dyDescent="0.25">
      <c r="A77" s="188" t="str">
        <f>'1. ALL DATA'!A78</f>
        <v>Protecting and Strengthening Communities - Love Where You Live</v>
      </c>
      <c r="B77" s="364"/>
      <c r="C77" s="364"/>
      <c r="D77" s="364"/>
      <c r="E77" s="364"/>
      <c r="F77" s="364"/>
      <c r="G77" s="364"/>
      <c r="H77" s="364"/>
      <c r="I77" s="364"/>
      <c r="J77" s="365"/>
    </row>
    <row r="78" spans="1:10" ht="99.75" customHeight="1" x14ac:dyDescent="0.25">
      <c r="A78" s="184" t="str">
        <f>'1. ALL DATA'!A79</f>
        <v>PSC01</v>
      </c>
      <c r="B78" s="186" t="str">
        <f>'1. ALL DATA'!C79</f>
        <v>Increasing Opportunity for Democratic Engagement</v>
      </c>
      <c r="C78" s="334" t="str">
        <f>'1. ALL DATA'!D79</f>
        <v>Investigate Use of Digital Engagement Software for Electoral Registration 
(December 2018)</v>
      </c>
      <c r="D78" s="187" t="str">
        <f>'1. ALL DATA'!H79</f>
        <v>On Track to be Achieved</v>
      </c>
      <c r="E78" s="199" t="s">
        <v>224</v>
      </c>
      <c r="F78" s="187" t="str">
        <f>'1. ALL DATA'!M79</f>
        <v>On Track to be Achieved</v>
      </c>
      <c r="G78" s="199" t="s">
        <v>224</v>
      </c>
      <c r="H78" s="135" t="str">
        <f>'1. ALL DATA'!R79</f>
        <v>On Track to be Achieved</v>
      </c>
      <c r="I78" s="199"/>
      <c r="J78" s="135" t="str">
        <f>'1. ALL DATA'!V79</f>
        <v>Update not provided</v>
      </c>
    </row>
    <row r="79" spans="1:10" ht="99.75" customHeight="1" x14ac:dyDescent="0.25">
      <c r="A79" s="184" t="str">
        <f>'1. ALL DATA'!A80</f>
        <v>PSC02</v>
      </c>
      <c r="B79" s="186" t="str">
        <f>'1. ALL DATA'!C80</f>
        <v>Increasing Opportunity for Democratic Engagement</v>
      </c>
      <c r="C79" s="334" t="str">
        <f>'1. ALL DATA'!D80</f>
        <v>Prepare for Polling District Review 
(March 2019)</v>
      </c>
      <c r="D79" s="187" t="str">
        <f>'1. ALL DATA'!H80</f>
        <v>On Track to be Achieved</v>
      </c>
      <c r="E79" s="199" t="s">
        <v>224</v>
      </c>
      <c r="F79" s="187" t="str">
        <f>'1. ALL DATA'!M80</f>
        <v>On Track to be Achieved</v>
      </c>
      <c r="G79" s="199" t="s">
        <v>224</v>
      </c>
      <c r="H79" s="135" t="str">
        <f>'1. ALL DATA'!R80</f>
        <v>On Track to be Achieved</v>
      </c>
      <c r="I79" s="199"/>
      <c r="J79" s="135" t="str">
        <f>'1. ALL DATA'!V80</f>
        <v>Update not provided</v>
      </c>
    </row>
    <row r="80" spans="1:10" ht="87.75" x14ac:dyDescent="0.25">
      <c r="A80" s="184" t="str">
        <f>'1. ALL DATA'!A81</f>
        <v>PSC03</v>
      </c>
      <c r="B80" s="186" t="str">
        <f>'1. ALL DATA'!C81</f>
        <v>Continue to Develop SMART/Digital Approach to Improve Public Access to Services</v>
      </c>
      <c r="C80" s="334" t="str">
        <f>'1. ALL DATA'!D81</f>
        <v>Adoption of Digital Strategy 
(October 2018)</v>
      </c>
      <c r="D80" s="187" t="str">
        <f>'1. ALL DATA'!H81</f>
        <v>Not yet due</v>
      </c>
      <c r="E80" s="432" t="s">
        <v>47</v>
      </c>
      <c r="F80" s="187" t="str">
        <f>'1. ALL DATA'!M81</f>
        <v>On Track to be Achieved</v>
      </c>
      <c r="G80" s="444" t="s">
        <v>223</v>
      </c>
      <c r="H80" s="135" t="str">
        <f>'1. ALL DATA'!R81</f>
        <v>Fully Achieved</v>
      </c>
      <c r="I80" s="199"/>
      <c r="J80" s="135" t="str">
        <f>'1. ALL DATA'!V81</f>
        <v>Update not provided</v>
      </c>
    </row>
    <row r="81" spans="1:46" ht="99.75" customHeight="1" x14ac:dyDescent="0.25">
      <c r="A81" s="184" t="str">
        <f>'1. ALL DATA'!A82</f>
        <v>PSC04</v>
      </c>
      <c r="B81" s="186" t="str">
        <f>'1. ALL DATA'!C82</f>
        <v>Continue to Develop SMART/Digital Approach to Improve Public Access to Services</v>
      </c>
      <c r="C81" s="334" t="str">
        <f>'1. ALL DATA'!D82</f>
        <v>80% of 2018/19 Milestones in New Digital Strategy Achieved 
(March 2019)</v>
      </c>
      <c r="D81" s="187" t="str">
        <f>'1. ALL DATA'!H82</f>
        <v>Not yet due</v>
      </c>
      <c r="E81" s="432" t="s">
        <v>47</v>
      </c>
      <c r="F81" s="187" t="str">
        <f>'1. ALL DATA'!M82</f>
        <v>Not yet due</v>
      </c>
      <c r="G81" s="432" t="s">
        <v>47</v>
      </c>
      <c r="H81" s="135" t="str">
        <f>'1. ALL DATA'!R82</f>
        <v>Not yet due</v>
      </c>
      <c r="I81" s="198"/>
      <c r="J81" s="135" t="str">
        <f>'1. ALL DATA'!V82</f>
        <v>Update not provided</v>
      </c>
    </row>
    <row r="82" spans="1:46" ht="99.75" customHeight="1" x14ac:dyDescent="0.25">
      <c r="A82" s="184" t="str">
        <f>'1. ALL DATA'!A83</f>
        <v>PSC05</v>
      </c>
      <c r="B82" s="186" t="str">
        <f>'1. ALL DATA'!C83</f>
        <v>Continue to Develop SMART/Digital Approach to Improve Public Access to Services</v>
      </c>
      <c r="C82" s="334" t="str">
        <f>'1. ALL DATA'!D83</f>
        <v>Corporate Website Refresh Complete 
(March 2019)</v>
      </c>
      <c r="D82" s="187" t="str">
        <f>'1. ALL DATA'!H83</f>
        <v>Not yet due</v>
      </c>
      <c r="E82" s="432" t="s">
        <v>47</v>
      </c>
      <c r="F82" s="187" t="str">
        <f>'1. ALL DATA'!M83</f>
        <v>Not yet due</v>
      </c>
      <c r="G82" s="444" t="s">
        <v>223</v>
      </c>
      <c r="H82" s="135" t="str">
        <f>'1. ALL DATA'!R83</f>
        <v>On Track to be Achieved</v>
      </c>
      <c r="I82" s="199"/>
      <c r="J82" s="135" t="str">
        <f>'1. ALL DATA'!V83</f>
        <v>Update not provided</v>
      </c>
    </row>
    <row r="83" spans="1:46" ht="99.75" customHeight="1" x14ac:dyDescent="0.25">
      <c r="A83" s="184" t="str">
        <f>'1. ALL DATA'!A84</f>
        <v>PSC06</v>
      </c>
      <c r="B83" s="186" t="str">
        <f>'1. ALL DATA'!C84</f>
        <v>Improving Public Art in the Borough</v>
      </c>
      <c r="C83" s="334" t="str">
        <f>'1. ALL DATA'!D84</f>
        <v>Develop a Project Plan for the Delivery of Public Art Including;    New Public Art Commissions Including Both Permanent and Temporary Pieces     Investigating the Feasibility of Moving the Malt Shovel 
(August 2018)</v>
      </c>
      <c r="D83" s="187" t="str">
        <f>'1. ALL DATA'!H84</f>
        <v>On Track to be Achieved</v>
      </c>
      <c r="E83" s="199" t="s">
        <v>224</v>
      </c>
      <c r="F83" s="187" t="str">
        <f>'1. ALL DATA'!M84</f>
        <v>Fully Achieved</v>
      </c>
      <c r="G83" s="199" t="s">
        <v>224</v>
      </c>
      <c r="H83" s="135" t="str">
        <f>'1. ALL DATA'!R84</f>
        <v>Fully Achieved</v>
      </c>
      <c r="I83" s="199"/>
      <c r="J83" s="135" t="str">
        <f>'1. ALL DATA'!V84</f>
        <v>Update not provided</v>
      </c>
    </row>
    <row r="84" spans="1:46" ht="99.75" customHeight="1" x14ac:dyDescent="0.25">
      <c r="A84" s="184" t="str">
        <f>'1. ALL DATA'!A85</f>
        <v>PSC07</v>
      </c>
      <c r="B84" s="186" t="str">
        <f>'1. ALL DATA'!C85</f>
        <v>Community Sport and Health Development Initiatives</v>
      </c>
      <c r="C84" s="334" t="str">
        <f>'1. ALL DATA'!D85</f>
        <v>Re-Launch the Council’s Disability Sport Programme Under the “Able Too” Brand
(July 2018)</v>
      </c>
      <c r="D84" s="187" t="str">
        <f>'1. ALL DATA'!H85</f>
        <v>On Track to be Achieved</v>
      </c>
      <c r="E84" s="199" t="s">
        <v>224</v>
      </c>
      <c r="F84" s="187" t="str">
        <f>'1. ALL DATA'!M85</f>
        <v>Fully Achieved</v>
      </c>
      <c r="G84" s="199" t="s">
        <v>224</v>
      </c>
      <c r="H84" s="135" t="str">
        <f>'1. ALL DATA'!R85</f>
        <v>Fully Achieved</v>
      </c>
      <c r="I84" s="199"/>
      <c r="J84" s="135" t="str">
        <f>'1. ALL DATA'!V85</f>
        <v>Update not provided</v>
      </c>
    </row>
    <row r="85" spans="1:46" s="146" customFormat="1" ht="126" x14ac:dyDescent="0.25">
      <c r="A85" s="184" t="str">
        <f>'1. ALL DATA'!A86</f>
        <v>PSC08</v>
      </c>
      <c r="B85" s="186" t="str">
        <f>'1. ALL DATA'!C86</f>
        <v xml:space="preserve">Delivering Open Space Improvement Initiatives </v>
      </c>
      <c r="C85" s="334" t="str">
        <f>'1. ALL DATA'!D86</f>
        <v>Management Strategy Prepared and Ready for 2019 Green Flag Submission, Including the Washlands and Stapenhill Gardens 
(January 2019)</v>
      </c>
      <c r="D85" s="187" t="str">
        <f>'1. ALL DATA'!H86</f>
        <v>Not yet due</v>
      </c>
      <c r="E85" s="432" t="s">
        <v>47</v>
      </c>
      <c r="F85" s="187" t="str">
        <f>'1. ALL DATA'!M86</f>
        <v>Not yet due</v>
      </c>
      <c r="G85" s="444" t="s">
        <v>223</v>
      </c>
      <c r="H85" s="135" t="str">
        <f>'1. ALL DATA'!R86</f>
        <v>On Track to be Achieved</v>
      </c>
      <c r="I85" s="199"/>
      <c r="J85" s="135" t="str">
        <f>'1. ALL DATA'!V86</f>
        <v>Update not provided</v>
      </c>
      <c r="K85" s="153"/>
      <c r="L85" s="153"/>
      <c r="M85" s="154"/>
      <c r="N85" s="155"/>
      <c r="O85" s="156"/>
      <c r="P85" s="156"/>
      <c r="Q85" s="156"/>
      <c r="R85" s="154"/>
      <c r="S85" s="157"/>
      <c r="T85" s="153"/>
      <c r="U85" s="153"/>
      <c r="V85" s="158"/>
      <c r="W85" s="153"/>
      <c r="X85" s="154"/>
      <c r="Y85" s="154"/>
      <c r="Z85" s="154"/>
      <c r="AA85" s="154"/>
      <c r="AB85" s="145"/>
      <c r="AC85" s="141"/>
      <c r="AD85" s="152"/>
      <c r="AE85" s="152"/>
      <c r="AF85" s="152"/>
      <c r="AG85" s="152"/>
      <c r="AH85" s="152"/>
      <c r="AI85" s="152"/>
      <c r="AJ85" s="152"/>
      <c r="AK85" s="152"/>
      <c r="AL85" s="152"/>
      <c r="AM85" s="152"/>
      <c r="AN85" s="152"/>
      <c r="AO85" s="152"/>
      <c r="AP85" s="152"/>
      <c r="AQ85" s="152"/>
      <c r="AR85" s="152"/>
      <c r="AS85" s="152"/>
      <c r="AT85" s="152"/>
    </row>
    <row r="86" spans="1:46" s="349" customFormat="1" ht="103.5" customHeight="1" x14ac:dyDescent="0.3">
      <c r="A86" s="184" t="str">
        <f>'1. ALL DATA'!A87</f>
        <v>PSC09</v>
      </c>
      <c r="B86" s="186" t="str">
        <f>'1. ALL DATA'!C87</f>
        <v>Delivering Open Space Improvement Initiatives</v>
      </c>
      <c r="C86" s="334" t="str">
        <f>'1. ALL DATA'!D87</f>
        <v>Develop Proposals for the Improvement of the Memorial Gardens, Abbot’s Garden and Andressey Passage 
(June 2018)</v>
      </c>
      <c r="D86" s="187" t="str">
        <f>'1. ALL DATA'!H87</f>
        <v>Fully Achieved</v>
      </c>
      <c r="E86" s="199" t="s">
        <v>224</v>
      </c>
      <c r="F86" s="187" t="str">
        <f>'1. ALL DATA'!M87</f>
        <v>Fully Achieved</v>
      </c>
      <c r="G86" s="199" t="s">
        <v>224</v>
      </c>
      <c r="H86" s="135" t="str">
        <f>'1. ALL DATA'!R87</f>
        <v>Fully Achieved</v>
      </c>
      <c r="I86" s="366"/>
      <c r="J86" s="135" t="str">
        <f>'1. ALL DATA'!V87</f>
        <v>Update not provided</v>
      </c>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row>
    <row r="87" spans="1:46" ht="99.75" customHeight="1" x14ac:dyDescent="0.25">
      <c r="A87" s="184" t="str">
        <f>'1. ALL DATA'!A88</f>
        <v>PSC10</v>
      </c>
      <c r="B87" s="186" t="str">
        <f>'1. ALL DATA'!C88</f>
        <v xml:space="preserve">Delivering Open Space Improvement Initiatives </v>
      </c>
      <c r="C87" s="334" t="str">
        <f>'1. ALL DATA'!D88</f>
        <v>Submit an Application to The National Forest for Grant Support 
(November 2018)</v>
      </c>
      <c r="D87" s="187" t="str">
        <f>'1. ALL DATA'!H88</f>
        <v>Not yet due</v>
      </c>
      <c r="E87" s="432" t="s">
        <v>47</v>
      </c>
      <c r="F87" s="187" t="str">
        <f>'1. ALL DATA'!M88</f>
        <v>On Track to be Achieved</v>
      </c>
      <c r="G87" s="444" t="s">
        <v>223</v>
      </c>
      <c r="H87" s="135" t="str">
        <f>'1. ALL DATA'!R88</f>
        <v>Fully Achieved</v>
      </c>
      <c r="I87" s="199"/>
      <c r="J87" s="135" t="str">
        <f>'1. ALL DATA'!V88</f>
        <v>Update not provided</v>
      </c>
    </row>
    <row r="88" spans="1:46" ht="99.75" customHeight="1" x14ac:dyDescent="0.25">
      <c r="A88" s="184" t="str">
        <f>'1. ALL DATA'!A89</f>
        <v>PSC11</v>
      </c>
      <c r="B88" s="186" t="str">
        <f>'1. ALL DATA'!C89</f>
        <v>Review The Provision Of Cycle Facilities On Open Spaces And Car Parks</v>
      </c>
      <c r="C88" s="334" t="str">
        <f>'1. ALL DATA'!D89</f>
        <v>Review of Cycle Facilities Complete 
(October 2018)</v>
      </c>
      <c r="D88" s="187" t="str">
        <f>'1. ALL DATA'!H89</f>
        <v>Not yet due</v>
      </c>
      <c r="E88" s="432" t="s">
        <v>47</v>
      </c>
      <c r="F88" s="187" t="str">
        <f>'1. ALL DATA'!M89</f>
        <v>On Track to be Achieved</v>
      </c>
      <c r="G88" s="444" t="s">
        <v>223</v>
      </c>
      <c r="H88" s="135" t="str">
        <f>'1. ALL DATA'!R89</f>
        <v>Fully Achieved</v>
      </c>
      <c r="I88" s="199"/>
      <c r="J88" s="135" t="str">
        <f>'1. ALL DATA'!V89</f>
        <v>Update not provided</v>
      </c>
    </row>
    <row r="89" spans="1:46" ht="99.75" customHeight="1" x14ac:dyDescent="0.25">
      <c r="A89" s="184" t="str">
        <f>'1. ALL DATA'!A90</f>
        <v>PSC12</v>
      </c>
      <c r="B89" s="186" t="str">
        <f>'1. ALL DATA'!C90</f>
        <v>Green Flag Awards</v>
      </c>
      <c r="C89" s="334" t="str">
        <f>'1. ALL DATA'!D90</f>
        <v>Achieve 2 Green Flag Awards at Bramshall Park and Stapenhill Gardens</v>
      </c>
      <c r="D89" s="187" t="str">
        <f>'1. ALL DATA'!H90</f>
        <v>Not yet due</v>
      </c>
      <c r="E89" s="432" t="s">
        <v>47</v>
      </c>
      <c r="F89" s="187" t="str">
        <f>'1. ALL DATA'!M90</f>
        <v>Fully Achieved</v>
      </c>
      <c r="G89" s="199" t="s">
        <v>224</v>
      </c>
      <c r="H89" s="135" t="str">
        <f>'1. ALL DATA'!R90</f>
        <v>Fully Achieved</v>
      </c>
      <c r="I89" s="199"/>
      <c r="J89" s="135" t="str">
        <f>'1. ALL DATA'!V90</f>
        <v>Update not provided</v>
      </c>
    </row>
    <row r="90" spans="1:46" ht="99.75" customHeight="1" x14ac:dyDescent="0.25">
      <c r="A90" s="184" t="str">
        <f>'1. ALL DATA'!A91</f>
        <v>PSC13</v>
      </c>
      <c r="B90" s="186" t="str">
        <f>'1. ALL DATA'!C91</f>
        <v xml:space="preserve">In Bloom Awards </v>
      </c>
      <c r="C90" s="334" t="str">
        <f>'1. ALL DATA'!D91</f>
        <v>Achieve 3 In Bloom Gold Awards at Winshill, Burton And Uttoxeter</v>
      </c>
      <c r="D90" s="187" t="str">
        <f>'1. ALL DATA'!H91</f>
        <v>Not yet due</v>
      </c>
      <c r="E90" s="432" t="s">
        <v>47</v>
      </c>
      <c r="F90" s="187" t="str">
        <f>'1. ALL DATA'!M91</f>
        <v>Fully Achieved</v>
      </c>
      <c r="G90" s="199" t="s">
        <v>224</v>
      </c>
      <c r="H90" s="135" t="str">
        <f>'1. ALL DATA'!R91</f>
        <v>Fully Achieved</v>
      </c>
      <c r="I90" s="199"/>
      <c r="J90" s="135" t="str">
        <f>'1. ALL DATA'!V91</f>
        <v>Update not provided</v>
      </c>
    </row>
    <row r="91" spans="1:46" ht="99.75" customHeight="1" x14ac:dyDescent="0.25">
      <c r="A91" s="184" t="str">
        <f>'1. ALL DATA'!A92</f>
        <v>PSC14</v>
      </c>
      <c r="B91" s="186" t="str">
        <f>'1. ALL DATA'!C92</f>
        <v>In Bloom Awards</v>
      </c>
      <c r="C91" s="334" t="str">
        <f>'1. ALL DATA'!D92</f>
        <v>Achieve a Minimum of 5 Silver Gilt and Above for In Bloom Parks Awards. Including; Branston Water Park, Stapenhill Cemetery, Bramshall Park, Winshill (Mill Hill Lane) and Shobnall Fields.</v>
      </c>
      <c r="D91" s="187" t="str">
        <f>'1. ALL DATA'!H92</f>
        <v>Not yet due</v>
      </c>
      <c r="E91" s="432" t="s">
        <v>47</v>
      </c>
      <c r="F91" s="187" t="str">
        <f>'1. ALL DATA'!M92</f>
        <v>Fully Achieved</v>
      </c>
      <c r="G91" s="199" t="s">
        <v>224</v>
      </c>
      <c r="H91" s="135" t="str">
        <f>'1. ALL DATA'!R92</f>
        <v>Fully Achieved</v>
      </c>
      <c r="I91" s="199"/>
      <c r="J91" s="135" t="str">
        <f>'1. ALL DATA'!V92</f>
        <v>Update not provided</v>
      </c>
    </row>
    <row r="92" spans="1:46" ht="99.75" customHeight="1" x14ac:dyDescent="0.25">
      <c r="A92" s="184" t="str">
        <f>'1. ALL DATA'!A93</f>
        <v>PSC15</v>
      </c>
      <c r="B92" s="186" t="str">
        <f>'1. ALL DATA'!C93</f>
        <v>In Bloom Awards</v>
      </c>
      <c r="C92" s="334" t="str">
        <f>'1. ALL DATA'!D93</f>
        <v>Expand the In Bloom Federation, Achieving 1 Additional Member</v>
      </c>
      <c r="D92" s="187" t="str">
        <f>'1. ALL DATA'!H93</f>
        <v>Fully Achieved</v>
      </c>
      <c r="E92" s="199" t="s">
        <v>224</v>
      </c>
      <c r="F92" s="187" t="str">
        <f>'1. ALL DATA'!M93</f>
        <v>Fully Achieved</v>
      </c>
      <c r="G92" s="199" t="s">
        <v>224</v>
      </c>
      <c r="H92" s="135" t="str">
        <f>'1. ALL DATA'!R93</f>
        <v>Fully Achieved</v>
      </c>
      <c r="I92" s="199"/>
      <c r="J92" s="135" t="str">
        <f>'1. ALL DATA'!V93</f>
        <v>Update not provided</v>
      </c>
    </row>
    <row r="93" spans="1:46" ht="99.75" customHeight="1" x14ac:dyDescent="0.25">
      <c r="A93" s="184" t="str">
        <f>'1. ALL DATA'!A94</f>
        <v>PSC16</v>
      </c>
      <c r="B93" s="186" t="str">
        <f>'1. ALL DATA'!C94</f>
        <v>Adult Safeguarding Training Programme</v>
      </c>
      <c r="C93" s="334" t="str">
        <f>'1. ALL DATA'!D94</f>
        <v>Deliver Training to Services Which Have Contact With Vulnerable Adults: Housing; Licensing; Enforcement; Revenues and Benefits 
(March 2019)</v>
      </c>
      <c r="D93" s="187" t="str">
        <f>'1. ALL DATA'!H94</f>
        <v>Not yet due</v>
      </c>
      <c r="E93" s="432" t="s">
        <v>47</v>
      </c>
      <c r="F93" s="187" t="str">
        <f>'1. ALL DATA'!M94</f>
        <v>Fully Achieved</v>
      </c>
      <c r="G93" s="199" t="s">
        <v>224</v>
      </c>
      <c r="H93" s="135" t="str">
        <f>'1. ALL DATA'!R94</f>
        <v>Fully Achieved</v>
      </c>
      <c r="I93" s="199"/>
      <c r="J93" s="135" t="str">
        <f>'1. ALL DATA'!V94</f>
        <v>Update not provided</v>
      </c>
    </row>
    <row r="94" spans="1:46" ht="99.75" customHeight="1" x14ac:dyDescent="0.25">
      <c r="A94" s="184" t="str">
        <f>'1. ALL DATA'!A95</f>
        <v>PSC17</v>
      </c>
      <c r="B94" s="186" t="str">
        <f>'1. ALL DATA'!C95</f>
        <v>Prepare a Succession Plan for Volunteers Running the GO Garden Project</v>
      </c>
      <c r="C94" s="334" t="str">
        <f>'1. ALL DATA'!D95</f>
        <v>Plan Approved Ready for Implementation for 2019 Growing Season 
(October 2018)</v>
      </c>
      <c r="D94" s="187" t="str">
        <f>'1. ALL DATA'!H95</f>
        <v>On Track to be Achieved</v>
      </c>
      <c r="E94" s="199" t="s">
        <v>224</v>
      </c>
      <c r="F94" s="187" t="str">
        <f>'1. ALL DATA'!M95</f>
        <v>On Track to be Achieved</v>
      </c>
      <c r="G94" s="199" t="s">
        <v>224</v>
      </c>
      <c r="H94" s="135" t="str">
        <f>'1. ALL DATA'!R95</f>
        <v>Fully Achieved</v>
      </c>
      <c r="I94" s="199"/>
      <c r="J94" s="135" t="str">
        <f>'1. ALL DATA'!V95</f>
        <v>Update not provided</v>
      </c>
    </row>
    <row r="95" spans="1:46" ht="99.75" customHeight="1" x14ac:dyDescent="0.25">
      <c r="A95" s="184" t="str">
        <f>'1. ALL DATA'!A96</f>
        <v>PSC18</v>
      </c>
      <c r="B95" s="186" t="str">
        <f>'1. ALL DATA'!C96</f>
        <v>Maintain Top Quartile Performance For Street Cleansing - Litter</v>
      </c>
      <c r="C95" s="359">
        <v>0</v>
      </c>
      <c r="D95" s="187" t="str">
        <f>'1. ALL DATA'!H96</f>
        <v>Not yet due</v>
      </c>
      <c r="E95" s="432" t="s">
        <v>47</v>
      </c>
      <c r="F95" s="187" t="str">
        <f>'1. ALL DATA'!M96</f>
        <v>On Track to be Achieved</v>
      </c>
      <c r="G95" s="199" t="s">
        <v>224</v>
      </c>
      <c r="H95" s="135" t="str">
        <f>'1. ALL DATA'!R96</f>
        <v>On Track to be Achieved</v>
      </c>
      <c r="I95" s="199"/>
      <c r="J95" s="135" t="str">
        <f>'1. ALL DATA'!V96</f>
        <v>Update not provided</v>
      </c>
    </row>
    <row r="96" spans="1:46" ht="99.75" customHeight="1" x14ac:dyDescent="0.25">
      <c r="A96" s="184" t="str">
        <f>'1. ALL DATA'!A97</f>
        <v>PSC19</v>
      </c>
      <c r="B96" s="186" t="str">
        <f>'1. ALL DATA'!C97</f>
        <v>Maintain Top Quartile Performance For Street Cleansing - Detritus</v>
      </c>
      <c r="C96" s="359">
        <v>0.01</v>
      </c>
      <c r="D96" s="187" t="str">
        <f>'1. ALL DATA'!H97</f>
        <v>Not yet due</v>
      </c>
      <c r="E96" s="432" t="s">
        <v>47</v>
      </c>
      <c r="F96" s="187" t="str">
        <f>'1. ALL DATA'!M97</f>
        <v>On Track to be Achieved</v>
      </c>
      <c r="G96" s="199" t="s">
        <v>224</v>
      </c>
      <c r="H96" s="135" t="str">
        <f>'1. ALL DATA'!R97</f>
        <v>On Track to be Achieved</v>
      </c>
      <c r="I96" s="199"/>
      <c r="J96" s="135" t="str">
        <f>'1. ALL DATA'!V97</f>
        <v>Update not provided</v>
      </c>
    </row>
    <row r="97" spans="1:10" ht="99.75" customHeight="1" x14ac:dyDescent="0.25">
      <c r="A97" s="184" t="str">
        <f>'1. ALL DATA'!A98</f>
        <v>PSC20</v>
      </c>
      <c r="B97" s="186" t="str">
        <f>'1. ALL DATA'!C98</f>
        <v>Maintain Top Quartile Performance For Street Cleansing - Graffiti</v>
      </c>
      <c r="C97" s="359">
        <v>0</v>
      </c>
      <c r="D97" s="187" t="str">
        <f>'1. ALL DATA'!H98</f>
        <v>Not yet due</v>
      </c>
      <c r="E97" s="432" t="s">
        <v>47</v>
      </c>
      <c r="F97" s="187" t="str">
        <f>'1. ALL DATA'!M98</f>
        <v>On Track to be Achieved</v>
      </c>
      <c r="G97" s="199" t="s">
        <v>224</v>
      </c>
      <c r="H97" s="135" t="str">
        <f>'1. ALL DATA'!R98</f>
        <v>On Track to be Achieved</v>
      </c>
      <c r="I97" s="199"/>
      <c r="J97" s="135" t="str">
        <f>'1. ALL DATA'!V98</f>
        <v>Update not provided</v>
      </c>
    </row>
    <row r="98" spans="1:10" ht="99.75" customHeight="1" x14ac:dyDescent="0.25">
      <c r="A98" s="184" t="str">
        <f>'1. ALL DATA'!A99</f>
        <v>PSC21</v>
      </c>
      <c r="B98" s="186" t="str">
        <f>'1. ALL DATA'!C99</f>
        <v>Maintain Top Quartile Performance For Street Cleansing – Fly-Posting</v>
      </c>
      <c r="C98" s="359">
        <v>0</v>
      </c>
      <c r="D98" s="187" t="str">
        <f>'1. ALL DATA'!H99</f>
        <v>Not yet due</v>
      </c>
      <c r="E98" s="432" t="s">
        <v>47</v>
      </c>
      <c r="F98" s="187" t="str">
        <f>'1. ALL DATA'!M99</f>
        <v>On Track to be Achieved</v>
      </c>
      <c r="G98" s="199" t="s">
        <v>224</v>
      </c>
      <c r="H98" s="135" t="str">
        <f>'1. ALL DATA'!R99</f>
        <v>On Track to be Achieved</v>
      </c>
      <c r="I98" s="199"/>
      <c r="J98" s="135" t="str">
        <f>'1. ALL DATA'!V99</f>
        <v>Update not provided</v>
      </c>
    </row>
    <row r="99" spans="1:10" ht="99.75" customHeight="1" x14ac:dyDescent="0.25">
      <c r="A99" s="184" t="str">
        <f>'1. ALL DATA'!A100</f>
        <v>PSC22</v>
      </c>
      <c r="B99" s="186" t="str">
        <f>'1. ALL DATA'!C100</f>
        <v xml:space="preserve">Maintain Top Quartile Performance On Recycling </v>
      </c>
      <c r="C99" s="334" t="str">
        <f>'1. ALL DATA'!D100</f>
        <v>Household Waste Recycled and Composted:
50%</v>
      </c>
      <c r="D99" s="187" t="str">
        <f>'1. ALL DATA'!H100</f>
        <v>On Track to be Achieved</v>
      </c>
      <c r="E99" s="199" t="s">
        <v>224</v>
      </c>
      <c r="F99" s="187" t="str">
        <f>'1. ALL DATA'!M100</f>
        <v>On Track to be Achieved</v>
      </c>
      <c r="G99" s="444" t="s">
        <v>222</v>
      </c>
      <c r="H99" s="135" t="str">
        <f>'1. ALL DATA'!R100</f>
        <v>In Danger of Falling Behind Target</v>
      </c>
      <c r="I99" s="199"/>
      <c r="J99" s="135" t="str">
        <f>'1. ALL DATA'!V100</f>
        <v>Update not provided</v>
      </c>
    </row>
    <row r="100" spans="1:10" ht="99.75" customHeight="1" x14ac:dyDescent="0.25">
      <c r="A100" s="184" t="str">
        <f>'1. ALL DATA'!A101</f>
        <v>PSC23</v>
      </c>
      <c r="B100" s="186" t="str">
        <f>'1. ALL DATA'!C101</f>
        <v xml:space="preserve">Maintain Top Quartile Performance On Waste Reduction </v>
      </c>
      <c r="C100" s="334" t="str">
        <f>'1. ALL DATA'!D101</f>
        <v>Residual Household Waste Per Household:
475kg</v>
      </c>
      <c r="D100" s="187" t="str">
        <f>'1. ALL DATA'!H101</f>
        <v>On Track to be Achieved</v>
      </c>
      <c r="E100" s="199" t="s">
        <v>224</v>
      </c>
      <c r="F100" s="187" t="str">
        <f>'1. ALL DATA'!M101</f>
        <v>On Track to be Achieved</v>
      </c>
      <c r="G100" s="199" t="s">
        <v>224</v>
      </c>
      <c r="H100" s="135" t="str">
        <f>'1. ALL DATA'!R101</f>
        <v>On Track to be Achieved</v>
      </c>
      <c r="I100" s="199"/>
      <c r="J100" s="135" t="str">
        <f>'1. ALL DATA'!V101</f>
        <v>Update not provided</v>
      </c>
    </row>
    <row r="101" spans="1:10" ht="99.75" customHeight="1" x14ac:dyDescent="0.25">
      <c r="A101" s="184" t="str">
        <f>'1. ALL DATA'!A102</f>
        <v>PSC24</v>
      </c>
      <c r="B101" s="186" t="str">
        <f>'1. ALL DATA'!C102</f>
        <v>Continue to Increase Public Awareness Of Recycling and Other Environmental Issues Such as Street Cleanliness</v>
      </c>
      <c r="C101" s="334" t="str">
        <f>'1. ALL DATA'!D102</f>
        <v>Produce and Implement New Communications Plan
(December 2018)</v>
      </c>
      <c r="D101" s="187" t="str">
        <f>'1. ALL DATA'!H102</f>
        <v>Not yet due</v>
      </c>
      <c r="E101" s="432" t="s">
        <v>47</v>
      </c>
      <c r="F101" s="187" t="str">
        <f>'1. ALL DATA'!M102</f>
        <v>Not yet due</v>
      </c>
      <c r="G101" s="444" t="s">
        <v>223</v>
      </c>
      <c r="H101" s="135" t="str">
        <f>'1. ALL DATA'!R102</f>
        <v>Fully Achieved</v>
      </c>
      <c r="I101" s="199"/>
      <c r="J101" s="135" t="str">
        <f>'1. ALL DATA'!V102</f>
        <v>Update not provided</v>
      </c>
    </row>
    <row r="102" spans="1:10" ht="99.75" customHeight="1" x14ac:dyDescent="0.25">
      <c r="A102" s="184" t="str">
        <f>'1. ALL DATA'!A103</f>
        <v>PSC25</v>
      </c>
      <c r="B102" s="186" t="str">
        <f>'1. ALL DATA'!C103</f>
        <v>Guidance to Support Planning Services</v>
      </c>
      <c r="C102" s="334" t="str">
        <f>'1. ALL DATA'!D103</f>
        <v>Introduce New Cannock Chase Special Area of Conservation (SAC) Guidance
(April 2018)</v>
      </c>
      <c r="D102" s="187" t="str">
        <f>'1. ALL DATA'!H103</f>
        <v>Fully Achieved</v>
      </c>
      <c r="E102" s="199" t="s">
        <v>224</v>
      </c>
      <c r="F102" s="187" t="str">
        <f>'1. ALL DATA'!M103</f>
        <v>Fully Achieved</v>
      </c>
      <c r="G102" s="199" t="s">
        <v>224</v>
      </c>
      <c r="H102" s="135" t="str">
        <f>'1. ALL DATA'!R103</f>
        <v>Fully Achieved</v>
      </c>
      <c r="I102" s="199"/>
      <c r="J102" s="135" t="str">
        <f>'1. ALL DATA'!V103</f>
        <v>Update not provided</v>
      </c>
    </row>
    <row r="103" spans="1:10" ht="99.75" customHeight="1" x14ac:dyDescent="0.25">
      <c r="A103" s="184" t="str">
        <f>'1. ALL DATA'!A104</f>
        <v>PSC26</v>
      </c>
      <c r="B103" s="186" t="str">
        <f>'1. ALL DATA'!C104</f>
        <v>Guidance to Support Planning Services</v>
      </c>
      <c r="C103" s="334" t="str">
        <f>'1. ALL DATA'!D104</f>
        <v>Devise Borough-wide Planting Guidance 
(June 2018)</v>
      </c>
      <c r="D103" s="187" t="str">
        <f>'1. ALL DATA'!H104</f>
        <v>Fully Achieved</v>
      </c>
      <c r="E103" s="199" t="s">
        <v>224</v>
      </c>
      <c r="F103" s="187" t="str">
        <f>'1. ALL DATA'!M104</f>
        <v>Fully Achieved</v>
      </c>
      <c r="G103" s="199" t="s">
        <v>224</v>
      </c>
      <c r="H103" s="135" t="str">
        <f>'1. ALL DATA'!R104</f>
        <v>Fully Achieved</v>
      </c>
      <c r="I103" s="199"/>
      <c r="J103" s="135" t="str">
        <f>'1. ALL DATA'!V104</f>
        <v>Update not provided</v>
      </c>
    </row>
    <row r="104" spans="1:10" ht="99.75" customHeight="1" x14ac:dyDescent="0.25">
      <c r="A104" s="184" t="str">
        <f>'1. ALL DATA'!A105</f>
        <v>PSC27</v>
      </c>
      <c r="B104" s="186" t="str">
        <f>'1. ALL DATA'!C105</f>
        <v>Guidance to Support Planning Services</v>
      </c>
      <c r="C104" s="334" t="str">
        <f>'1. ALL DATA'!D105</f>
        <v>Introduce New Heritage Impact Assessment Guidance Notes 
(April 2018)</v>
      </c>
      <c r="D104" s="187" t="str">
        <f>'1. ALL DATA'!H105</f>
        <v>Fully Achieved</v>
      </c>
      <c r="E104" s="199" t="s">
        <v>224</v>
      </c>
      <c r="F104" s="187" t="str">
        <f>'1. ALL DATA'!M105</f>
        <v>Fully Achieved</v>
      </c>
      <c r="G104" s="199" t="s">
        <v>224</v>
      </c>
      <c r="H104" s="135" t="str">
        <f>'1. ALL DATA'!R105</f>
        <v>Fully Achieved</v>
      </c>
      <c r="I104" s="199"/>
      <c r="J104" s="135" t="str">
        <f>'1. ALL DATA'!V105</f>
        <v>Update not provided</v>
      </c>
    </row>
    <row r="105" spans="1:10" ht="99.75" customHeight="1" x14ac:dyDescent="0.25">
      <c r="A105" s="184" t="str">
        <f>'1. ALL DATA'!A106</f>
        <v>PSC28</v>
      </c>
      <c r="B105" s="186" t="str">
        <f>'1. ALL DATA'!C106</f>
        <v>Delivery of Strategic Housing and Employment Sites</v>
      </c>
      <c r="C105" s="334" t="str">
        <f>'1. ALL DATA'!D106</f>
        <v>Strategic Site Progress Report Prepared 
(December 2018)</v>
      </c>
      <c r="D105" s="187" t="str">
        <f>'1. ALL DATA'!H106</f>
        <v>Not yet due</v>
      </c>
      <c r="E105" s="432" t="s">
        <v>47</v>
      </c>
      <c r="F105" s="187" t="str">
        <f>'1. ALL DATA'!M106</f>
        <v>On Track to be Achieved</v>
      </c>
      <c r="G105" s="444" t="s">
        <v>223</v>
      </c>
      <c r="H105" s="135" t="str">
        <f>'1. ALL DATA'!R106</f>
        <v>Fully Achieved</v>
      </c>
      <c r="I105" s="199"/>
      <c r="J105" s="135" t="str">
        <f>'1. ALL DATA'!V106</f>
        <v>Update not provided</v>
      </c>
    </row>
    <row r="106" spans="1:10" ht="99.75" customHeight="1" x14ac:dyDescent="0.25">
      <c r="A106" s="184" t="str">
        <f>'1. ALL DATA'!A107</f>
        <v>PSC29</v>
      </c>
      <c r="B106" s="186" t="str">
        <f>'1. ALL DATA'!C107</f>
        <v xml:space="preserve">Monitor Local Plan Performance </v>
      </c>
      <c r="C106" s="334" t="str">
        <f>'1. ALL DATA'!D107</f>
        <v>Annual Monitoring Report Prepared
(November 2018)</v>
      </c>
      <c r="D106" s="187" t="str">
        <f>'1. ALL DATA'!H107</f>
        <v>Not yet due</v>
      </c>
      <c r="E106" s="432" t="s">
        <v>47</v>
      </c>
      <c r="F106" s="187" t="str">
        <f>'1. ALL DATA'!M107</f>
        <v>On Track to be Achieved</v>
      </c>
      <c r="G106" s="444" t="s">
        <v>223</v>
      </c>
      <c r="H106" s="135" t="str">
        <f>'1. ALL DATA'!R107</f>
        <v>Fully Achieved</v>
      </c>
      <c r="I106" s="199"/>
      <c r="J106" s="135" t="str">
        <f>'1. ALL DATA'!V107</f>
        <v>Update not provided</v>
      </c>
    </row>
    <row r="107" spans="1:10" ht="99.75" customHeight="1" x14ac:dyDescent="0.25">
      <c r="A107" s="184" t="str">
        <f>'1. ALL DATA'!A108</f>
        <v>PSC30</v>
      </c>
      <c r="B107" s="186" t="str">
        <f>'1. ALL DATA'!C108</f>
        <v>Guidance to Support Planning Services</v>
      </c>
      <c r="C107" s="334" t="str">
        <f>'1. ALL DATA'!D108</f>
        <v>Introduce New Protocol to Neighbourhood Planning 
(June 2018)</v>
      </c>
      <c r="D107" s="187" t="str">
        <f>'1. ALL DATA'!H108</f>
        <v>Fully Achieved</v>
      </c>
      <c r="E107" s="199" t="s">
        <v>224</v>
      </c>
      <c r="F107" s="187" t="str">
        <f>'1. ALL DATA'!M108</f>
        <v>Fully Achieved</v>
      </c>
      <c r="G107" s="199" t="s">
        <v>224</v>
      </c>
      <c r="H107" s="135" t="str">
        <f>'1. ALL DATA'!R108</f>
        <v>Fully Achieved</v>
      </c>
      <c r="I107" s="199"/>
      <c r="J107" s="135" t="str">
        <f>'1. ALL DATA'!V108</f>
        <v>Update not provided</v>
      </c>
    </row>
    <row r="108" spans="1:10" ht="99.75" customHeight="1" x14ac:dyDescent="0.25">
      <c r="A108" s="184" t="str">
        <f>'1. ALL DATA'!A109</f>
        <v>PSC31</v>
      </c>
      <c r="B108" s="186" t="str">
        <f>'1. ALL DATA'!C109</f>
        <v>Delivering Improvements to the Washlands</v>
      </c>
      <c r="C108" s="334" t="str">
        <f>'1. ALL DATA'!D109</f>
        <v>Adoption of a Washlands Strategy 
(December 2018)</v>
      </c>
      <c r="D108" s="187" t="str">
        <f>'1. ALL DATA'!H109</f>
        <v>On Track to be Achieved</v>
      </c>
      <c r="E108" s="199" t="s">
        <v>224</v>
      </c>
      <c r="F108" s="187" t="str">
        <f>'1. ALL DATA'!M109</f>
        <v>On Track to be Achieved</v>
      </c>
      <c r="G108" s="444" t="s">
        <v>223</v>
      </c>
      <c r="H108" s="135" t="str">
        <f>'1. ALL DATA'!R109</f>
        <v>Fully Achieved</v>
      </c>
      <c r="I108" s="199"/>
      <c r="J108" s="135" t="str">
        <f>'1. ALL DATA'!V109</f>
        <v>Update not provided</v>
      </c>
    </row>
    <row r="109" spans="1:10" ht="99.75" customHeight="1" x14ac:dyDescent="0.25">
      <c r="A109" s="184" t="str">
        <f>'1. ALL DATA'!A110</f>
        <v>PSC32</v>
      </c>
      <c r="B109" s="186" t="str">
        <f>'1. ALL DATA'!C110</f>
        <v>Delivering Improvements to the Washlands</v>
      </c>
      <c r="C109" s="334" t="str">
        <f>'1. ALL DATA'!D110</f>
        <v>Work With Partners to Develop a Detailed Business Case for Delivering Improvements to the Washlands
(September 2018)</v>
      </c>
      <c r="D109" s="187" t="str">
        <f>'1. ALL DATA'!H110</f>
        <v>On Track to be Achieved</v>
      </c>
      <c r="E109" s="199" t="s">
        <v>224</v>
      </c>
      <c r="F109" s="187" t="str">
        <f>'1. ALL DATA'!M110</f>
        <v>Fully Achieved</v>
      </c>
      <c r="G109" s="199" t="s">
        <v>224</v>
      </c>
      <c r="H109" s="135" t="str">
        <f>'1. ALL DATA'!R110</f>
        <v>Fully Achieved</v>
      </c>
      <c r="I109" s="199"/>
      <c r="J109" s="135" t="str">
        <f>'1. ALL DATA'!V110</f>
        <v>Update not provided</v>
      </c>
    </row>
    <row r="110" spans="1:10" ht="99.75" customHeight="1" x14ac:dyDescent="0.25">
      <c r="A110" s="184" t="str">
        <f>'1. ALL DATA'!A111</f>
        <v>PSC33</v>
      </c>
      <c r="B110" s="186" t="str">
        <f>'1. ALL DATA'!C111</f>
        <v>Enforcement Activities</v>
      </c>
      <c r="C110" s="334" t="str">
        <f>'1. ALL DATA'!D111</f>
        <v>Review of High Hedge Complaint Procedures and Fees Complete
(March 2019)</v>
      </c>
      <c r="D110" s="187" t="str">
        <f>'1. ALL DATA'!H111</f>
        <v>On Track to be Achieved</v>
      </c>
      <c r="E110" s="199" t="s">
        <v>224</v>
      </c>
      <c r="F110" s="187" t="str">
        <f>'1. ALL DATA'!M111</f>
        <v>On Track to be Achieved</v>
      </c>
      <c r="G110" s="199" t="s">
        <v>224</v>
      </c>
      <c r="H110" s="135" t="str">
        <f>'1. ALL DATA'!R111</f>
        <v>On Track to be Achieved</v>
      </c>
      <c r="I110" s="199"/>
      <c r="J110" s="135" t="str">
        <f>'1. ALL DATA'!V111</f>
        <v>Update not provided</v>
      </c>
    </row>
    <row r="111" spans="1:10" ht="99.75" customHeight="1" x14ac:dyDescent="0.25">
      <c r="A111" s="184" t="str">
        <f>'1. ALL DATA'!A112</f>
        <v>PSC34</v>
      </c>
      <c r="B111" s="186" t="str">
        <f>'1. ALL DATA'!C112</f>
        <v xml:space="preserve">Deliver Focussed Community and Civil Enforcement Initiatives </v>
      </c>
      <c r="C111" s="334" t="str">
        <f>'1. ALL DATA'!D112</f>
        <v>Undertake a Minimum of 11 Initiatives Across the Borough
(March 2019)</v>
      </c>
      <c r="D111" s="187" t="str">
        <f>'1. ALL DATA'!H112</f>
        <v>On Track to be Achieved</v>
      </c>
      <c r="E111" s="199" t="s">
        <v>224</v>
      </c>
      <c r="F111" s="187" t="str">
        <f>'1. ALL DATA'!M112</f>
        <v>Fully Achieved</v>
      </c>
      <c r="G111" s="199" t="s">
        <v>224</v>
      </c>
      <c r="H111" s="135" t="str">
        <f>'1. ALL DATA'!R112</f>
        <v>Fully Achieved</v>
      </c>
      <c r="I111" s="199"/>
      <c r="J111" s="135" t="str">
        <f>'1. ALL DATA'!V112</f>
        <v>Update not provided</v>
      </c>
    </row>
    <row r="112" spans="1:10" ht="99.75" customHeight="1" x14ac:dyDescent="0.25">
      <c r="A112" s="184" t="str">
        <f>'1. ALL DATA'!A113</f>
        <v>PSC35</v>
      </c>
      <c r="B112" s="186" t="str">
        <f>'1. ALL DATA'!C113</f>
        <v>Selective Licensing Scheme</v>
      </c>
      <c r="C112" s="334" t="str">
        <f>'1. ALL DATA'!D113</f>
        <v>Provide a Member Briefing on Progress With the Selective Licensing Pilot Scheme
(June 2018)</v>
      </c>
      <c r="D112" s="187" t="str">
        <f>'1. ALL DATA'!H113</f>
        <v>Fully Achieved</v>
      </c>
      <c r="E112" s="199" t="s">
        <v>224</v>
      </c>
      <c r="F112" s="187" t="str">
        <f>'1. ALL DATA'!M113</f>
        <v>Fully Achieved</v>
      </c>
      <c r="G112" s="199" t="s">
        <v>224</v>
      </c>
      <c r="H112" s="135" t="str">
        <f>'1. ALL DATA'!R113</f>
        <v>Fully Achieved</v>
      </c>
      <c r="I112" s="199"/>
      <c r="J112" s="135" t="str">
        <f>'1. ALL DATA'!V113</f>
        <v>Update not provided</v>
      </c>
    </row>
    <row r="113" spans="1:10" ht="99.75" customHeight="1" x14ac:dyDescent="0.25">
      <c r="A113" s="184" t="str">
        <f>'1. ALL DATA'!A114</f>
        <v>PSC36</v>
      </c>
      <c r="B113" s="186" t="str">
        <f>'1. ALL DATA'!C114</f>
        <v>Selective Licensing Scheme</v>
      </c>
      <c r="C113" s="334" t="str">
        <f>'1. ALL DATA'!D114</f>
        <v>Complete an Evaluation of Selective Licensing Scheme
(November 2018)</v>
      </c>
      <c r="D113" s="187" t="str">
        <f>'1. ALL DATA'!H114</f>
        <v>Not yet due</v>
      </c>
      <c r="E113" s="432" t="s">
        <v>47</v>
      </c>
      <c r="F113" s="187" t="str">
        <f>'1. ALL DATA'!M114</f>
        <v>On Track to be Achieved</v>
      </c>
      <c r="G113" s="444" t="s">
        <v>223</v>
      </c>
      <c r="H113" s="135" t="str">
        <f>'1. ALL DATA'!R114</f>
        <v>Fully Achieved</v>
      </c>
      <c r="I113" s="198"/>
      <c r="J113" s="135" t="str">
        <f>'1. ALL DATA'!V114</f>
        <v>Update not provided</v>
      </c>
    </row>
    <row r="114" spans="1:10" ht="99.75" customHeight="1" x14ac:dyDescent="0.25">
      <c r="A114" s="184" t="str">
        <f>'1. ALL DATA'!A115</f>
        <v>PSC37</v>
      </c>
      <c r="B114" s="186" t="str">
        <f>'1. ALL DATA'!C115</f>
        <v>Deliver Focussed Environmental Health Initiatives</v>
      </c>
      <c r="C114" s="334" t="str">
        <f>'1. ALL DATA'!D115</f>
        <v>Undertake a Minimum of 2 Multi-Agency Initiatives to Address Modern Slavery
(March 2019)</v>
      </c>
      <c r="D114" s="187" t="str">
        <f>'1. ALL DATA'!H115</f>
        <v>On Track to be Achieved</v>
      </c>
      <c r="E114" s="199" t="s">
        <v>224</v>
      </c>
      <c r="F114" s="187" t="str">
        <f>'1. ALL DATA'!M115</f>
        <v>Fully Achieved</v>
      </c>
      <c r="G114" s="199" t="s">
        <v>224</v>
      </c>
      <c r="H114" s="135" t="str">
        <f>'1. ALL DATA'!R115</f>
        <v>Fully Achieved</v>
      </c>
      <c r="I114" s="199"/>
      <c r="J114" s="135" t="str">
        <f>'1. ALL DATA'!V115</f>
        <v>Update not provided</v>
      </c>
    </row>
    <row r="115" spans="1:10" ht="99.75" customHeight="1" x14ac:dyDescent="0.25">
      <c r="A115" s="184" t="str">
        <f>'1. ALL DATA'!A116</f>
        <v>PSC38</v>
      </c>
      <c r="B115" s="186" t="str">
        <f>'1. ALL DATA'!C116</f>
        <v>Deliver Focussed Environmental Health Initiatives</v>
      </c>
      <c r="C115" s="334" t="str">
        <f>'1. ALL DATA'!D116</f>
        <v>Undertake a Minimum of 4 Initiatives With Weekend Market Traders to Ensure Compliance With Food Hygiene Legislation
(March 2019)</v>
      </c>
      <c r="D115" s="187" t="str">
        <f>'1. ALL DATA'!H116</f>
        <v>Not yet due</v>
      </c>
      <c r="E115" s="432" t="s">
        <v>47</v>
      </c>
      <c r="F115" s="187" t="str">
        <f>'1. ALL DATA'!M116</f>
        <v>On Track to be Achieved</v>
      </c>
      <c r="G115" s="444" t="s">
        <v>223</v>
      </c>
      <c r="H115" s="135" t="str">
        <f>'1. ALL DATA'!R116</f>
        <v>Fully Achieved</v>
      </c>
      <c r="I115" s="199"/>
      <c r="J115" s="135" t="str">
        <f>'1. ALL DATA'!V116</f>
        <v>Update not provided</v>
      </c>
    </row>
    <row r="116" spans="1:10" s="34" customFormat="1" ht="94.5" x14ac:dyDescent="0.25">
      <c r="A116" s="184" t="str">
        <f>'1. ALL DATA'!A117</f>
        <v>PSC39</v>
      </c>
      <c r="B116" s="186" t="str">
        <f>'1. ALL DATA'!C117</f>
        <v>Deliver Focussed Environmental Health Initiatives</v>
      </c>
      <c r="C116" s="334" t="str">
        <f>'1. ALL DATA'!D117</f>
        <v>Complete a Targeted Initiative Tackling Concerns on Houses in Multiple Occupation
(March 2019)</v>
      </c>
      <c r="D116" s="187" t="str">
        <f>'1. ALL DATA'!H117</f>
        <v>On Track to be Achieved</v>
      </c>
      <c r="E116" s="199" t="s">
        <v>224</v>
      </c>
      <c r="F116" s="187" t="str">
        <f>'1. ALL DATA'!M117</f>
        <v>On Track to be Achieved</v>
      </c>
      <c r="G116" s="199" t="s">
        <v>224</v>
      </c>
      <c r="H116" s="135" t="str">
        <f>'1. ALL DATA'!R117</f>
        <v>On Track to be Achieved</v>
      </c>
      <c r="I116" s="198"/>
      <c r="J116" s="135" t="str">
        <f>'1. ALL DATA'!V117</f>
        <v>Update not provided</v>
      </c>
    </row>
    <row r="117" spans="1:10" s="34" customFormat="1" ht="87.75" x14ac:dyDescent="0.25">
      <c r="A117" s="184" t="str">
        <f>'1. ALL DATA'!A118</f>
        <v>PSC40</v>
      </c>
      <c r="B117" s="186" t="str">
        <f>'1. ALL DATA'!C118</f>
        <v>Tackle Rough Sleeping and Supporting Homeless Residents</v>
      </c>
      <c r="C117" s="334" t="str">
        <f>'1. ALL DATA'!D118</f>
        <v>Rough Sleeper Count Completed
(December 2018)</v>
      </c>
      <c r="D117" s="187" t="str">
        <f>'1. ALL DATA'!H118</f>
        <v>Not yet due</v>
      </c>
      <c r="E117" s="432" t="s">
        <v>47</v>
      </c>
      <c r="F117" s="187" t="str">
        <f>'1. ALL DATA'!M118</f>
        <v>On Track to be Achieved</v>
      </c>
      <c r="G117" s="444" t="s">
        <v>223</v>
      </c>
      <c r="H117" s="135" t="str">
        <f>'1. ALL DATA'!R118</f>
        <v>Fully Achieved</v>
      </c>
      <c r="I117" s="199"/>
      <c r="J117" s="135" t="str">
        <f>'1. ALL DATA'!V118</f>
        <v>Update not provided</v>
      </c>
    </row>
    <row r="118" spans="1:10" s="34" customFormat="1" ht="87.75" x14ac:dyDescent="0.25">
      <c r="A118" s="184" t="str">
        <f>'1. ALL DATA'!A119</f>
        <v>PSC41</v>
      </c>
      <c r="B118" s="186" t="str">
        <f>'1. ALL DATA'!C119</f>
        <v>Delivering Better Services to Support Homelessness</v>
      </c>
      <c r="C118" s="334" t="str">
        <f>'1. ALL DATA'!D119</f>
        <v>100% Of Applicants Accepted for a New Homeless Duty Receiving a Personal Housing Plan</v>
      </c>
      <c r="D118" s="187" t="str">
        <f>'1. ALL DATA'!H119</f>
        <v>On Track to be Achieved</v>
      </c>
      <c r="E118" s="199" t="s">
        <v>224</v>
      </c>
      <c r="F118" s="187" t="str">
        <f>'1. ALL DATA'!M119</f>
        <v>On Track to be Achieved</v>
      </c>
      <c r="G118" s="199" t="s">
        <v>224</v>
      </c>
      <c r="H118" s="135" t="str">
        <f>'1. ALL DATA'!R119</f>
        <v>On Track to be Achieved</v>
      </c>
      <c r="I118" s="199"/>
      <c r="J118" s="135" t="str">
        <f>'1. ALL DATA'!V119</f>
        <v>Update not provided</v>
      </c>
    </row>
    <row r="119" spans="1:10" s="34" customFormat="1" ht="87.75" x14ac:dyDescent="0.25">
      <c r="A119" s="184" t="str">
        <f>'1. ALL DATA'!A120</f>
        <v>PSC42</v>
      </c>
      <c r="B119" s="186" t="str">
        <f>'1. ALL DATA'!C120</f>
        <v>Delivering Better Services to Support Homelessness</v>
      </c>
      <c r="C119" s="334" t="str">
        <f>'1. ALL DATA'!D120</f>
        <v>Revise Joint Allocations Policy
(December 2018)</v>
      </c>
      <c r="D119" s="187" t="str">
        <f>'1. ALL DATA'!H120</f>
        <v>On Track to be Achieved</v>
      </c>
      <c r="E119" s="199" t="s">
        <v>224</v>
      </c>
      <c r="F119" s="187" t="str">
        <f>'1. ALL DATA'!M120</f>
        <v>On Track to be Achieved</v>
      </c>
      <c r="G119" s="444" t="s">
        <v>223</v>
      </c>
      <c r="H119" s="135" t="str">
        <f>'1. ALL DATA'!R120</f>
        <v>Fully Achieved</v>
      </c>
      <c r="I119" s="199"/>
      <c r="J119" s="135" t="str">
        <f>'1. ALL DATA'!V120</f>
        <v>Update not provided</v>
      </c>
    </row>
    <row r="120" spans="1:10" s="34" customFormat="1" ht="87.75" x14ac:dyDescent="0.25">
      <c r="A120" s="184" t="str">
        <f>'1. ALL DATA'!A121</f>
        <v>PSC43</v>
      </c>
      <c r="B120" s="186" t="str">
        <f>'1. ALL DATA'!C121</f>
        <v>Delivering Better Services to Support Homelessness</v>
      </c>
      <c r="C120" s="334" t="str">
        <f>'1. ALL DATA'!D121</f>
        <v>Approve Refreshed Homelessness Strategy
(September 2018)</v>
      </c>
      <c r="D120" s="187" t="str">
        <f>'1. ALL DATA'!H121</f>
        <v>On Track to be Achieved</v>
      </c>
      <c r="E120" s="199" t="s">
        <v>224</v>
      </c>
      <c r="F120" s="187" t="str">
        <f>'1. ALL DATA'!M121</f>
        <v>Fully Achieved</v>
      </c>
      <c r="G120" s="199" t="s">
        <v>224</v>
      </c>
      <c r="H120" s="135" t="str">
        <f>'1. ALL DATA'!R121</f>
        <v>Fully Achieved</v>
      </c>
      <c r="I120" s="199"/>
      <c r="J120" s="135" t="str">
        <f>'1. ALL DATA'!V121</f>
        <v>Update not provided</v>
      </c>
    </row>
    <row r="121" spans="1:10" s="34" customFormat="1" ht="87.75" x14ac:dyDescent="0.25">
      <c r="A121" s="184" t="str">
        <f>'1. ALL DATA'!A122</f>
        <v>PSC44</v>
      </c>
      <c r="B121" s="186" t="str">
        <f>'1. ALL DATA'!C122</f>
        <v>World War One Centenary Commemorations</v>
      </c>
      <c r="C121" s="334" t="str">
        <f>'1. ALL DATA'!D122</f>
        <v>Action Plan Developed Setting Out a Schedule of Events 
(May 2018)</v>
      </c>
      <c r="D121" s="187" t="str">
        <f>'1. ALL DATA'!H122</f>
        <v>Fully Achieved</v>
      </c>
      <c r="E121" s="199" t="s">
        <v>224</v>
      </c>
      <c r="F121" s="187" t="str">
        <f>'1. ALL DATA'!M122</f>
        <v>Fully Achieved</v>
      </c>
      <c r="G121" s="199" t="s">
        <v>224</v>
      </c>
      <c r="H121" s="135" t="str">
        <f>'1. ALL DATA'!R122</f>
        <v>Fully Achieved</v>
      </c>
      <c r="I121" s="199"/>
      <c r="J121" s="135" t="str">
        <f>'1. ALL DATA'!V122</f>
        <v>Update not provided</v>
      </c>
    </row>
    <row r="122" spans="1:10" s="34" customFormat="1" ht="87.75" x14ac:dyDescent="0.25">
      <c r="A122" s="184" t="str">
        <f>'1. ALL DATA'!A123</f>
        <v>PSC45</v>
      </c>
      <c r="B122" s="186" t="str">
        <f>'1. ALL DATA'!C123</f>
        <v>Deliver Phase 1b of the Burton Regeneration Programme</v>
      </c>
      <c r="C122" s="334" t="str">
        <f>'1. ALL DATA'!D123</f>
        <v>Agree Project Milestones 
(May 2018)</v>
      </c>
      <c r="D122" s="135" t="str">
        <f>'1. ALL DATA'!H123</f>
        <v>Fully Achieved</v>
      </c>
      <c r="E122" s="199" t="s">
        <v>224</v>
      </c>
      <c r="F122" s="135" t="str">
        <f>'1. ALL DATA'!M123</f>
        <v>Fully Achieved</v>
      </c>
      <c r="G122" s="199" t="s">
        <v>224</v>
      </c>
      <c r="H122" s="135" t="str">
        <f>'1. ALL DATA'!R123</f>
        <v>Fully Achieved</v>
      </c>
      <c r="I122" s="199"/>
      <c r="J122" s="135" t="str">
        <f>'1. ALL DATA'!V123</f>
        <v>Update not provided</v>
      </c>
    </row>
    <row r="123" spans="1:10" s="34" customFormat="1" ht="87.75" x14ac:dyDescent="0.25">
      <c r="A123" s="184" t="str">
        <f>'1. ALL DATA'!A124</f>
        <v>PSC46</v>
      </c>
      <c r="B123" s="186" t="str">
        <f>'1. ALL DATA'!C124</f>
        <v>Deliver Phase 1b of the Burton Regeneration Programme</v>
      </c>
      <c r="C123" s="334" t="str">
        <f>'1. ALL DATA'!D124</f>
        <v xml:space="preserve">Deliver 80% of 2018/19 Project Milestones </v>
      </c>
      <c r="D123" s="135" t="str">
        <f>'1. ALL DATA'!H124</f>
        <v>Not yet due</v>
      </c>
      <c r="E123" s="432" t="s">
        <v>47</v>
      </c>
      <c r="F123" s="135" t="str">
        <f>'1. ALL DATA'!M124</f>
        <v>On Track to be Achieved</v>
      </c>
      <c r="G123" s="444" t="s">
        <v>223</v>
      </c>
      <c r="H123" s="135" t="str">
        <f>'1. ALL DATA'!R124</f>
        <v>Fully Achieved</v>
      </c>
      <c r="I123" s="361"/>
      <c r="J123" s="135" t="str">
        <f>'1. ALL DATA'!V124</f>
        <v>Update not provided</v>
      </c>
    </row>
    <row r="124" spans="1:10" s="34" customFormat="1" ht="110.25" x14ac:dyDescent="0.25">
      <c r="A124" s="184" t="str">
        <f>'1. ALL DATA'!A125</f>
        <v>PSC47</v>
      </c>
      <c r="B124" s="186" t="str">
        <f>'1. ALL DATA'!C125</f>
        <v>Deliver Phase 2 of the Burton Regeneration Programme</v>
      </c>
      <c r="C124" s="334" t="str">
        <f>'1. ALL DATA'!D125</f>
        <v>Commission Independent Consultant’s Report on “A Strategic Vision for a Better, Brighter Burton in the Future” (May 2018)</v>
      </c>
      <c r="D124" s="135" t="str">
        <f>'1. ALL DATA'!H125</f>
        <v>Fully Achieved</v>
      </c>
      <c r="E124" s="199" t="s">
        <v>224</v>
      </c>
      <c r="F124" s="135" t="str">
        <f>'1. ALL DATA'!M125</f>
        <v>Fully Achieved</v>
      </c>
      <c r="G124" s="199" t="s">
        <v>224</v>
      </c>
      <c r="H124" s="135" t="str">
        <f>'1. ALL DATA'!R125</f>
        <v>Fully Achieved</v>
      </c>
      <c r="I124" s="361"/>
      <c r="J124" s="135" t="str">
        <f>'1. ALL DATA'!V125</f>
        <v>Update not provided</v>
      </c>
    </row>
    <row r="125" spans="1:10" s="34" customFormat="1" ht="87.75" x14ac:dyDescent="0.25">
      <c r="A125" s="184" t="str">
        <f>'1. ALL DATA'!A126</f>
        <v>PSC48</v>
      </c>
      <c r="B125" s="186" t="str">
        <f>'1. ALL DATA'!C126</f>
        <v>Deliver Phase 2 of the Burton Regeneration Programme</v>
      </c>
      <c r="C125" s="334" t="str">
        <f>'1. ALL DATA'!D126</f>
        <v>Consider Findings of Consultant’s Report Within 6 Weeks of Receipt of Report</v>
      </c>
      <c r="D125" s="135" t="str">
        <f>'1. ALL DATA'!H126</f>
        <v>Not yet due</v>
      </c>
      <c r="E125" s="432" t="s">
        <v>47</v>
      </c>
      <c r="F125" s="135" t="str">
        <f>'1. ALL DATA'!M126</f>
        <v>Not yet due</v>
      </c>
      <c r="G125" s="444" t="s">
        <v>223</v>
      </c>
      <c r="H125" s="135" t="str">
        <f>'1. ALL DATA'!R126</f>
        <v>On Track to be Achieved</v>
      </c>
      <c r="I125" s="361"/>
      <c r="J125" s="135" t="str">
        <f>'1. ALL DATA'!V126</f>
        <v>Update not provided</v>
      </c>
    </row>
    <row r="126" spans="1:10" s="34" customFormat="1" ht="94.5" x14ac:dyDescent="0.25">
      <c r="A126" s="184" t="str">
        <f>'1. ALL DATA'!A127</f>
        <v>PSC49</v>
      </c>
      <c r="B126" s="186" t="str">
        <f>'1. ALL DATA'!C127</f>
        <v>Promote Tourism Across the Borough</v>
      </c>
      <c r="C126" s="334" t="str">
        <f>'1. ALL DATA'!D127</f>
        <v>Support the Council’s Strategic Tourism Partners in Promotion Activities 
(March 2019)</v>
      </c>
      <c r="D126" s="135" t="str">
        <f>'1. ALL DATA'!H127</f>
        <v>On Track to be Achieved</v>
      </c>
      <c r="E126" s="199" t="s">
        <v>224</v>
      </c>
      <c r="F126" s="135" t="str">
        <f>'1. ALL DATA'!M127</f>
        <v>On Track to be Achieved</v>
      </c>
      <c r="G126" s="199" t="s">
        <v>224</v>
      </c>
      <c r="H126" s="135" t="str">
        <f>'1. ALL DATA'!R127</f>
        <v>On Track to be Achieved</v>
      </c>
      <c r="I126" s="361"/>
      <c r="J126" s="135" t="str">
        <f>'1. ALL DATA'!V127</f>
        <v>Update not provided</v>
      </c>
    </row>
    <row r="127" spans="1:10" s="34" customFormat="1" ht="110.25" x14ac:dyDescent="0.25">
      <c r="A127" s="184" t="str">
        <f>'1. ALL DATA'!A128</f>
        <v>PSC50</v>
      </c>
      <c r="B127" s="186" t="str">
        <f>'1. ALL DATA'!C128</f>
        <v>Review the Provision of Physical Tourism Information</v>
      </c>
      <c r="C127" s="334" t="str">
        <f>'1. ALL DATA'!D128</f>
        <v>Consider Existing Tourism Signage and Information Boards and How These Can be Improved 
(September 2018)</v>
      </c>
      <c r="D127" s="135" t="str">
        <f>'1. ALL DATA'!H128</f>
        <v>Not yet due</v>
      </c>
      <c r="E127" s="432" t="s">
        <v>47</v>
      </c>
      <c r="F127" s="135" t="str">
        <f>'1. ALL DATA'!M128</f>
        <v>Fully Achieved</v>
      </c>
      <c r="G127" s="199" t="s">
        <v>224</v>
      </c>
      <c r="H127" s="135" t="str">
        <f>'1. ALL DATA'!R128</f>
        <v>Fully Achieved</v>
      </c>
      <c r="I127" s="361"/>
      <c r="J127" s="135" t="str">
        <f>'1. ALL DATA'!V128</f>
        <v>Update not provided</v>
      </c>
    </row>
    <row r="128" spans="1:10" s="34" customFormat="1" x14ac:dyDescent="0.25">
      <c r="C128" s="42"/>
    </row>
    <row r="129" spans="3:3" s="34" customFormat="1" x14ac:dyDescent="0.25">
      <c r="C129" s="42"/>
    </row>
    <row r="130" spans="3:3" s="34" customFormat="1" x14ac:dyDescent="0.25">
      <c r="C130" s="42"/>
    </row>
    <row r="131" spans="3:3" s="34" customFormat="1" x14ac:dyDescent="0.25">
      <c r="C131" s="42"/>
    </row>
    <row r="132" spans="3:3" s="34" customFormat="1" x14ac:dyDescent="0.25">
      <c r="C132" s="42"/>
    </row>
    <row r="133" spans="3:3" s="34" customFormat="1" x14ac:dyDescent="0.25">
      <c r="C133" s="42"/>
    </row>
    <row r="134" spans="3:3" s="34" customFormat="1" x14ac:dyDescent="0.25">
      <c r="C134" s="42"/>
    </row>
    <row r="135" spans="3:3" s="34" customFormat="1" x14ac:dyDescent="0.25">
      <c r="C135" s="42"/>
    </row>
    <row r="136" spans="3:3" s="34" customFormat="1" x14ac:dyDescent="0.25">
      <c r="C136" s="42"/>
    </row>
    <row r="137" spans="3:3" s="34" customFormat="1" x14ac:dyDescent="0.25">
      <c r="C137" s="42"/>
    </row>
    <row r="138" spans="3:3" s="34" customFormat="1" x14ac:dyDescent="0.25">
      <c r="C138" s="42"/>
    </row>
    <row r="139" spans="3:3" s="34" customFormat="1" x14ac:dyDescent="0.25">
      <c r="C139" s="42"/>
    </row>
    <row r="140" spans="3:3" s="34" customFormat="1" x14ac:dyDescent="0.25">
      <c r="C140" s="42"/>
    </row>
    <row r="141" spans="3:3" s="34" customFormat="1" x14ac:dyDescent="0.25">
      <c r="C141" s="42"/>
    </row>
    <row r="142" spans="3:3" s="34" customFormat="1" x14ac:dyDescent="0.25">
      <c r="C142" s="42"/>
    </row>
    <row r="143" spans="3:3" s="34" customFormat="1" x14ac:dyDescent="0.25">
      <c r="C143" s="42"/>
    </row>
    <row r="144" spans="3:3" s="34" customFormat="1" x14ac:dyDescent="0.25">
      <c r="C144" s="42"/>
    </row>
    <row r="145" spans="3:3" s="34" customFormat="1" x14ac:dyDescent="0.25">
      <c r="C145" s="42"/>
    </row>
    <row r="146" spans="3:3" x14ac:dyDescent="0.25">
      <c r="C146" s="42"/>
    </row>
  </sheetData>
  <sheetProtection autoFilter="0"/>
  <autoFilter ref="A2:J127"/>
  <conditionalFormatting sqref="V85">
    <cfRule type="containsText" dxfId="3322" priority="8333" operator="containsText" text="Numerical Outturn Within 10% Tolerance">
      <formula>NOT(ISERROR(SEARCH("Numerical Outturn Within 10% Tolerance",V85)))</formula>
    </cfRule>
    <cfRule type="containsText" dxfId="3321" priority="8334" operator="containsText" text="Numerical Outturn Within 5% Tolerance">
      <formula>NOT(ISERROR(SEARCH("Numerical Outturn Within 5% Tolerance",V85)))</formula>
    </cfRule>
    <cfRule type="containsText" dxfId="3320" priority="8335" operator="containsText" text="Target Achieved / Exceeded">
      <formula>NOT(ISERROR(SEARCH("Target Achieved / Exceeded",V85)))</formula>
    </cfRule>
    <cfRule type="containsText" dxfId="3319" priority="8336" operator="containsText" text="Full Update Not Yet Available">
      <formula>NOT(ISERROR(SEARCH("Full Update Not Yet Available",V85)))</formula>
    </cfRule>
    <cfRule type="containsText" dxfId="3318" priority="8337" operator="containsText" text="Full Update Not Yet Available">
      <formula>NOT(ISERROR(SEARCH("Full Update Not Yet Available",V85)))</formula>
    </cfRule>
  </conditionalFormatting>
  <conditionalFormatting sqref="M85 R85">
    <cfRule type="containsText" dxfId="3317" priority="8304" operator="containsText" text="Deferred">
      <formula>NOT(ISERROR(SEARCH("Deferred",M85)))</formula>
    </cfRule>
  </conditionalFormatting>
  <conditionalFormatting sqref="I43 I51 I63 I71:I73 I86 D4:D61 F4:F61 H4:H61 J4:J61 J63:J76 H63:H76 F63:F76 D63:D76 D78:D127 F78:F127 H78:H127 J78:J127">
    <cfRule type="containsText" dxfId="3316" priority="8286" operator="containsText" text="On track to be achieved">
      <formula>NOT(ISERROR(SEARCH("On track to be achieved",D4)))</formula>
    </cfRule>
    <cfRule type="containsText" dxfId="3315" priority="8299" operator="containsText" text="Deferred">
      <formula>NOT(ISERROR(SEARCH("Deferred",D4)))</formula>
    </cfRule>
    <cfRule type="containsText" dxfId="3314" priority="8300" operator="containsText" text="Deleted">
      <formula>NOT(ISERROR(SEARCH("Deleted",D4)))</formula>
    </cfRule>
    <cfRule type="containsText" dxfId="3313" priority="8301" operator="containsText" text="In Danger of Falling Behind Target">
      <formula>NOT(ISERROR(SEARCH("In Danger of Falling Behind Target",D4)))</formula>
    </cfRule>
    <cfRule type="containsText" dxfId="3312" priority="8302" operator="containsText" text="Not yet due">
      <formula>NOT(ISERROR(SEARCH("Not yet due",D4)))</formula>
    </cfRule>
    <cfRule type="containsText" dxfId="3311" priority="8305" operator="containsText" text="Update not Provided">
      <formula>NOT(ISERROR(SEARCH("Update not Provided",D4)))</formula>
    </cfRule>
    <cfRule type="containsText" dxfId="3310" priority="8306" operator="containsText" text="Not yet due">
      <formula>NOT(ISERROR(SEARCH("Not yet due",D4)))</formula>
    </cfRule>
    <cfRule type="containsText" dxfId="3309" priority="8307" operator="containsText" text="Completed Behind Schedule">
      <formula>NOT(ISERROR(SEARCH("Completed Behind Schedule",D4)))</formula>
    </cfRule>
    <cfRule type="containsText" dxfId="3308" priority="8308" operator="containsText" text="Off Target">
      <formula>NOT(ISERROR(SEARCH("Off Target",D4)))</formula>
    </cfRule>
    <cfRule type="containsText" dxfId="3307" priority="8309" operator="containsText" text="On Track to be Achieved">
      <formula>NOT(ISERROR(SEARCH("On Track to be Achieved",D4)))</formula>
    </cfRule>
    <cfRule type="containsText" dxfId="3306" priority="8310" operator="containsText" text="Fully Achieved">
      <formula>NOT(ISERROR(SEARCH("Fully Achieved",D4)))</formula>
    </cfRule>
    <cfRule type="containsText" dxfId="3305" priority="8311" operator="containsText" text="Not yet due">
      <formula>NOT(ISERROR(SEARCH("Not yet due",D4)))</formula>
    </cfRule>
    <cfRule type="containsText" dxfId="3304" priority="8312" operator="containsText" text="Not Yet Due">
      <formula>NOT(ISERROR(SEARCH("Not Yet Due",D4)))</formula>
    </cfRule>
    <cfRule type="containsText" dxfId="3303" priority="8313" operator="containsText" text="Deferred">
      <formula>NOT(ISERROR(SEARCH("Deferred",D4)))</formula>
    </cfRule>
    <cfRule type="containsText" dxfId="3302" priority="8314" operator="containsText" text="Deleted">
      <formula>NOT(ISERROR(SEARCH("Deleted",D4)))</formula>
    </cfRule>
    <cfRule type="containsText" dxfId="3301" priority="8315" operator="containsText" text="In Danger of Falling Behind Target">
      <formula>NOT(ISERROR(SEARCH("In Danger of Falling Behind Target",D4)))</formula>
    </cfRule>
    <cfRule type="containsText" dxfId="3300" priority="8316" operator="containsText" text="Not yet due">
      <formula>NOT(ISERROR(SEARCH("Not yet due",D4)))</formula>
    </cfRule>
    <cfRule type="containsText" dxfId="3299" priority="8318" operator="containsText" text="Completed Behind Schedule">
      <formula>NOT(ISERROR(SEARCH("Completed Behind Schedule",D4)))</formula>
    </cfRule>
    <cfRule type="containsText" dxfId="3298" priority="8319" operator="containsText" text="Off Target">
      <formula>NOT(ISERROR(SEARCH("Off Target",D4)))</formula>
    </cfRule>
    <cfRule type="containsText" dxfId="3297" priority="8320" operator="containsText" text="In Danger of Falling Behind Target">
      <formula>NOT(ISERROR(SEARCH("In Danger of Falling Behind Target",D4)))</formula>
    </cfRule>
    <cfRule type="containsText" dxfId="3296" priority="8321" operator="containsText" text="On Track to be Achieved">
      <formula>NOT(ISERROR(SEARCH("On Track to be Achieved",D4)))</formula>
    </cfRule>
    <cfRule type="containsText" dxfId="3295" priority="8322" operator="containsText" text="Fully Achieved">
      <formula>NOT(ISERROR(SEARCH("Fully Achieved",D4)))</formula>
    </cfRule>
    <cfRule type="containsText" dxfId="3294" priority="8338" operator="containsText" text="Update not Provided">
      <formula>NOT(ISERROR(SEARCH("Update not Provided",D4)))</formula>
    </cfRule>
    <cfRule type="containsText" dxfId="3293" priority="8339" operator="containsText" text="Not yet due">
      <formula>NOT(ISERROR(SEARCH("Not yet due",D4)))</formula>
    </cfRule>
    <cfRule type="containsText" dxfId="3292" priority="8340" operator="containsText" text="Completed Behind Schedule">
      <formula>NOT(ISERROR(SEARCH("Completed Behind Schedule",D4)))</formula>
    </cfRule>
    <cfRule type="containsText" dxfId="3291" priority="8341" operator="containsText" text="Off Target">
      <formula>NOT(ISERROR(SEARCH("Off Target",D4)))</formula>
    </cfRule>
    <cfRule type="containsText" dxfId="3290" priority="8342" operator="containsText" text="In Danger of Falling Behind Target">
      <formula>NOT(ISERROR(SEARCH("In Danger of Falling Behind Target",D4)))</formula>
    </cfRule>
    <cfRule type="containsText" dxfId="3289" priority="8343" operator="containsText" text="On Track to be Achieved">
      <formula>NOT(ISERROR(SEARCH("On Track to be Achieved",D4)))</formula>
    </cfRule>
    <cfRule type="containsText" dxfId="3288" priority="8344" operator="containsText" text="Fully Achieved">
      <formula>NOT(ISERROR(SEARCH("Fully Achieved",D4)))</formula>
    </cfRule>
    <cfRule type="containsText" dxfId="3287" priority="8345" operator="containsText" text="Fully Achieved">
      <formula>NOT(ISERROR(SEARCH("Fully Achieved",D4)))</formula>
    </cfRule>
    <cfRule type="containsText" dxfId="3286" priority="8346" operator="containsText" text="Fully Achieved">
      <formula>NOT(ISERROR(SEARCH("Fully Achieved",D4)))</formula>
    </cfRule>
    <cfRule type="containsText" dxfId="3285" priority="8366" operator="containsText" text="Deferred">
      <formula>NOT(ISERROR(SEARCH("Deferred",D4)))</formula>
    </cfRule>
    <cfRule type="containsText" dxfId="3284" priority="8367" operator="containsText" text="Deleted">
      <formula>NOT(ISERROR(SEARCH("Deleted",D4)))</formula>
    </cfRule>
    <cfRule type="containsText" dxfId="3283" priority="8368" operator="containsText" text="In Danger of Falling Behind Target">
      <formula>NOT(ISERROR(SEARCH("In Danger of Falling Behind Target",D4)))</formula>
    </cfRule>
    <cfRule type="containsText" dxfId="3282" priority="8369" operator="containsText" text="Not yet due">
      <formula>NOT(ISERROR(SEARCH("Not yet due",D4)))</formula>
    </cfRule>
    <cfRule type="containsText" dxfId="3281" priority="8370" operator="containsText" text="Update not Provided">
      <formula>NOT(ISERROR(SEARCH("Update not Provided",D4)))</formula>
    </cfRule>
  </conditionalFormatting>
  <conditionalFormatting sqref="Y5:Y6">
    <cfRule type="containsText" dxfId="3280" priority="8250" operator="containsText" text="On track to be achieved">
      <formula>NOT(ISERROR(SEARCH("On track to be achieved",Y5)))</formula>
    </cfRule>
    <cfRule type="containsText" dxfId="3279" priority="8251" operator="containsText" text="Deferred">
      <formula>NOT(ISERROR(SEARCH("Deferred",Y5)))</formula>
    </cfRule>
    <cfRule type="containsText" dxfId="3278" priority="8252" operator="containsText" text="Deleted">
      <formula>NOT(ISERROR(SEARCH("Deleted",Y5)))</formula>
    </cfRule>
    <cfRule type="containsText" dxfId="3277" priority="8253" operator="containsText" text="In Danger of Falling Behind Target">
      <formula>NOT(ISERROR(SEARCH("In Danger of Falling Behind Target",Y5)))</formula>
    </cfRule>
    <cfRule type="containsText" dxfId="3276" priority="8254" operator="containsText" text="Not yet due">
      <formula>NOT(ISERROR(SEARCH("Not yet due",Y5)))</formula>
    </cfRule>
    <cfRule type="containsText" dxfId="3275" priority="8255" operator="containsText" text="Update not Provided">
      <formula>NOT(ISERROR(SEARCH("Update not Provided",Y5)))</formula>
    </cfRule>
    <cfRule type="containsText" dxfId="3274" priority="8256" operator="containsText" text="Not yet due">
      <formula>NOT(ISERROR(SEARCH("Not yet due",Y5)))</formula>
    </cfRule>
    <cfRule type="containsText" dxfId="3273" priority="8257" operator="containsText" text="Completed Behind Schedule">
      <formula>NOT(ISERROR(SEARCH("Completed Behind Schedule",Y5)))</formula>
    </cfRule>
    <cfRule type="containsText" dxfId="3272" priority="8258" operator="containsText" text="Off Target">
      <formula>NOT(ISERROR(SEARCH("Off Target",Y5)))</formula>
    </cfRule>
    <cfRule type="containsText" dxfId="3271" priority="8259" operator="containsText" text="On Track to be Achieved">
      <formula>NOT(ISERROR(SEARCH("On Track to be Achieved",Y5)))</formula>
    </cfRule>
    <cfRule type="containsText" dxfId="3270" priority="8260" operator="containsText" text="Fully Achieved">
      <formula>NOT(ISERROR(SEARCH("Fully Achieved",Y5)))</formula>
    </cfRule>
    <cfRule type="containsText" dxfId="3269" priority="8261" operator="containsText" text="Not yet due">
      <formula>NOT(ISERROR(SEARCH("Not yet due",Y5)))</formula>
    </cfRule>
    <cfRule type="containsText" dxfId="3268" priority="8262" operator="containsText" text="Not Yet Due">
      <formula>NOT(ISERROR(SEARCH("Not Yet Due",Y5)))</formula>
    </cfRule>
    <cfRule type="containsText" dxfId="3267" priority="8263" operator="containsText" text="Deferred">
      <formula>NOT(ISERROR(SEARCH("Deferred",Y5)))</formula>
    </cfRule>
    <cfRule type="containsText" dxfId="3266" priority="8264" operator="containsText" text="Deleted">
      <formula>NOT(ISERROR(SEARCH("Deleted",Y5)))</formula>
    </cfRule>
    <cfRule type="containsText" dxfId="3265" priority="8265" operator="containsText" text="In Danger of Falling Behind Target">
      <formula>NOT(ISERROR(SEARCH("In Danger of Falling Behind Target",Y5)))</formula>
    </cfRule>
    <cfRule type="containsText" dxfId="3264" priority="8266" operator="containsText" text="Not yet due">
      <formula>NOT(ISERROR(SEARCH("Not yet due",Y5)))</formula>
    </cfRule>
    <cfRule type="containsText" dxfId="3263" priority="8267" operator="containsText" text="Completed Behind Schedule">
      <formula>NOT(ISERROR(SEARCH("Completed Behind Schedule",Y5)))</formula>
    </cfRule>
    <cfRule type="containsText" dxfId="3262" priority="8268" operator="containsText" text="Off Target">
      <formula>NOT(ISERROR(SEARCH("Off Target",Y5)))</formula>
    </cfRule>
    <cfRule type="containsText" dxfId="3261" priority="8269" operator="containsText" text="In Danger of Falling Behind Target">
      <formula>NOT(ISERROR(SEARCH("In Danger of Falling Behind Target",Y5)))</formula>
    </cfRule>
    <cfRule type="containsText" dxfId="3260" priority="8270" operator="containsText" text="On Track to be Achieved">
      <formula>NOT(ISERROR(SEARCH("On Track to be Achieved",Y5)))</formula>
    </cfRule>
    <cfRule type="containsText" dxfId="3259" priority="8271" operator="containsText" text="Fully Achieved">
      <formula>NOT(ISERROR(SEARCH("Fully Achieved",Y5)))</formula>
    </cfRule>
    <cfRule type="containsText" dxfId="3258" priority="8272" operator="containsText" text="Update not Provided">
      <formula>NOT(ISERROR(SEARCH("Update not Provided",Y5)))</formula>
    </cfRule>
    <cfRule type="containsText" dxfId="3257" priority="8273" operator="containsText" text="Not yet due">
      <formula>NOT(ISERROR(SEARCH("Not yet due",Y5)))</formula>
    </cfRule>
    <cfRule type="containsText" dxfId="3256" priority="8274" operator="containsText" text="Completed Behind Schedule">
      <formula>NOT(ISERROR(SEARCH("Completed Behind Schedule",Y5)))</formula>
    </cfRule>
    <cfRule type="containsText" dxfId="3255" priority="8275" operator="containsText" text="Off Target">
      <formula>NOT(ISERROR(SEARCH("Off Target",Y5)))</formula>
    </cfRule>
    <cfRule type="containsText" dxfId="3254" priority="8276" operator="containsText" text="In Danger of Falling Behind Target">
      <formula>NOT(ISERROR(SEARCH("In Danger of Falling Behind Target",Y5)))</formula>
    </cfRule>
    <cfRule type="containsText" dxfId="3253" priority="8277" operator="containsText" text="On Track to be Achieved">
      <formula>NOT(ISERROR(SEARCH("On Track to be Achieved",Y5)))</formula>
    </cfRule>
    <cfRule type="containsText" dxfId="3252" priority="8278" operator="containsText" text="Fully Achieved">
      <formula>NOT(ISERROR(SEARCH("Fully Achieved",Y5)))</formula>
    </cfRule>
    <cfRule type="containsText" dxfId="3251" priority="8279" operator="containsText" text="Fully Achieved">
      <formula>NOT(ISERROR(SEARCH("Fully Achieved",Y5)))</formula>
    </cfRule>
    <cfRule type="containsText" dxfId="3250" priority="8280" operator="containsText" text="Fully Achieved">
      <formula>NOT(ISERROR(SEARCH("Fully Achieved",Y5)))</formula>
    </cfRule>
    <cfRule type="containsText" dxfId="3249" priority="8281" operator="containsText" text="Deferred">
      <formula>NOT(ISERROR(SEARCH("Deferred",Y5)))</formula>
    </cfRule>
    <cfRule type="containsText" dxfId="3248" priority="8282" operator="containsText" text="Deleted">
      <formula>NOT(ISERROR(SEARCH("Deleted",Y5)))</formula>
    </cfRule>
    <cfRule type="containsText" dxfId="3247" priority="8283" operator="containsText" text="In Danger of Falling Behind Target">
      <formula>NOT(ISERROR(SEARCH("In Danger of Falling Behind Target",Y5)))</formula>
    </cfRule>
    <cfRule type="containsText" dxfId="3246" priority="8284" operator="containsText" text="Not yet due">
      <formula>NOT(ISERROR(SEARCH("Not yet due",Y5)))</formula>
    </cfRule>
    <cfRule type="containsText" dxfId="3245" priority="8285" operator="containsText" text="Update not Provided">
      <formula>NOT(ISERROR(SEARCH("Update not Provided",Y5)))</formula>
    </cfRule>
  </conditionalFormatting>
  <conditionalFormatting sqref="J1:J61 J63:J76 J78:J1048576">
    <cfRule type="containsText" dxfId="3244" priority="6520" operator="containsText" text="numerical outturn within 5% tolerance">
      <formula>NOT(ISERROR(SEARCH("numerical outturn within 5% tolerance",J1)))</formula>
    </cfRule>
    <cfRule type="containsText" dxfId="3243" priority="6521" operator="containsText" text="Target Partially Met">
      <formula>NOT(ISERROR(SEARCH("Target Partially Met",J1)))</formula>
    </cfRule>
  </conditionalFormatting>
  <conditionalFormatting sqref="I43">
    <cfRule type="containsText" dxfId="3242" priority="6088" operator="containsText" text="On track to be achieved">
      <formula>NOT(ISERROR(SEARCH("On track to be achieved",I43)))</formula>
    </cfRule>
    <cfRule type="containsText" dxfId="3241" priority="6089" operator="containsText" text="Deferred">
      <formula>NOT(ISERROR(SEARCH("Deferred",I43)))</formula>
    </cfRule>
    <cfRule type="containsText" dxfId="3240" priority="6090" operator="containsText" text="Deleted">
      <formula>NOT(ISERROR(SEARCH("Deleted",I43)))</formula>
    </cfRule>
    <cfRule type="containsText" dxfId="3239" priority="6091" operator="containsText" text="In Danger of Falling Behind Target">
      <formula>NOT(ISERROR(SEARCH("In Danger of Falling Behind Target",I43)))</formula>
    </cfRule>
    <cfRule type="containsText" dxfId="3238" priority="6092" operator="containsText" text="Not yet due">
      <formula>NOT(ISERROR(SEARCH("Not yet due",I43)))</formula>
    </cfRule>
    <cfRule type="containsText" dxfId="3237" priority="6093" operator="containsText" text="Update not Provided">
      <formula>NOT(ISERROR(SEARCH("Update not Provided",I43)))</formula>
    </cfRule>
    <cfRule type="containsText" dxfId="3236" priority="6094" operator="containsText" text="Not yet due">
      <formula>NOT(ISERROR(SEARCH("Not yet due",I43)))</formula>
    </cfRule>
    <cfRule type="containsText" dxfId="3235" priority="6095" operator="containsText" text="Completed Behind Schedule">
      <formula>NOT(ISERROR(SEARCH("Completed Behind Schedule",I43)))</formula>
    </cfRule>
    <cfRule type="containsText" dxfId="3234" priority="6096" operator="containsText" text="Off Target">
      <formula>NOT(ISERROR(SEARCH("Off Target",I43)))</formula>
    </cfRule>
    <cfRule type="containsText" dxfId="3233" priority="6097" operator="containsText" text="On Track to be Achieved">
      <formula>NOT(ISERROR(SEARCH("On Track to be Achieved",I43)))</formula>
    </cfRule>
    <cfRule type="containsText" dxfId="3232" priority="6098" operator="containsText" text="Fully Achieved">
      <formula>NOT(ISERROR(SEARCH("Fully Achieved",I43)))</formula>
    </cfRule>
    <cfRule type="containsText" dxfId="3231" priority="6099" operator="containsText" text="Not yet due">
      <formula>NOT(ISERROR(SEARCH("Not yet due",I43)))</formula>
    </cfRule>
    <cfRule type="containsText" dxfId="3230" priority="6100" operator="containsText" text="Not Yet Due">
      <formula>NOT(ISERROR(SEARCH("Not Yet Due",I43)))</formula>
    </cfRule>
    <cfRule type="containsText" dxfId="3229" priority="6101" operator="containsText" text="Deferred">
      <formula>NOT(ISERROR(SEARCH("Deferred",I43)))</formula>
    </cfRule>
    <cfRule type="containsText" dxfId="3228" priority="6102" operator="containsText" text="Deleted">
      <formula>NOT(ISERROR(SEARCH("Deleted",I43)))</formula>
    </cfRule>
    <cfRule type="containsText" dxfId="3227" priority="6103" operator="containsText" text="In Danger of Falling Behind Target">
      <formula>NOT(ISERROR(SEARCH("In Danger of Falling Behind Target",I43)))</formula>
    </cfRule>
    <cfRule type="containsText" dxfId="3226" priority="6104" operator="containsText" text="Not yet due">
      <formula>NOT(ISERROR(SEARCH("Not yet due",I43)))</formula>
    </cfRule>
    <cfRule type="containsText" dxfId="3225" priority="6105" operator="containsText" text="Completed Behind Schedule">
      <formula>NOT(ISERROR(SEARCH("Completed Behind Schedule",I43)))</formula>
    </cfRule>
    <cfRule type="containsText" dxfId="3224" priority="6106" operator="containsText" text="Off Target">
      <formula>NOT(ISERROR(SEARCH("Off Target",I43)))</formula>
    </cfRule>
    <cfRule type="containsText" dxfId="3223" priority="6107" operator="containsText" text="In Danger of Falling Behind Target">
      <formula>NOT(ISERROR(SEARCH("In Danger of Falling Behind Target",I43)))</formula>
    </cfRule>
    <cfRule type="containsText" dxfId="3222" priority="6108" operator="containsText" text="On Track to be Achieved">
      <formula>NOT(ISERROR(SEARCH("On Track to be Achieved",I43)))</formula>
    </cfRule>
    <cfRule type="containsText" dxfId="3221" priority="6109" operator="containsText" text="Fully Achieved">
      <formula>NOT(ISERROR(SEARCH("Fully Achieved",I43)))</formula>
    </cfRule>
    <cfRule type="containsText" dxfId="3220" priority="6110" operator="containsText" text="Update not Provided">
      <formula>NOT(ISERROR(SEARCH("Update not Provided",I43)))</formula>
    </cfRule>
    <cfRule type="containsText" dxfId="3219" priority="6111" operator="containsText" text="Not yet due">
      <formula>NOT(ISERROR(SEARCH("Not yet due",I43)))</formula>
    </cfRule>
    <cfRule type="containsText" dxfId="3218" priority="6112" operator="containsText" text="Completed Behind Schedule">
      <formula>NOT(ISERROR(SEARCH("Completed Behind Schedule",I43)))</formula>
    </cfRule>
    <cfRule type="containsText" dxfId="3217" priority="6113" operator="containsText" text="Off Target">
      <formula>NOT(ISERROR(SEARCH("Off Target",I43)))</formula>
    </cfRule>
    <cfRule type="containsText" dxfId="3216" priority="6114" operator="containsText" text="In Danger of Falling Behind Target">
      <formula>NOT(ISERROR(SEARCH("In Danger of Falling Behind Target",I43)))</formula>
    </cfRule>
    <cfRule type="containsText" dxfId="3215" priority="6115" operator="containsText" text="On Track to be Achieved">
      <formula>NOT(ISERROR(SEARCH("On Track to be Achieved",I43)))</formula>
    </cfRule>
    <cfRule type="containsText" dxfId="3214" priority="6116" operator="containsText" text="Fully Achieved">
      <formula>NOT(ISERROR(SEARCH("Fully Achieved",I43)))</formula>
    </cfRule>
    <cfRule type="containsText" dxfId="3213" priority="6117" operator="containsText" text="Fully Achieved">
      <formula>NOT(ISERROR(SEARCH("Fully Achieved",I43)))</formula>
    </cfRule>
    <cfRule type="containsText" dxfId="3212" priority="6118" operator="containsText" text="Fully Achieved">
      <formula>NOT(ISERROR(SEARCH("Fully Achieved",I43)))</formula>
    </cfRule>
    <cfRule type="containsText" dxfId="3211" priority="6119" operator="containsText" text="Deferred">
      <formula>NOT(ISERROR(SEARCH("Deferred",I43)))</formula>
    </cfRule>
    <cfRule type="containsText" dxfId="3210" priority="6120" operator="containsText" text="Deleted">
      <formula>NOT(ISERROR(SEARCH("Deleted",I43)))</formula>
    </cfRule>
    <cfRule type="containsText" dxfId="3209" priority="6121" operator="containsText" text="In Danger of Falling Behind Target">
      <formula>NOT(ISERROR(SEARCH("In Danger of Falling Behind Target",I43)))</formula>
    </cfRule>
    <cfRule type="containsText" dxfId="3208" priority="6122" operator="containsText" text="Not yet due">
      <formula>NOT(ISERROR(SEARCH("Not yet due",I43)))</formula>
    </cfRule>
    <cfRule type="containsText" dxfId="3207" priority="6123" operator="containsText" text="Update not Provided">
      <formula>NOT(ISERROR(SEARCH("Update not Provided",I43)))</formula>
    </cfRule>
  </conditionalFormatting>
  <conditionalFormatting sqref="I51">
    <cfRule type="containsText" dxfId="3206" priority="6016" operator="containsText" text="On track to be achieved">
      <formula>NOT(ISERROR(SEARCH("On track to be achieved",I51)))</formula>
    </cfRule>
    <cfRule type="containsText" dxfId="3205" priority="6017" operator="containsText" text="Deferred">
      <formula>NOT(ISERROR(SEARCH("Deferred",I51)))</formula>
    </cfRule>
    <cfRule type="containsText" dxfId="3204" priority="6018" operator="containsText" text="Deleted">
      <formula>NOT(ISERROR(SEARCH("Deleted",I51)))</formula>
    </cfRule>
    <cfRule type="containsText" dxfId="3203" priority="6019" operator="containsText" text="In Danger of Falling Behind Target">
      <formula>NOT(ISERROR(SEARCH("In Danger of Falling Behind Target",I51)))</formula>
    </cfRule>
    <cfRule type="containsText" dxfId="3202" priority="6020" operator="containsText" text="Not yet due">
      <formula>NOT(ISERROR(SEARCH("Not yet due",I51)))</formula>
    </cfRule>
    <cfRule type="containsText" dxfId="3201" priority="6021" operator="containsText" text="Update not Provided">
      <formula>NOT(ISERROR(SEARCH("Update not Provided",I51)))</formula>
    </cfRule>
    <cfRule type="containsText" dxfId="3200" priority="6022" operator="containsText" text="Not yet due">
      <formula>NOT(ISERROR(SEARCH("Not yet due",I51)))</formula>
    </cfRule>
    <cfRule type="containsText" dxfId="3199" priority="6023" operator="containsText" text="Completed Behind Schedule">
      <formula>NOT(ISERROR(SEARCH("Completed Behind Schedule",I51)))</formula>
    </cfRule>
    <cfRule type="containsText" dxfId="3198" priority="6024" operator="containsText" text="Off Target">
      <formula>NOT(ISERROR(SEARCH("Off Target",I51)))</formula>
    </cfRule>
    <cfRule type="containsText" dxfId="3197" priority="6025" operator="containsText" text="On Track to be Achieved">
      <formula>NOT(ISERROR(SEARCH("On Track to be Achieved",I51)))</formula>
    </cfRule>
    <cfRule type="containsText" dxfId="3196" priority="6026" operator="containsText" text="Fully Achieved">
      <formula>NOT(ISERROR(SEARCH("Fully Achieved",I51)))</formula>
    </cfRule>
    <cfRule type="containsText" dxfId="3195" priority="6027" operator="containsText" text="Not yet due">
      <formula>NOT(ISERROR(SEARCH("Not yet due",I51)))</formula>
    </cfRule>
    <cfRule type="containsText" dxfId="3194" priority="6028" operator="containsText" text="Not Yet Due">
      <formula>NOT(ISERROR(SEARCH("Not Yet Due",I51)))</formula>
    </cfRule>
    <cfRule type="containsText" dxfId="3193" priority="6029" operator="containsText" text="Deferred">
      <formula>NOT(ISERROR(SEARCH("Deferred",I51)))</formula>
    </cfRule>
    <cfRule type="containsText" dxfId="3192" priority="6030" operator="containsText" text="Deleted">
      <formula>NOT(ISERROR(SEARCH("Deleted",I51)))</formula>
    </cfRule>
    <cfRule type="containsText" dxfId="3191" priority="6031" operator="containsText" text="In Danger of Falling Behind Target">
      <formula>NOT(ISERROR(SEARCH("In Danger of Falling Behind Target",I51)))</formula>
    </cfRule>
    <cfRule type="containsText" dxfId="3190" priority="6032" operator="containsText" text="Not yet due">
      <formula>NOT(ISERROR(SEARCH("Not yet due",I51)))</formula>
    </cfRule>
    <cfRule type="containsText" dxfId="3189" priority="6033" operator="containsText" text="Completed Behind Schedule">
      <formula>NOT(ISERROR(SEARCH("Completed Behind Schedule",I51)))</formula>
    </cfRule>
    <cfRule type="containsText" dxfId="3188" priority="6034" operator="containsText" text="Off Target">
      <formula>NOT(ISERROR(SEARCH("Off Target",I51)))</formula>
    </cfRule>
    <cfRule type="containsText" dxfId="3187" priority="6035" operator="containsText" text="In Danger of Falling Behind Target">
      <formula>NOT(ISERROR(SEARCH("In Danger of Falling Behind Target",I51)))</formula>
    </cfRule>
    <cfRule type="containsText" dxfId="3186" priority="6036" operator="containsText" text="On Track to be Achieved">
      <formula>NOT(ISERROR(SEARCH("On Track to be Achieved",I51)))</formula>
    </cfRule>
    <cfRule type="containsText" dxfId="3185" priority="6037" operator="containsText" text="Fully Achieved">
      <formula>NOT(ISERROR(SEARCH("Fully Achieved",I51)))</formula>
    </cfRule>
    <cfRule type="containsText" dxfId="3184" priority="6038" operator="containsText" text="Update not Provided">
      <formula>NOT(ISERROR(SEARCH("Update not Provided",I51)))</formula>
    </cfRule>
    <cfRule type="containsText" dxfId="3183" priority="6039" operator="containsText" text="Not yet due">
      <formula>NOT(ISERROR(SEARCH("Not yet due",I51)))</formula>
    </cfRule>
    <cfRule type="containsText" dxfId="3182" priority="6040" operator="containsText" text="Completed Behind Schedule">
      <formula>NOT(ISERROR(SEARCH("Completed Behind Schedule",I51)))</formula>
    </cfRule>
    <cfRule type="containsText" dxfId="3181" priority="6041" operator="containsText" text="Off Target">
      <formula>NOT(ISERROR(SEARCH("Off Target",I51)))</formula>
    </cfRule>
    <cfRule type="containsText" dxfId="3180" priority="6042" operator="containsText" text="In Danger of Falling Behind Target">
      <formula>NOT(ISERROR(SEARCH("In Danger of Falling Behind Target",I51)))</formula>
    </cfRule>
    <cfRule type="containsText" dxfId="3179" priority="6043" operator="containsText" text="On Track to be Achieved">
      <formula>NOT(ISERROR(SEARCH("On Track to be Achieved",I51)))</formula>
    </cfRule>
    <cfRule type="containsText" dxfId="3178" priority="6044" operator="containsText" text="Fully Achieved">
      <formula>NOT(ISERROR(SEARCH("Fully Achieved",I51)))</formula>
    </cfRule>
    <cfRule type="containsText" dxfId="3177" priority="6045" operator="containsText" text="Fully Achieved">
      <formula>NOT(ISERROR(SEARCH("Fully Achieved",I51)))</formula>
    </cfRule>
    <cfRule type="containsText" dxfId="3176" priority="6046" operator="containsText" text="Fully Achieved">
      <formula>NOT(ISERROR(SEARCH("Fully Achieved",I51)))</formula>
    </cfRule>
    <cfRule type="containsText" dxfId="3175" priority="6047" operator="containsText" text="Deferred">
      <formula>NOT(ISERROR(SEARCH("Deferred",I51)))</formula>
    </cfRule>
    <cfRule type="containsText" dxfId="3174" priority="6048" operator="containsText" text="Deleted">
      <formula>NOT(ISERROR(SEARCH("Deleted",I51)))</formula>
    </cfRule>
    <cfRule type="containsText" dxfId="3173" priority="6049" operator="containsText" text="In Danger of Falling Behind Target">
      <formula>NOT(ISERROR(SEARCH("In Danger of Falling Behind Target",I51)))</formula>
    </cfRule>
    <cfRule type="containsText" dxfId="3172" priority="6050" operator="containsText" text="Not yet due">
      <formula>NOT(ISERROR(SEARCH("Not yet due",I51)))</formula>
    </cfRule>
    <cfRule type="containsText" dxfId="3171" priority="6051" operator="containsText" text="Update not Provided">
      <formula>NOT(ISERROR(SEARCH("Update not Provided",I51)))</formula>
    </cfRule>
  </conditionalFormatting>
  <conditionalFormatting sqref="I63">
    <cfRule type="containsText" dxfId="3170" priority="5944" operator="containsText" text="On track to be achieved">
      <formula>NOT(ISERROR(SEARCH("On track to be achieved",I63)))</formula>
    </cfRule>
    <cfRule type="containsText" dxfId="3169" priority="5945" operator="containsText" text="Deferred">
      <formula>NOT(ISERROR(SEARCH("Deferred",I63)))</formula>
    </cfRule>
    <cfRule type="containsText" dxfId="3168" priority="5946" operator="containsText" text="Deleted">
      <formula>NOT(ISERROR(SEARCH("Deleted",I63)))</formula>
    </cfRule>
    <cfRule type="containsText" dxfId="3167" priority="5947" operator="containsText" text="In Danger of Falling Behind Target">
      <formula>NOT(ISERROR(SEARCH("In Danger of Falling Behind Target",I63)))</formula>
    </cfRule>
    <cfRule type="containsText" dxfId="3166" priority="5948" operator="containsText" text="Not yet due">
      <formula>NOT(ISERROR(SEARCH("Not yet due",I63)))</formula>
    </cfRule>
    <cfRule type="containsText" dxfId="3165" priority="5949" operator="containsText" text="Update not Provided">
      <formula>NOT(ISERROR(SEARCH("Update not Provided",I63)))</formula>
    </cfRule>
    <cfRule type="containsText" dxfId="3164" priority="5950" operator="containsText" text="Not yet due">
      <formula>NOT(ISERROR(SEARCH("Not yet due",I63)))</formula>
    </cfRule>
    <cfRule type="containsText" dxfId="3163" priority="5951" operator="containsText" text="Completed Behind Schedule">
      <formula>NOT(ISERROR(SEARCH("Completed Behind Schedule",I63)))</formula>
    </cfRule>
    <cfRule type="containsText" dxfId="3162" priority="5952" operator="containsText" text="Off Target">
      <formula>NOT(ISERROR(SEARCH("Off Target",I63)))</formula>
    </cfRule>
    <cfRule type="containsText" dxfId="3161" priority="5953" operator="containsText" text="On Track to be Achieved">
      <formula>NOT(ISERROR(SEARCH("On Track to be Achieved",I63)))</formula>
    </cfRule>
    <cfRule type="containsText" dxfId="3160" priority="5954" operator="containsText" text="Fully Achieved">
      <formula>NOT(ISERROR(SEARCH("Fully Achieved",I63)))</formula>
    </cfRule>
    <cfRule type="containsText" dxfId="3159" priority="5955" operator="containsText" text="Not yet due">
      <formula>NOT(ISERROR(SEARCH("Not yet due",I63)))</formula>
    </cfRule>
    <cfRule type="containsText" dxfId="3158" priority="5956" operator="containsText" text="Not Yet Due">
      <formula>NOT(ISERROR(SEARCH("Not Yet Due",I63)))</formula>
    </cfRule>
    <cfRule type="containsText" dxfId="3157" priority="5957" operator="containsText" text="Deferred">
      <formula>NOT(ISERROR(SEARCH("Deferred",I63)))</formula>
    </cfRule>
    <cfRule type="containsText" dxfId="3156" priority="5958" operator="containsText" text="Deleted">
      <formula>NOT(ISERROR(SEARCH("Deleted",I63)))</formula>
    </cfRule>
    <cfRule type="containsText" dxfId="3155" priority="5959" operator="containsText" text="In Danger of Falling Behind Target">
      <formula>NOT(ISERROR(SEARCH("In Danger of Falling Behind Target",I63)))</formula>
    </cfRule>
    <cfRule type="containsText" dxfId="3154" priority="5960" operator="containsText" text="Not yet due">
      <formula>NOT(ISERROR(SEARCH("Not yet due",I63)))</formula>
    </cfRule>
    <cfRule type="containsText" dxfId="3153" priority="5961" operator="containsText" text="Completed Behind Schedule">
      <formula>NOT(ISERROR(SEARCH("Completed Behind Schedule",I63)))</formula>
    </cfRule>
    <cfRule type="containsText" dxfId="3152" priority="5962" operator="containsText" text="Off Target">
      <formula>NOT(ISERROR(SEARCH("Off Target",I63)))</formula>
    </cfRule>
    <cfRule type="containsText" dxfId="3151" priority="5963" operator="containsText" text="In Danger of Falling Behind Target">
      <formula>NOT(ISERROR(SEARCH("In Danger of Falling Behind Target",I63)))</formula>
    </cfRule>
    <cfRule type="containsText" dxfId="3150" priority="5964" operator="containsText" text="On Track to be Achieved">
      <formula>NOT(ISERROR(SEARCH("On Track to be Achieved",I63)))</formula>
    </cfRule>
    <cfRule type="containsText" dxfId="3149" priority="5965" operator="containsText" text="Fully Achieved">
      <formula>NOT(ISERROR(SEARCH("Fully Achieved",I63)))</formula>
    </cfRule>
    <cfRule type="containsText" dxfId="3148" priority="5966" operator="containsText" text="Update not Provided">
      <formula>NOT(ISERROR(SEARCH("Update not Provided",I63)))</formula>
    </cfRule>
    <cfRule type="containsText" dxfId="3147" priority="5967" operator="containsText" text="Not yet due">
      <formula>NOT(ISERROR(SEARCH("Not yet due",I63)))</formula>
    </cfRule>
    <cfRule type="containsText" dxfId="3146" priority="5968" operator="containsText" text="Completed Behind Schedule">
      <formula>NOT(ISERROR(SEARCH("Completed Behind Schedule",I63)))</formula>
    </cfRule>
    <cfRule type="containsText" dxfId="3145" priority="5969" operator="containsText" text="Off Target">
      <formula>NOT(ISERROR(SEARCH("Off Target",I63)))</formula>
    </cfRule>
    <cfRule type="containsText" dxfId="3144" priority="5970" operator="containsText" text="In Danger of Falling Behind Target">
      <formula>NOT(ISERROR(SEARCH("In Danger of Falling Behind Target",I63)))</formula>
    </cfRule>
    <cfRule type="containsText" dxfId="3143" priority="5971" operator="containsText" text="On Track to be Achieved">
      <formula>NOT(ISERROR(SEARCH("On Track to be Achieved",I63)))</formula>
    </cfRule>
    <cfRule type="containsText" dxfId="3142" priority="5972" operator="containsText" text="Fully Achieved">
      <formula>NOT(ISERROR(SEARCH("Fully Achieved",I63)))</formula>
    </cfRule>
    <cfRule type="containsText" dxfId="3141" priority="5973" operator="containsText" text="Fully Achieved">
      <formula>NOT(ISERROR(SEARCH("Fully Achieved",I63)))</formula>
    </cfRule>
    <cfRule type="containsText" dxfId="3140" priority="5974" operator="containsText" text="Fully Achieved">
      <formula>NOT(ISERROR(SEARCH("Fully Achieved",I63)))</formula>
    </cfRule>
    <cfRule type="containsText" dxfId="3139" priority="5975" operator="containsText" text="Deferred">
      <formula>NOT(ISERROR(SEARCH("Deferred",I63)))</formula>
    </cfRule>
    <cfRule type="containsText" dxfId="3138" priority="5976" operator="containsText" text="Deleted">
      <formula>NOT(ISERROR(SEARCH("Deleted",I63)))</formula>
    </cfRule>
    <cfRule type="containsText" dxfId="3137" priority="5977" operator="containsText" text="In Danger of Falling Behind Target">
      <formula>NOT(ISERROR(SEARCH("In Danger of Falling Behind Target",I63)))</formula>
    </cfRule>
    <cfRule type="containsText" dxfId="3136" priority="5978" operator="containsText" text="Not yet due">
      <formula>NOT(ISERROR(SEARCH("Not yet due",I63)))</formula>
    </cfRule>
    <cfRule type="containsText" dxfId="3135" priority="5979" operator="containsText" text="Update not Provided">
      <formula>NOT(ISERROR(SEARCH("Update not Provided",I63)))</formula>
    </cfRule>
  </conditionalFormatting>
  <conditionalFormatting sqref="I71:I73">
    <cfRule type="containsText" dxfId="3134" priority="5908" operator="containsText" text="On track to be achieved">
      <formula>NOT(ISERROR(SEARCH("On track to be achieved",I71)))</formula>
    </cfRule>
    <cfRule type="containsText" dxfId="3133" priority="5909" operator="containsText" text="Deferred">
      <formula>NOT(ISERROR(SEARCH("Deferred",I71)))</formula>
    </cfRule>
    <cfRule type="containsText" dxfId="3132" priority="5910" operator="containsText" text="Deleted">
      <formula>NOT(ISERROR(SEARCH("Deleted",I71)))</formula>
    </cfRule>
    <cfRule type="containsText" dxfId="3131" priority="5911" operator="containsText" text="In Danger of Falling Behind Target">
      <formula>NOT(ISERROR(SEARCH("In Danger of Falling Behind Target",I71)))</formula>
    </cfRule>
    <cfRule type="containsText" dxfId="3130" priority="5912" operator="containsText" text="Not yet due">
      <formula>NOT(ISERROR(SEARCH("Not yet due",I71)))</formula>
    </cfRule>
    <cfRule type="containsText" dxfId="3129" priority="5913" operator="containsText" text="Update not Provided">
      <formula>NOT(ISERROR(SEARCH("Update not Provided",I71)))</formula>
    </cfRule>
    <cfRule type="containsText" dxfId="3128" priority="5914" operator="containsText" text="Not yet due">
      <formula>NOT(ISERROR(SEARCH("Not yet due",I71)))</formula>
    </cfRule>
    <cfRule type="containsText" dxfId="3127" priority="5915" operator="containsText" text="Completed Behind Schedule">
      <formula>NOT(ISERROR(SEARCH("Completed Behind Schedule",I71)))</formula>
    </cfRule>
    <cfRule type="containsText" dxfId="3126" priority="5916" operator="containsText" text="Off Target">
      <formula>NOT(ISERROR(SEARCH("Off Target",I71)))</formula>
    </cfRule>
    <cfRule type="containsText" dxfId="3125" priority="5917" operator="containsText" text="On Track to be Achieved">
      <formula>NOT(ISERROR(SEARCH("On Track to be Achieved",I71)))</formula>
    </cfRule>
    <cfRule type="containsText" dxfId="3124" priority="5918" operator="containsText" text="Fully Achieved">
      <formula>NOT(ISERROR(SEARCH("Fully Achieved",I71)))</formula>
    </cfRule>
    <cfRule type="containsText" dxfId="3123" priority="5919" operator="containsText" text="Not yet due">
      <formula>NOT(ISERROR(SEARCH("Not yet due",I71)))</formula>
    </cfRule>
    <cfRule type="containsText" dxfId="3122" priority="5920" operator="containsText" text="Not Yet Due">
      <formula>NOT(ISERROR(SEARCH("Not Yet Due",I71)))</formula>
    </cfRule>
    <cfRule type="containsText" dxfId="3121" priority="5921" operator="containsText" text="Deferred">
      <formula>NOT(ISERROR(SEARCH("Deferred",I71)))</formula>
    </cfRule>
    <cfRule type="containsText" dxfId="3120" priority="5922" operator="containsText" text="Deleted">
      <formula>NOT(ISERROR(SEARCH("Deleted",I71)))</formula>
    </cfRule>
    <cfRule type="containsText" dxfId="3119" priority="5923" operator="containsText" text="In Danger of Falling Behind Target">
      <formula>NOT(ISERROR(SEARCH("In Danger of Falling Behind Target",I71)))</formula>
    </cfRule>
    <cfRule type="containsText" dxfId="3118" priority="5924" operator="containsText" text="Not yet due">
      <formula>NOT(ISERROR(SEARCH("Not yet due",I71)))</formula>
    </cfRule>
    <cfRule type="containsText" dxfId="3117" priority="5925" operator="containsText" text="Completed Behind Schedule">
      <formula>NOT(ISERROR(SEARCH("Completed Behind Schedule",I71)))</formula>
    </cfRule>
    <cfRule type="containsText" dxfId="3116" priority="5926" operator="containsText" text="Off Target">
      <formula>NOT(ISERROR(SEARCH("Off Target",I71)))</formula>
    </cfRule>
    <cfRule type="containsText" dxfId="3115" priority="5927" operator="containsText" text="In Danger of Falling Behind Target">
      <formula>NOT(ISERROR(SEARCH("In Danger of Falling Behind Target",I71)))</formula>
    </cfRule>
    <cfRule type="containsText" dxfId="3114" priority="5928" operator="containsText" text="On Track to be Achieved">
      <formula>NOT(ISERROR(SEARCH("On Track to be Achieved",I71)))</formula>
    </cfRule>
    <cfRule type="containsText" dxfId="3113" priority="5929" operator="containsText" text="Fully Achieved">
      <formula>NOT(ISERROR(SEARCH("Fully Achieved",I71)))</formula>
    </cfRule>
    <cfRule type="containsText" dxfId="3112" priority="5930" operator="containsText" text="Update not Provided">
      <formula>NOT(ISERROR(SEARCH("Update not Provided",I71)))</formula>
    </cfRule>
    <cfRule type="containsText" dxfId="3111" priority="5931" operator="containsText" text="Not yet due">
      <formula>NOT(ISERROR(SEARCH("Not yet due",I71)))</formula>
    </cfRule>
    <cfRule type="containsText" dxfId="3110" priority="5932" operator="containsText" text="Completed Behind Schedule">
      <formula>NOT(ISERROR(SEARCH("Completed Behind Schedule",I71)))</formula>
    </cfRule>
    <cfRule type="containsText" dxfId="3109" priority="5933" operator="containsText" text="Off Target">
      <formula>NOT(ISERROR(SEARCH("Off Target",I71)))</formula>
    </cfRule>
    <cfRule type="containsText" dxfId="3108" priority="5934" operator="containsText" text="In Danger of Falling Behind Target">
      <formula>NOT(ISERROR(SEARCH("In Danger of Falling Behind Target",I71)))</formula>
    </cfRule>
    <cfRule type="containsText" dxfId="3107" priority="5935" operator="containsText" text="On Track to be Achieved">
      <formula>NOT(ISERROR(SEARCH("On Track to be Achieved",I71)))</formula>
    </cfRule>
    <cfRule type="containsText" dxfId="3106" priority="5936" operator="containsText" text="Fully Achieved">
      <formula>NOT(ISERROR(SEARCH("Fully Achieved",I71)))</formula>
    </cfRule>
    <cfRule type="containsText" dxfId="3105" priority="5937" operator="containsText" text="Fully Achieved">
      <formula>NOT(ISERROR(SEARCH("Fully Achieved",I71)))</formula>
    </cfRule>
    <cfRule type="containsText" dxfId="3104" priority="5938" operator="containsText" text="Fully Achieved">
      <formula>NOT(ISERROR(SEARCH("Fully Achieved",I71)))</formula>
    </cfRule>
    <cfRule type="containsText" dxfId="3103" priority="5939" operator="containsText" text="Deferred">
      <formula>NOT(ISERROR(SEARCH("Deferred",I71)))</formula>
    </cfRule>
    <cfRule type="containsText" dxfId="3102" priority="5940" operator="containsText" text="Deleted">
      <formula>NOT(ISERROR(SEARCH("Deleted",I71)))</formula>
    </cfRule>
    <cfRule type="containsText" dxfId="3101" priority="5941" operator="containsText" text="In Danger of Falling Behind Target">
      <formula>NOT(ISERROR(SEARCH("In Danger of Falling Behind Target",I71)))</formula>
    </cfRule>
    <cfRule type="containsText" dxfId="3100" priority="5942" operator="containsText" text="Not yet due">
      <formula>NOT(ISERROR(SEARCH("Not yet due",I71)))</formula>
    </cfRule>
    <cfRule type="containsText" dxfId="3099" priority="5943" operator="containsText" text="Update not Provided">
      <formula>NOT(ISERROR(SEARCH("Update not Provided",I71)))</formula>
    </cfRule>
  </conditionalFormatting>
  <conditionalFormatting sqref="I86">
    <cfRule type="containsText" dxfId="3098" priority="5800" operator="containsText" text="On track to be achieved">
      <formula>NOT(ISERROR(SEARCH("On track to be achieved",I86)))</formula>
    </cfRule>
    <cfRule type="containsText" dxfId="3097" priority="5801" operator="containsText" text="Deferred">
      <formula>NOT(ISERROR(SEARCH("Deferred",I86)))</formula>
    </cfRule>
    <cfRule type="containsText" dxfId="3096" priority="5802" operator="containsText" text="Deleted">
      <formula>NOT(ISERROR(SEARCH("Deleted",I86)))</formula>
    </cfRule>
    <cfRule type="containsText" dxfId="3095" priority="5803" operator="containsText" text="In Danger of Falling Behind Target">
      <formula>NOT(ISERROR(SEARCH("In Danger of Falling Behind Target",I86)))</formula>
    </cfRule>
    <cfRule type="containsText" dxfId="3094" priority="5804" operator="containsText" text="Not yet due">
      <formula>NOT(ISERROR(SEARCH("Not yet due",I86)))</formula>
    </cfRule>
    <cfRule type="containsText" dxfId="3093" priority="5805" operator="containsText" text="Update not Provided">
      <formula>NOT(ISERROR(SEARCH("Update not Provided",I86)))</formula>
    </cfRule>
    <cfRule type="containsText" dxfId="3092" priority="5806" operator="containsText" text="Not yet due">
      <formula>NOT(ISERROR(SEARCH("Not yet due",I86)))</formula>
    </cfRule>
    <cfRule type="containsText" dxfId="3091" priority="5807" operator="containsText" text="Completed Behind Schedule">
      <formula>NOT(ISERROR(SEARCH("Completed Behind Schedule",I86)))</formula>
    </cfRule>
    <cfRule type="containsText" dxfId="3090" priority="5808" operator="containsText" text="Off Target">
      <formula>NOT(ISERROR(SEARCH("Off Target",I86)))</formula>
    </cfRule>
    <cfRule type="containsText" dxfId="3089" priority="5809" operator="containsText" text="On Track to be Achieved">
      <formula>NOT(ISERROR(SEARCH("On Track to be Achieved",I86)))</formula>
    </cfRule>
    <cfRule type="containsText" dxfId="3088" priority="5810" operator="containsText" text="Fully Achieved">
      <formula>NOT(ISERROR(SEARCH("Fully Achieved",I86)))</formula>
    </cfRule>
    <cfRule type="containsText" dxfId="3087" priority="5811" operator="containsText" text="Not yet due">
      <formula>NOT(ISERROR(SEARCH("Not yet due",I86)))</formula>
    </cfRule>
    <cfRule type="containsText" dxfId="3086" priority="5812" operator="containsText" text="Not Yet Due">
      <formula>NOT(ISERROR(SEARCH("Not Yet Due",I86)))</formula>
    </cfRule>
    <cfRule type="containsText" dxfId="3085" priority="5813" operator="containsText" text="Deferred">
      <formula>NOT(ISERROR(SEARCH("Deferred",I86)))</formula>
    </cfRule>
    <cfRule type="containsText" dxfId="3084" priority="5814" operator="containsText" text="Deleted">
      <formula>NOT(ISERROR(SEARCH("Deleted",I86)))</formula>
    </cfRule>
    <cfRule type="containsText" dxfId="3083" priority="5815" operator="containsText" text="In Danger of Falling Behind Target">
      <formula>NOT(ISERROR(SEARCH("In Danger of Falling Behind Target",I86)))</formula>
    </cfRule>
    <cfRule type="containsText" dxfId="3082" priority="5816" operator="containsText" text="Not yet due">
      <formula>NOT(ISERROR(SEARCH("Not yet due",I86)))</formula>
    </cfRule>
    <cfRule type="containsText" dxfId="3081" priority="5817" operator="containsText" text="Completed Behind Schedule">
      <formula>NOT(ISERROR(SEARCH("Completed Behind Schedule",I86)))</formula>
    </cfRule>
    <cfRule type="containsText" dxfId="3080" priority="5818" operator="containsText" text="Off Target">
      <formula>NOT(ISERROR(SEARCH("Off Target",I86)))</formula>
    </cfRule>
    <cfRule type="containsText" dxfId="3079" priority="5819" operator="containsText" text="In Danger of Falling Behind Target">
      <formula>NOT(ISERROR(SEARCH("In Danger of Falling Behind Target",I86)))</formula>
    </cfRule>
    <cfRule type="containsText" dxfId="3078" priority="5820" operator="containsText" text="On Track to be Achieved">
      <formula>NOT(ISERROR(SEARCH("On Track to be Achieved",I86)))</formula>
    </cfRule>
    <cfRule type="containsText" dxfId="3077" priority="5821" operator="containsText" text="Fully Achieved">
      <formula>NOT(ISERROR(SEARCH("Fully Achieved",I86)))</formula>
    </cfRule>
    <cfRule type="containsText" dxfId="3076" priority="5822" operator="containsText" text="Update not Provided">
      <formula>NOT(ISERROR(SEARCH("Update not Provided",I86)))</formula>
    </cfRule>
    <cfRule type="containsText" dxfId="3075" priority="5823" operator="containsText" text="Not yet due">
      <formula>NOT(ISERROR(SEARCH("Not yet due",I86)))</formula>
    </cfRule>
    <cfRule type="containsText" dxfId="3074" priority="5824" operator="containsText" text="Completed Behind Schedule">
      <formula>NOT(ISERROR(SEARCH("Completed Behind Schedule",I86)))</formula>
    </cfRule>
    <cfRule type="containsText" dxfId="3073" priority="5825" operator="containsText" text="Off Target">
      <formula>NOT(ISERROR(SEARCH("Off Target",I86)))</formula>
    </cfRule>
    <cfRule type="containsText" dxfId="3072" priority="5826" operator="containsText" text="In Danger of Falling Behind Target">
      <formula>NOT(ISERROR(SEARCH("In Danger of Falling Behind Target",I86)))</formula>
    </cfRule>
    <cfRule type="containsText" dxfId="3071" priority="5827" operator="containsText" text="On Track to be Achieved">
      <formula>NOT(ISERROR(SEARCH("On Track to be Achieved",I86)))</formula>
    </cfRule>
    <cfRule type="containsText" dxfId="3070" priority="5828" operator="containsText" text="Fully Achieved">
      <formula>NOT(ISERROR(SEARCH("Fully Achieved",I86)))</formula>
    </cfRule>
    <cfRule type="containsText" dxfId="3069" priority="5829" operator="containsText" text="Fully Achieved">
      <formula>NOT(ISERROR(SEARCH("Fully Achieved",I86)))</formula>
    </cfRule>
    <cfRule type="containsText" dxfId="3068" priority="5830" operator="containsText" text="Fully Achieved">
      <formula>NOT(ISERROR(SEARCH("Fully Achieved",I86)))</formula>
    </cfRule>
    <cfRule type="containsText" dxfId="3067" priority="5831" operator="containsText" text="Deferred">
      <formula>NOT(ISERROR(SEARCH("Deferred",I86)))</formula>
    </cfRule>
    <cfRule type="containsText" dxfId="3066" priority="5832" operator="containsText" text="Deleted">
      <formula>NOT(ISERROR(SEARCH("Deleted",I86)))</formula>
    </cfRule>
    <cfRule type="containsText" dxfId="3065" priority="5833" operator="containsText" text="In Danger of Falling Behind Target">
      <formula>NOT(ISERROR(SEARCH("In Danger of Falling Behind Target",I86)))</formula>
    </cfRule>
    <cfRule type="containsText" dxfId="3064" priority="5834" operator="containsText" text="Not yet due">
      <formula>NOT(ISERROR(SEARCH("Not yet due",I86)))</formula>
    </cfRule>
    <cfRule type="containsText" dxfId="3063" priority="5835" operator="containsText" text="Update not Provided">
      <formula>NOT(ISERROR(SEARCH("Update not Provided",I86)))</formula>
    </cfRule>
  </conditionalFormatting>
  <conditionalFormatting sqref="I4:I12">
    <cfRule type="containsText" dxfId="3062" priority="3100" operator="containsText" text="On track to be achieved">
      <formula>NOT(ISERROR(SEARCH("On track to be achieved",I4)))</formula>
    </cfRule>
    <cfRule type="containsText" dxfId="3061" priority="3101" operator="containsText" text="Deferred">
      <formula>NOT(ISERROR(SEARCH("Deferred",I4)))</formula>
    </cfRule>
    <cfRule type="containsText" dxfId="3060" priority="3102" operator="containsText" text="Deleted">
      <formula>NOT(ISERROR(SEARCH("Deleted",I4)))</formula>
    </cfRule>
    <cfRule type="containsText" dxfId="3059" priority="3103" operator="containsText" text="In Danger of Falling Behind Target">
      <formula>NOT(ISERROR(SEARCH("In Danger of Falling Behind Target",I4)))</formula>
    </cfRule>
    <cfRule type="containsText" dxfId="3058" priority="3104" operator="containsText" text="Not yet due">
      <formula>NOT(ISERROR(SEARCH("Not yet due",I4)))</formula>
    </cfRule>
    <cfRule type="containsText" dxfId="3057" priority="3105" operator="containsText" text="Update not Provided">
      <formula>NOT(ISERROR(SEARCH("Update not Provided",I4)))</formula>
    </cfRule>
    <cfRule type="containsText" dxfId="3056" priority="3106" operator="containsText" text="Not yet due">
      <formula>NOT(ISERROR(SEARCH("Not yet due",I4)))</formula>
    </cfRule>
    <cfRule type="containsText" dxfId="3055" priority="3107" operator="containsText" text="Completed Behind Schedule">
      <formula>NOT(ISERROR(SEARCH("Completed Behind Schedule",I4)))</formula>
    </cfRule>
    <cfRule type="containsText" dxfId="3054" priority="3108" operator="containsText" text="Off Target">
      <formula>NOT(ISERROR(SEARCH("Off Target",I4)))</formula>
    </cfRule>
    <cfRule type="containsText" dxfId="3053" priority="3109" operator="containsText" text="On Track to be Achieved">
      <formula>NOT(ISERROR(SEARCH("On Track to be Achieved",I4)))</formula>
    </cfRule>
    <cfRule type="containsText" dxfId="3052" priority="3110" operator="containsText" text="Fully Achieved">
      <formula>NOT(ISERROR(SEARCH("Fully Achieved",I4)))</formula>
    </cfRule>
    <cfRule type="containsText" dxfId="3051" priority="3111" operator="containsText" text="Not yet due">
      <formula>NOT(ISERROR(SEARCH("Not yet due",I4)))</formula>
    </cfRule>
    <cfRule type="containsText" dxfId="3050" priority="3112" operator="containsText" text="Not Yet Due">
      <formula>NOT(ISERROR(SEARCH("Not Yet Due",I4)))</formula>
    </cfRule>
    <cfRule type="containsText" dxfId="3049" priority="3113" operator="containsText" text="Deferred">
      <formula>NOT(ISERROR(SEARCH("Deferred",I4)))</formula>
    </cfRule>
    <cfRule type="containsText" dxfId="3048" priority="3114" operator="containsText" text="Deleted">
      <formula>NOT(ISERROR(SEARCH("Deleted",I4)))</formula>
    </cfRule>
    <cfRule type="containsText" dxfId="3047" priority="3115" operator="containsText" text="In Danger of Falling Behind Target">
      <formula>NOT(ISERROR(SEARCH("In Danger of Falling Behind Target",I4)))</formula>
    </cfRule>
    <cfRule type="containsText" dxfId="3046" priority="3116" operator="containsText" text="Not yet due">
      <formula>NOT(ISERROR(SEARCH("Not yet due",I4)))</formula>
    </cfRule>
    <cfRule type="containsText" dxfId="3045" priority="3117" operator="containsText" text="Completed Behind Schedule">
      <formula>NOT(ISERROR(SEARCH("Completed Behind Schedule",I4)))</formula>
    </cfRule>
    <cfRule type="containsText" dxfId="3044" priority="3118" operator="containsText" text="Off Target">
      <formula>NOT(ISERROR(SEARCH("Off Target",I4)))</formula>
    </cfRule>
    <cfRule type="containsText" dxfId="3043" priority="3119" operator="containsText" text="In Danger of Falling Behind Target">
      <formula>NOT(ISERROR(SEARCH("In Danger of Falling Behind Target",I4)))</formula>
    </cfRule>
    <cfRule type="containsText" dxfId="3042" priority="3120" operator="containsText" text="On Track to be Achieved">
      <formula>NOT(ISERROR(SEARCH("On Track to be Achieved",I4)))</formula>
    </cfRule>
    <cfRule type="containsText" dxfId="3041" priority="3121" operator="containsText" text="Fully Achieved">
      <formula>NOT(ISERROR(SEARCH("Fully Achieved",I4)))</formula>
    </cfRule>
    <cfRule type="containsText" dxfId="3040" priority="3122" operator="containsText" text="Update not Provided">
      <formula>NOT(ISERROR(SEARCH("Update not Provided",I4)))</formula>
    </cfRule>
    <cfRule type="containsText" dxfId="3039" priority="3123" operator="containsText" text="Not yet due">
      <formula>NOT(ISERROR(SEARCH("Not yet due",I4)))</formula>
    </cfRule>
    <cfRule type="containsText" dxfId="3038" priority="3124" operator="containsText" text="Completed Behind Schedule">
      <formula>NOT(ISERROR(SEARCH("Completed Behind Schedule",I4)))</formula>
    </cfRule>
    <cfRule type="containsText" dxfId="3037" priority="3125" operator="containsText" text="Off Target">
      <formula>NOT(ISERROR(SEARCH("Off Target",I4)))</formula>
    </cfRule>
    <cfRule type="containsText" dxfId="3036" priority="3126" operator="containsText" text="In Danger of Falling Behind Target">
      <formula>NOT(ISERROR(SEARCH("In Danger of Falling Behind Target",I4)))</formula>
    </cfRule>
    <cfRule type="containsText" dxfId="3035" priority="3127" operator="containsText" text="On Track to be Achieved">
      <formula>NOT(ISERROR(SEARCH("On Track to be Achieved",I4)))</formula>
    </cfRule>
    <cfRule type="containsText" dxfId="3034" priority="3128" operator="containsText" text="Fully Achieved">
      <formula>NOT(ISERROR(SEARCH("Fully Achieved",I4)))</formula>
    </cfRule>
    <cfRule type="containsText" dxfId="3033" priority="3129" operator="containsText" text="Fully Achieved">
      <formula>NOT(ISERROR(SEARCH("Fully Achieved",I4)))</formula>
    </cfRule>
    <cfRule type="containsText" dxfId="3032" priority="3130" operator="containsText" text="Fully Achieved">
      <formula>NOT(ISERROR(SEARCH("Fully Achieved",I4)))</formula>
    </cfRule>
    <cfRule type="containsText" dxfId="3031" priority="3131" operator="containsText" text="Deferred">
      <formula>NOT(ISERROR(SEARCH("Deferred",I4)))</formula>
    </cfRule>
    <cfRule type="containsText" dxfId="3030" priority="3132" operator="containsText" text="Deleted">
      <formula>NOT(ISERROR(SEARCH("Deleted",I4)))</formula>
    </cfRule>
    <cfRule type="containsText" dxfId="3029" priority="3133" operator="containsText" text="In Danger of Falling Behind Target">
      <formula>NOT(ISERROR(SEARCH("In Danger of Falling Behind Target",I4)))</formula>
    </cfRule>
    <cfRule type="containsText" dxfId="3028" priority="3134" operator="containsText" text="Not yet due">
      <formula>NOT(ISERROR(SEARCH("Not yet due",I4)))</formula>
    </cfRule>
    <cfRule type="containsText" dxfId="3027" priority="3135" operator="containsText" text="Update not Provided">
      <formula>NOT(ISERROR(SEARCH("Update not Provided",I4)))</formula>
    </cfRule>
  </conditionalFormatting>
  <conditionalFormatting sqref="I14:I31">
    <cfRule type="containsText" dxfId="3026" priority="3064" operator="containsText" text="On track to be achieved">
      <formula>NOT(ISERROR(SEARCH("On track to be achieved",I14)))</formula>
    </cfRule>
    <cfRule type="containsText" dxfId="3025" priority="3065" operator="containsText" text="Deferred">
      <formula>NOT(ISERROR(SEARCH("Deferred",I14)))</formula>
    </cfRule>
    <cfRule type="containsText" dxfId="3024" priority="3066" operator="containsText" text="Deleted">
      <formula>NOT(ISERROR(SEARCH("Deleted",I14)))</formula>
    </cfRule>
    <cfRule type="containsText" dxfId="3023" priority="3067" operator="containsText" text="In Danger of Falling Behind Target">
      <formula>NOT(ISERROR(SEARCH("In Danger of Falling Behind Target",I14)))</formula>
    </cfRule>
    <cfRule type="containsText" dxfId="3022" priority="3068" operator="containsText" text="Not yet due">
      <formula>NOT(ISERROR(SEARCH("Not yet due",I14)))</formula>
    </cfRule>
    <cfRule type="containsText" dxfId="3021" priority="3069" operator="containsText" text="Update not Provided">
      <formula>NOT(ISERROR(SEARCH("Update not Provided",I14)))</formula>
    </cfRule>
    <cfRule type="containsText" dxfId="3020" priority="3070" operator="containsText" text="Not yet due">
      <formula>NOT(ISERROR(SEARCH("Not yet due",I14)))</formula>
    </cfRule>
    <cfRule type="containsText" dxfId="3019" priority="3071" operator="containsText" text="Completed Behind Schedule">
      <formula>NOT(ISERROR(SEARCH("Completed Behind Schedule",I14)))</formula>
    </cfRule>
    <cfRule type="containsText" dxfId="3018" priority="3072" operator="containsText" text="Off Target">
      <formula>NOT(ISERROR(SEARCH("Off Target",I14)))</formula>
    </cfRule>
    <cfRule type="containsText" dxfId="3017" priority="3073" operator="containsText" text="On Track to be Achieved">
      <formula>NOT(ISERROR(SEARCH("On Track to be Achieved",I14)))</formula>
    </cfRule>
    <cfRule type="containsText" dxfId="3016" priority="3074" operator="containsText" text="Fully Achieved">
      <formula>NOT(ISERROR(SEARCH("Fully Achieved",I14)))</formula>
    </cfRule>
    <cfRule type="containsText" dxfId="3015" priority="3075" operator="containsText" text="Not yet due">
      <formula>NOT(ISERROR(SEARCH("Not yet due",I14)))</formula>
    </cfRule>
    <cfRule type="containsText" dxfId="3014" priority="3076" operator="containsText" text="Not Yet Due">
      <formula>NOT(ISERROR(SEARCH("Not Yet Due",I14)))</formula>
    </cfRule>
    <cfRule type="containsText" dxfId="3013" priority="3077" operator="containsText" text="Deferred">
      <formula>NOT(ISERROR(SEARCH("Deferred",I14)))</formula>
    </cfRule>
    <cfRule type="containsText" dxfId="3012" priority="3078" operator="containsText" text="Deleted">
      <formula>NOT(ISERROR(SEARCH("Deleted",I14)))</formula>
    </cfRule>
    <cfRule type="containsText" dxfId="3011" priority="3079" operator="containsText" text="In Danger of Falling Behind Target">
      <formula>NOT(ISERROR(SEARCH("In Danger of Falling Behind Target",I14)))</formula>
    </cfRule>
    <cfRule type="containsText" dxfId="3010" priority="3080" operator="containsText" text="Not yet due">
      <formula>NOT(ISERROR(SEARCH("Not yet due",I14)))</formula>
    </cfRule>
    <cfRule type="containsText" dxfId="3009" priority="3081" operator="containsText" text="Completed Behind Schedule">
      <formula>NOT(ISERROR(SEARCH("Completed Behind Schedule",I14)))</formula>
    </cfRule>
    <cfRule type="containsText" dxfId="3008" priority="3082" operator="containsText" text="Off Target">
      <formula>NOT(ISERROR(SEARCH("Off Target",I14)))</formula>
    </cfRule>
    <cfRule type="containsText" dxfId="3007" priority="3083" operator="containsText" text="In Danger of Falling Behind Target">
      <formula>NOT(ISERROR(SEARCH("In Danger of Falling Behind Target",I14)))</formula>
    </cfRule>
    <cfRule type="containsText" dxfId="3006" priority="3084" operator="containsText" text="On Track to be Achieved">
      <formula>NOT(ISERROR(SEARCH("On Track to be Achieved",I14)))</formula>
    </cfRule>
    <cfRule type="containsText" dxfId="3005" priority="3085" operator="containsText" text="Fully Achieved">
      <formula>NOT(ISERROR(SEARCH("Fully Achieved",I14)))</formula>
    </cfRule>
    <cfRule type="containsText" dxfId="3004" priority="3086" operator="containsText" text="Update not Provided">
      <formula>NOT(ISERROR(SEARCH("Update not Provided",I14)))</formula>
    </cfRule>
    <cfRule type="containsText" dxfId="3003" priority="3087" operator="containsText" text="Not yet due">
      <formula>NOT(ISERROR(SEARCH("Not yet due",I14)))</formula>
    </cfRule>
    <cfRule type="containsText" dxfId="3002" priority="3088" operator="containsText" text="Completed Behind Schedule">
      <formula>NOT(ISERROR(SEARCH("Completed Behind Schedule",I14)))</formula>
    </cfRule>
    <cfRule type="containsText" dxfId="3001" priority="3089" operator="containsText" text="Off Target">
      <formula>NOT(ISERROR(SEARCH("Off Target",I14)))</formula>
    </cfRule>
    <cfRule type="containsText" dxfId="3000" priority="3090" operator="containsText" text="In Danger of Falling Behind Target">
      <formula>NOT(ISERROR(SEARCH("In Danger of Falling Behind Target",I14)))</formula>
    </cfRule>
    <cfRule type="containsText" dxfId="2999" priority="3091" operator="containsText" text="On Track to be Achieved">
      <formula>NOT(ISERROR(SEARCH("On Track to be Achieved",I14)))</formula>
    </cfRule>
    <cfRule type="containsText" dxfId="2998" priority="3092" operator="containsText" text="Fully Achieved">
      <formula>NOT(ISERROR(SEARCH("Fully Achieved",I14)))</formula>
    </cfRule>
    <cfRule type="containsText" dxfId="2997" priority="3093" operator="containsText" text="Fully Achieved">
      <formula>NOT(ISERROR(SEARCH("Fully Achieved",I14)))</formula>
    </cfRule>
    <cfRule type="containsText" dxfId="2996" priority="3094" operator="containsText" text="Fully Achieved">
      <formula>NOT(ISERROR(SEARCH("Fully Achieved",I14)))</formula>
    </cfRule>
    <cfRule type="containsText" dxfId="2995" priority="3095" operator="containsText" text="Deferred">
      <formula>NOT(ISERROR(SEARCH("Deferred",I14)))</formula>
    </cfRule>
    <cfRule type="containsText" dxfId="2994" priority="3096" operator="containsText" text="Deleted">
      <formula>NOT(ISERROR(SEARCH("Deleted",I14)))</formula>
    </cfRule>
    <cfRule type="containsText" dxfId="2993" priority="3097" operator="containsText" text="In Danger of Falling Behind Target">
      <formula>NOT(ISERROR(SEARCH("In Danger of Falling Behind Target",I14)))</formula>
    </cfRule>
    <cfRule type="containsText" dxfId="2992" priority="3098" operator="containsText" text="Not yet due">
      <formula>NOT(ISERROR(SEARCH("Not yet due",I14)))</formula>
    </cfRule>
    <cfRule type="containsText" dxfId="2991" priority="3099" operator="containsText" text="Update not Provided">
      <formula>NOT(ISERROR(SEARCH("Update not Provided",I14)))</formula>
    </cfRule>
  </conditionalFormatting>
  <conditionalFormatting sqref="I32:I42">
    <cfRule type="containsText" dxfId="2990" priority="3028" operator="containsText" text="On track to be achieved">
      <formula>NOT(ISERROR(SEARCH("On track to be achieved",I32)))</formula>
    </cfRule>
    <cfRule type="containsText" dxfId="2989" priority="3029" operator="containsText" text="Deferred">
      <formula>NOT(ISERROR(SEARCH("Deferred",I32)))</formula>
    </cfRule>
    <cfRule type="containsText" dxfId="2988" priority="3030" operator="containsText" text="Deleted">
      <formula>NOT(ISERROR(SEARCH("Deleted",I32)))</formula>
    </cfRule>
    <cfRule type="containsText" dxfId="2987" priority="3031" operator="containsText" text="In Danger of Falling Behind Target">
      <formula>NOT(ISERROR(SEARCH("In Danger of Falling Behind Target",I32)))</formula>
    </cfRule>
    <cfRule type="containsText" dxfId="2986" priority="3032" operator="containsText" text="Not yet due">
      <formula>NOT(ISERROR(SEARCH("Not yet due",I32)))</formula>
    </cfRule>
    <cfRule type="containsText" dxfId="2985" priority="3033" operator="containsText" text="Update not Provided">
      <formula>NOT(ISERROR(SEARCH("Update not Provided",I32)))</formula>
    </cfRule>
    <cfRule type="containsText" dxfId="2984" priority="3034" operator="containsText" text="Not yet due">
      <formula>NOT(ISERROR(SEARCH("Not yet due",I32)))</formula>
    </cfRule>
    <cfRule type="containsText" dxfId="2983" priority="3035" operator="containsText" text="Completed Behind Schedule">
      <formula>NOT(ISERROR(SEARCH("Completed Behind Schedule",I32)))</formula>
    </cfRule>
    <cfRule type="containsText" dxfId="2982" priority="3036" operator="containsText" text="Off Target">
      <formula>NOT(ISERROR(SEARCH("Off Target",I32)))</formula>
    </cfRule>
    <cfRule type="containsText" dxfId="2981" priority="3037" operator="containsText" text="On Track to be Achieved">
      <formula>NOT(ISERROR(SEARCH("On Track to be Achieved",I32)))</formula>
    </cfRule>
    <cfRule type="containsText" dxfId="2980" priority="3038" operator="containsText" text="Fully Achieved">
      <formula>NOT(ISERROR(SEARCH("Fully Achieved",I32)))</formula>
    </cfRule>
    <cfRule type="containsText" dxfId="2979" priority="3039" operator="containsText" text="Not yet due">
      <formula>NOT(ISERROR(SEARCH("Not yet due",I32)))</formula>
    </cfRule>
    <cfRule type="containsText" dxfId="2978" priority="3040" operator="containsText" text="Not Yet Due">
      <formula>NOT(ISERROR(SEARCH("Not Yet Due",I32)))</formula>
    </cfRule>
    <cfRule type="containsText" dxfId="2977" priority="3041" operator="containsText" text="Deferred">
      <formula>NOT(ISERROR(SEARCH("Deferred",I32)))</formula>
    </cfRule>
    <cfRule type="containsText" dxfId="2976" priority="3042" operator="containsText" text="Deleted">
      <formula>NOT(ISERROR(SEARCH("Deleted",I32)))</formula>
    </cfRule>
    <cfRule type="containsText" dxfId="2975" priority="3043" operator="containsText" text="In Danger of Falling Behind Target">
      <formula>NOT(ISERROR(SEARCH("In Danger of Falling Behind Target",I32)))</formula>
    </cfRule>
    <cfRule type="containsText" dxfId="2974" priority="3044" operator="containsText" text="Not yet due">
      <formula>NOT(ISERROR(SEARCH("Not yet due",I32)))</formula>
    </cfRule>
    <cfRule type="containsText" dxfId="2973" priority="3045" operator="containsText" text="Completed Behind Schedule">
      <formula>NOT(ISERROR(SEARCH("Completed Behind Schedule",I32)))</formula>
    </cfRule>
    <cfRule type="containsText" dxfId="2972" priority="3046" operator="containsText" text="Off Target">
      <formula>NOT(ISERROR(SEARCH("Off Target",I32)))</formula>
    </cfRule>
    <cfRule type="containsText" dxfId="2971" priority="3047" operator="containsText" text="In Danger of Falling Behind Target">
      <formula>NOT(ISERROR(SEARCH("In Danger of Falling Behind Target",I32)))</formula>
    </cfRule>
    <cfRule type="containsText" dxfId="2970" priority="3048" operator="containsText" text="On Track to be Achieved">
      <formula>NOT(ISERROR(SEARCH("On Track to be Achieved",I32)))</formula>
    </cfRule>
    <cfRule type="containsText" dxfId="2969" priority="3049" operator="containsText" text="Fully Achieved">
      <formula>NOT(ISERROR(SEARCH("Fully Achieved",I32)))</formula>
    </cfRule>
    <cfRule type="containsText" dxfId="2968" priority="3050" operator="containsText" text="Update not Provided">
      <formula>NOT(ISERROR(SEARCH("Update not Provided",I32)))</formula>
    </cfRule>
    <cfRule type="containsText" dxfId="2967" priority="3051" operator="containsText" text="Not yet due">
      <formula>NOT(ISERROR(SEARCH("Not yet due",I32)))</formula>
    </cfRule>
    <cfRule type="containsText" dxfId="2966" priority="3052" operator="containsText" text="Completed Behind Schedule">
      <formula>NOT(ISERROR(SEARCH("Completed Behind Schedule",I32)))</formula>
    </cfRule>
    <cfRule type="containsText" dxfId="2965" priority="3053" operator="containsText" text="Off Target">
      <formula>NOT(ISERROR(SEARCH("Off Target",I32)))</formula>
    </cfRule>
    <cfRule type="containsText" dxfId="2964" priority="3054" operator="containsText" text="In Danger of Falling Behind Target">
      <formula>NOT(ISERROR(SEARCH("In Danger of Falling Behind Target",I32)))</formula>
    </cfRule>
    <cfRule type="containsText" dxfId="2963" priority="3055" operator="containsText" text="On Track to be Achieved">
      <formula>NOT(ISERROR(SEARCH("On Track to be Achieved",I32)))</formula>
    </cfRule>
    <cfRule type="containsText" dxfId="2962" priority="3056" operator="containsText" text="Fully Achieved">
      <formula>NOT(ISERROR(SEARCH("Fully Achieved",I32)))</formula>
    </cfRule>
    <cfRule type="containsText" dxfId="2961" priority="3057" operator="containsText" text="Fully Achieved">
      <formula>NOT(ISERROR(SEARCH("Fully Achieved",I32)))</formula>
    </cfRule>
    <cfRule type="containsText" dxfId="2960" priority="3058" operator="containsText" text="Fully Achieved">
      <formula>NOT(ISERROR(SEARCH("Fully Achieved",I32)))</formula>
    </cfRule>
    <cfRule type="containsText" dxfId="2959" priority="3059" operator="containsText" text="Deferred">
      <formula>NOT(ISERROR(SEARCH("Deferred",I32)))</formula>
    </cfRule>
    <cfRule type="containsText" dxfId="2958" priority="3060" operator="containsText" text="Deleted">
      <formula>NOT(ISERROR(SEARCH("Deleted",I32)))</formula>
    </cfRule>
    <cfRule type="containsText" dxfId="2957" priority="3061" operator="containsText" text="In Danger of Falling Behind Target">
      <formula>NOT(ISERROR(SEARCH("In Danger of Falling Behind Target",I32)))</formula>
    </cfRule>
    <cfRule type="containsText" dxfId="2956" priority="3062" operator="containsText" text="Not yet due">
      <formula>NOT(ISERROR(SEARCH("Not yet due",I32)))</formula>
    </cfRule>
    <cfRule type="containsText" dxfId="2955" priority="3063" operator="containsText" text="Update not Provided">
      <formula>NOT(ISERROR(SEARCH("Update not Provided",I32)))</formula>
    </cfRule>
  </conditionalFormatting>
  <conditionalFormatting sqref="I43">
    <cfRule type="containsText" dxfId="2954" priority="2992" operator="containsText" text="On track to be achieved">
      <formula>NOT(ISERROR(SEARCH("On track to be achieved",I43)))</formula>
    </cfRule>
    <cfRule type="containsText" dxfId="2953" priority="2993" operator="containsText" text="Deferred">
      <formula>NOT(ISERROR(SEARCH("Deferred",I43)))</formula>
    </cfRule>
    <cfRule type="containsText" dxfId="2952" priority="2994" operator="containsText" text="Deleted">
      <formula>NOT(ISERROR(SEARCH("Deleted",I43)))</formula>
    </cfRule>
    <cfRule type="containsText" dxfId="2951" priority="2995" operator="containsText" text="In Danger of Falling Behind Target">
      <formula>NOT(ISERROR(SEARCH("In Danger of Falling Behind Target",I43)))</formula>
    </cfRule>
    <cfRule type="containsText" dxfId="2950" priority="2996" operator="containsText" text="Not yet due">
      <formula>NOT(ISERROR(SEARCH("Not yet due",I43)))</formula>
    </cfRule>
    <cfRule type="containsText" dxfId="2949" priority="2997" operator="containsText" text="Update not Provided">
      <formula>NOT(ISERROR(SEARCH("Update not Provided",I43)))</formula>
    </cfRule>
    <cfRule type="containsText" dxfId="2948" priority="2998" operator="containsText" text="Not yet due">
      <formula>NOT(ISERROR(SEARCH("Not yet due",I43)))</formula>
    </cfRule>
    <cfRule type="containsText" dxfId="2947" priority="2999" operator="containsText" text="Completed Behind Schedule">
      <formula>NOT(ISERROR(SEARCH("Completed Behind Schedule",I43)))</formula>
    </cfRule>
    <cfRule type="containsText" dxfId="2946" priority="3000" operator="containsText" text="Off Target">
      <formula>NOT(ISERROR(SEARCH("Off Target",I43)))</formula>
    </cfRule>
    <cfRule type="containsText" dxfId="2945" priority="3001" operator="containsText" text="On Track to be Achieved">
      <formula>NOT(ISERROR(SEARCH("On Track to be Achieved",I43)))</formula>
    </cfRule>
    <cfRule type="containsText" dxfId="2944" priority="3002" operator="containsText" text="Fully Achieved">
      <formula>NOT(ISERROR(SEARCH("Fully Achieved",I43)))</formula>
    </cfRule>
    <cfRule type="containsText" dxfId="2943" priority="3003" operator="containsText" text="Not yet due">
      <formula>NOT(ISERROR(SEARCH("Not yet due",I43)))</formula>
    </cfRule>
    <cfRule type="containsText" dxfId="2942" priority="3004" operator="containsText" text="Not Yet Due">
      <formula>NOT(ISERROR(SEARCH("Not Yet Due",I43)))</formula>
    </cfRule>
    <cfRule type="containsText" dxfId="2941" priority="3005" operator="containsText" text="Deferred">
      <formula>NOT(ISERROR(SEARCH("Deferred",I43)))</formula>
    </cfRule>
    <cfRule type="containsText" dxfId="2940" priority="3006" operator="containsText" text="Deleted">
      <formula>NOT(ISERROR(SEARCH("Deleted",I43)))</formula>
    </cfRule>
    <cfRule type="containsText" dxfId="2939" priority="3007" operator="containsText" text="In Danger of Falling Behind Target">
      <formula>NOT(ISERROR(SEARCH("In Danger of Falling Behind Target",I43)))</formula>
    </cfRule>
    <cfRule type="containsText" dxfId="2938" priority="3008" operator="containsText" text="Not yet due">
      <formula>NOT(ISERROR(SEARCH("Not yet due",I43)))</formula>
    </cfRule>
    <cfRule type="containsText" dxfId="2937" priority="3009" operator="containsText" text="Completed Behind Schedule">
      <formula>NOT(ISERROR(SEARCH("Completed Behind Schedule",I43)))</formula>
    </cfRule>
    <cfRule type="containsText" dxfId="2936" priority="3010" operator="containsText" text="Off Target">
      <formula>NOT(ISERROR(SEARCH("Off Target",I43)))</formula>
    </cfRule>
    <cfRule type="containsText" dxfId="2935" priority="3011" operator="containsText" text="In Danger of Falling Behind Target">
      <formula>NOT(ISERROR(SEARCH("In Danger of Falling Behind Target",I43)))</formula>
    </cfRule>
    <cfRule type="containsText" dxfId="2934" priority="3012" operator="containsText" text="On Track to be Achieved">
      <formula>NOT(ISERROR(SEARCH("On Track to be Achieved",I43)))</formula>
    </cfRule>
    <cfRule type="containsText" dxfId="2933" priority="3013" operator="containsText" text="Fully Achieved">
      <formula>NOT(ISERROR(SEARCH("Fully Achieved",I43)))</formula>
    </cfRule>
    <cfRule type="containsText" dxfId="2932" priority="3014" operator="containsText" text="Update not Provided">
      <formula>NOT(ISERROR(SEARCH("Update not Provided",I43)))</formula>
    </cfRule>
    <cfRule type="containsText" dxfId="2931" priority="3015" operator="containsText" text="Not yet due">
      <formula>NOT(ISERROR(SEARCH("Not yet due",I43)))</formula>
    </cfRule>
    <cfRule type="containsText" dxfId="2930" priority="3016" operator="containsText" text="Completed Behind Schedule">
      <formula>NOT(ISERROR(SEARCH("Completed Behind Schedule",I43)))</formula>
    </cfRule>
    <cfRule type="containsText" dxfId="2929" priority="3017" operator="containsText" text="Off Target">
      <formula>NOT(ISERROR(SEARCH("Off Target",I43)))</formula>
    </cfRule>
    <cfRule type="containsText" dxfId="2928" priority="3018" operator="containsText" text="In Danger of Falling Behind Target">
      <formula>NOT(ISERROR(SEARCH("In Danger of Falling Behind Target",I43)))</formula>
    </cfRule>
    <cfRule type="containsText" dxfId="2927" priority="3019" operator="containsText" text="On Track to be Achieved">
      <formula>NOT(ISERROR(SEARCH("On Track to be Achieved",I43)))</formula>
    </cfRule>
    <cfRule type="containsText" dxfId="2926" priority="3020" operator="containsText" text="Fully Achieved">
      <formula>NOT(ISERROR(SEARCH("Fully Achieved",I43)))</formula>
    </cfRule>
    <cfRule type="containsText" dxfId="2925" priority="3021" operator="containsText" text="Fully Achieved">
      <formula>NOT(ISERROR(SEARCH("Fully Achieved",I43)))</formula>
    </cfRule>
    <cfRule type="containsText" dxfId="2924" priority="3022" operator="containsText" text="Fully Achieved">
      <formula>NOT(ISERROR(SEARCH("Fully Achieved",I43)))</formula>
    </cfRule>
    <cfRule type="containsText" dxfId="2923" priority="3023" operator="containsText" text="Deferred">
      <formula>NOT(ISERROR(SEARCH("Deferred",I43)))</formula>
    </cfRule>
    <cfRule type="containsText" dxfId="2922" priority="3024" operator="containsText" text="Deleted">
      <formula>NOT(ISERROR(SEARCH("Deleted",I43)))</formula>
    </cfRule>
    <cfRule type="containsText" dxfId="2921" priority="3025" operator="containsText" text="In Danger of Falling Behind Target">
      <formula>NOT(ISERROR(SEARCH("In Danger of Falling Behind Target",I43)))</formula>
    </cfRule>
    <cfRule type="containsText" dxfId="2920" priority="3026" operator="containsText" text="Not yet due">
      <formula>NOT(ISERROR(SEARCH("Not yet due",I43)))</formula>
    </cfRule>
    <cfRule type="containsText" dxfId="2919" priority="3027" operator="containsText" text="Update not Provided">
      <formula>NOT(ISERROR(SEARCH("Update not Provided",I43)))</formula>
    </cfRule>
  </conditionalFormatting>
  <conditionalFormatting sqref="I43">
    <cfRule type="containsText" dxfId="2918" priority="2956" operator="containsText" text="On track to be achieved">
      <formula>NOT(ISERROR(SEARCH("On track to be achieved",I43)))</formula>
    </cfRule>
    <cfRule type="containsText" dxfId="2917" priority="2957" operator="containsText" text="Deferred">
      <formula>NOT(ISERROR(SEARCH("Deferred",I43)))</formula>
    </cfRule>
    <cfRule type="containsText" dxfId="2916" priority="2958" operator="containsText" text="Deleted">
      <formula>NOT(ISERROR(SEARCH("Deleted",I43)))</formula>
    </cfRule>
    <cfRule type="containsText" dxfId="2915" priority="2959" operator="containsText" text="In Danger of Falling Behind Target">
      <formula>NOT(ISERROR(SEARCH("In Danger of Falling Behind Target",I43)))</formula>
    </cfRule>
    <cfRule type="containsText" dxfId="2914" priority="2960" operator="containsText" text="Not yet due">
      <formula>NOT(ISERROR(SEARCH("Not yet due",I43)))</formula>
    </cfRule>
    <cfRule type="containsText" dxfId="2913" priority="2961" operator="containsText" text="Update not Provided">
      <formula>NOT(ISERROR(SEARCH("Update not Provided",I43)))</formula>
    </cfRule>
    <cfRule type="containsText" dxfId="2912" priority="2962" operator="containsText" text="Not yet due">
      <formula>NOT(ISERROR(SEARCH("Not yet due",I43)))</formula>
    </cfRule>
    <cfRule type="containsText" dxfId="2911" priority="2963" operator="containsText" text="Completed Behind Schedule">
      <formula>NOT(ISERROR(SEARCH("Completed Behind Schedule",I43)))</formula>
    </cfRule>
    <cfRule type="containsText" dxfId="2910" priority="2964" operator="containsText" text="Off Target">
      <formula>NOT(ISERROR(SEARCH("Off Target",I43)))</formula>
    </cfRule>
    <cfRule type="containsText" dxfId="2909" priority="2965" operator="containsText" text="On Track to be Achieved">
      <formula>NOT(ISERROR(SEARCH("On Track to be Achieved",I43)))</formula>
    </cfRule>
    <cfRule type="containsText" dxfId="2908" priority="2966" operator="containsText" text="Fully Achieved">
      <formula>NOT(ISERROR(SEARCH("Fully Achieved",I43)))</formula>
    </cfRule>
    <cfRule type="containsText" dxfId="2907" priority="2967" operator="containsText" text="Not yet due">
      <formula>NOT(ISERROR(SEARCH("Not yet due",I43)))</formula>
    </cfRule>
    <cfRule type="containsText" dxfId="2906" priority="2968" operator="containsText" text="Not Yet Due">
      <formula>NOT(ISERROR(SEARCH("Not Yet Due",I43)))</formula>
    </cfRule>
    <cfRule type="containsText" dxfId="2905" priority="2969" operator="containsText" text="Deferred">
      <formula>NOT(ISERROR(SEARCH("Deferred",I43)))</formula>
    </cfRule>
    <cfRule type="containsText" dxfId="2904" priority="2970" operator="containsText" text="Deleted">
      <formula>NOT(ISERROR(SEARCH("Deleted",I43)))</formula>
    </cfRule>
    <cfRule type="containsText" dxfId="2903" priority="2971" operator="containsText" text="In Danger of Falling Behind Target">
      <formula>NOT(ISERROR(SEARCH("In Danger of Falling Behind Target",I43)))</formula>
    </cfRule>
    <cfRule type="containsText" dxfId="2902" priority="2972" operator="containsText" text="Not yet due">
      <formula>NOT(ISERROR(SEARCH("Not yet due",I43)))</formula>
    </cfRule>
    <cfRule type="containsText" dxfId="2901" priority="2973" operator="containsText" text="Completed Behind Schedule">
      <formula>NOT(ISERROR(SEARCH("Completed Behind Schedule",I43)))</formula>
    </cfRule>
    <cfRule type="containsText" dxfId="2900" priority="2974" operator="containsText" text="Off Target">
      <formula>NOT(ISERROR(SEARCH("Off Target",I43)))</formula>
    </cfRule>
    <cfRule type="containsText" dxfId="2899" priority="2975" operator="containsText" text="In Danger of Falling Behind Target">
      <formula>NOT(ISERROR(SEARCH("In Danger of Falling Behind Target",I43)))</formula>
    </cfRule>
    <cfRule type="containsText" dxfId="2898" priority="2976" operator="containsText" text="On Track to be Achieved">
      <formula>NOT(ISERROR(SEARCH("On Track to be Achieved",I43)))</formula>
    </cfRule>
    <cfRule type="containsText" dxfId="2897" priority="2977" operator="containsText" text="Fully Achieved">
      <formula>NOT(ISERROR(SEARCH("Fully Achieved",I43)))</formula>
    </cfRule>
    <cfRule type="containsText" dxfId="2896" priority="2978" operator="containsText" text="Update not Provided">
      <formula>NOT(ISERROR(SEARCH("Update not Provided",I43)))</formula>
    </cfRule>
    <cfRule type="containsText" dxfId="2895" priority="2979" operator="containsText" text="Not yet due">
      <formula>NOT(ISERROR(SEARCH("Not yet due",I43)))</formula>
    </cfRule>
    <cfRule type="containsText" dxfId="2894" priority="2980" operator="containsText" text="Completed Behind Schedule">
      <formula>NOT(ISERROR(SEARCH("Completed Behind Schedule",I43)))</formula>
    </cfRule>
    <cfRule type="containsText" dxfId="2893" priority="2981" operator="containsText" text="Off Target">
      <formula>NOT(ISERROR(SEARCH("Off Target",I43)))</formula>
    </cfRule>
    <cfRule type="containsText" dxfId="2892" priority="2982" operator="containsText" text="In Danger of Falling Behind Target">
      <formula>NOT(ISERROR(SEARCH("In Danger of Falling Behind Target",I43)))</formula>
    </cfRule>
    <cfRule type="containsText" dxfId="2891" priority="2983" operator="containsText" text="On Track to be Achieved">
      <formula>NOT(ISERROR(SEARCH("On Track to be Achieved",I43)))</formula>
    </cfRule>
    <cfRule type="containsText" dxfId="2890" priority="2984" operator="containsText" text="Fully Achieved">
      <formula>NOT(ISERROR(SEARCH("Fully Achieved",I43)))</formula>
    </cfRule>
    <cfRule type="containsText" dxfId="2889" priority="2985" operator="containsText" text="Fully Achieved">
      <formula>NOT(ISERROR(SEARCH("Fully Achieved",I43)))</formula>
    </cfRule>
    <cfRule type="containsText" dxfId="2888" priority="2986" operator="containsText" text="Fully Achieved">
      <formula>NOT(ISERROR(SEARCH("Fully Achieved",I43)))</formula>
    </cfRule>
    <cfRule type="containsText" dxfId="2887" priority="2987" operator="containsText" text="Deferred">
      <formula>NOT(ISERROR(SEARCH("Deferred",I43)))</formula>
    </cfRule>
    <cfRule type="containsText" dxfId="2886" priority="2988" operator="containsText" text="Deleted">
      <formula>NOT(ISERROR(SEARCH("Deleted",I43)))</formula>
    </cfRule>
    <cfRule type="containsText" dxfId="2885" priority="2989" operator="containsText" text="In Danger of Falling Behind Target">
      <formula>NOT(ISERROR(SEARCH("In Danger of Falling Behind Target",I43)))</formula>
    </cfRule>
    <cfRule type="containsText" dxfId="2884" priority="2990" operator="containsText" text="Not yet due">
      <formula>NOT(ISERROR(SEARCH("Not yet due",I43)))</formula>
    </cfRule>
    <cfRule type="containsText" dxfId="2883" priority="2991" operator="containsText" text="Update not Provided">
      <formula>NOT(ISERROR(SEARCH("Update not Provided",I43)))</formula>
    </cfRule>
  </conditionalFormatting>
  <conditionalFormatting sqref="I43">
    <cfRule type="containsText" dxfId="2882" priority="2920" operator="containsText" text="On track to be achieved">
      <formula>NOT(ISERROR(SEARCH("On track to be achieved",I43)))</formula>
    </cfRule>
    <cfRule type="containsText" dxfId="2881" priority="2921" operator="containsText" text="Deferred">
      <formula>NOT(ISERROR(SEARCH("Deferred",I43)))</formula>
    </cfRule>
    <cfRule type="containsText" dxfId="2880" priority="2922" operator="containsText" text="Deleted">
      <formula>NOT(ISERROR(SEARCH("Deleted",I43)))</formula>
    </cfRule>
    <cfRule type="containsText" dxfId="2879" priority="2923" operator="containsText" text="In Danger of Falling Behind Target">
      <formula>NOT(ISERROR(SEARCH("In Danger of Falling Behind Target",I43)))</formula>
    </cfRule>
    <cfRule type="containsText" dxfId="2878" priority="2924" operator="containsText" text="Not yet due">
      <formula>NOT(ISERROR(SEARCH("Not yet due",I43)))</formula>
    </cfRule>
    <cfRule type="containsText" dxfId="2877" priority="2925" operator="containsText" text="Update not Provided">
      <formula>NOT(ISERROR(SEARCH("Update not Provided",I43)))</formula>
    </cfRule>
    <cfRule type="containsText" dxfId="2876" priority="2926" operator="containsText" text="Not yet due">
      <formula>NOT(ISERROR(SEARCH("Not yet due",I43)))</formula>
    </cfRule>
    <cfRule type="containsText" dxfId="2875" priority="2927" operator="containsText" text="Completed Behind Schedule">
      <formula>NOT(ISERROR(SEARCH("Completed Behind Schedule",I43)))</formula>
    </cfRule>
    <cfRule type="containsText" dxfId="2874" priority="2928" operator="containsText" text="Off Target">
      <formula>NOT(ISERROR(SEARCH("Off Target",I43)))</formula>
    </cfRule>
    <cfRule type="containsText" dxfId="2873" priority="2929" operator="containsText" text="On Track to be Achieved">
      <formula>NOT(ISERROR(SEARCH("On Track to be Achieved",I43)))</formula>
    </cfRule>
    <cfRule type="containsText" dxfId="2872" priority="2930" operator="containsText" text="Fully Achieved">
      <formula>NOT(ISERROR(SEARCH("Fully Achieved",I43)))</formula>
    </cfRule>
    <cfRule type="containsText" dxfId="2871" priority="2931" operator="containsText" text="Not yet due">
      <formula>NOT(ISERROR(SEARCH("Not yet due",I43)))</formula>
    </cfRule>
    <cfRule type="containsText" dxfId="2870" priority="2932" operator="containsText" text="Not Yet Due">
      <formula>NOT(ISERROR(SEARCH("Not Yet Due",I43)))</formula>
    </cfRule>
    <cfRule type="containsText" dxfId="2869" priority="2933" operator="containsText" text="Deferred">
      <formula>NOT(ISERROR(SEARCH("Deferred",I43)))</formula>
    </cfRule>
    <cfRule type="containsText" dxfId="2868" priority="2934" operator="containsText" text="Deleted">
      <formula>NOT(ISERROR(SEARCH("Deleted",I43)))</formula>
    </cfRule>
    <cfRule type="containsText" dxfId="2867" priority="2935" operator="containsText" text="In Danger of Falling Behind Target">
      <formula>NOT(ISERROR(SEARCH("In Danger of Falling Behind Target",I43)))</formula>
    </cfRule>
    <cfRule type="containsText" dxfId="2866" priority="2936" operator="containsText" text="Not yet due">
      <formula>NOT(ISERROR(SEARCH("Not yet due",I43)))</formula>
    </cfRule>
    <cfRule type="containsText" dxfId="2865" priority="2937" operator="containsText" text="Completed Behind Schedule">
      <formula>NOT(ISERROR(SEARCH("Completed Behind Schedule",I43)))</formula>
    </cfRule>
    <cfRule type="containsText" dxfId="2864" priority="2938" operator="containsText" text="Off Target">
      <formula>NOT(ISERROR(SEARCH("Off Target",I43)))</formula>
    </cfRule>
    <cfRule type="containsText" dxfId="2863" priority="2939" operator="containsText" text="In Danger of Falling Behind Target">
      <formula>NOT(ISERROR(SEARCH("In Danger of Falling Behind Target",I43)))</formula>
    </cfRule>
    <cfRule type="containsText" dxfId="2862" priority="2940" operator="containsText" text="On Track to be Achieved">
      <formula>NOT(ISERROR(SEARCH("On Track to be Achieved",I43)))</formula>
    </cfRule>
    <cfRule type="containsText" dxfId="2861" priority="2941" operator="containsText" text="Fully Achieved">
      <formula>NOT(ISERROR(SEARCH("Fully Achieved",I43)))</formula>
    </cfRule>
    <cfRule type="containsText" dxfId="2860" priority="2942" operator="containsText" text="Update not Provided">
      <formula>NOT(ISERROR(SEARCH("Update not Provided",I43)))</formula>
    </cfRule>
    <cfRule type="containsText" dxfId="2859" priority="2943" operator="containsText" text="Not yet due">
      <formula>NOT(ISERROR(SEARCH("Not yet due",I43)))</formula>
    </cfRule>
    <cfRule type="containsText" dxfId="2858" priority="2944" operator="containsText" text="Completed Behind Schedule">
      <formula>NOT(ISERROR(SEARCH("Completed Behind Schedule",I43)))</formula>
    </cfRule>
    <cfRule type="containsText" dxfId="2857" priority="2945" operator="containsText" text="Off Target">
      <formula>NOT(ISERROR(SEARCH("Off Target",I43)))</formula>
    </cfRule>
    <cfRule type="containsText" dxfId="2856" priority="2946" operator="containsText" text="In Danger of Falling Behind Target">
      <formula>NOT(ISERROR(SEARCH("In Danger of Falling Behind Target",I43)))</formula>
    </cfRule>
    <cfRule type="containsText" dxfId="2855" priority="2947" operator="containsText" text="On Track to be Achieved">
      <formula>NOT(ISERROR(SEARCH("On Track to be Achieved",I43)))</formula>
    </cfRule>
    <cfRule type="containsText" dxfId="2854" priority="2948" operator="containsText" text="Fully Achieved">
      <formula>NOT(ISERROR(SEARCH("Fully Achieved",I43)))</formula>
    </cfRule>
    <cfRule type="containsText" dxfId="2853" priority="2949" operator="containsText" text="Fully Achieved">
      <formula>NOT(ISERROR(SEARCH("Fully Achieved",I43)))</formula>
    </cfRule>
    <cfRule type="containsText" dxfId="2852" priority="2950" operator="containsText" text="Fully Achieved">
      <formula>NOT(ISERROR(SEARCH("Fully Achieved",I43)))</formula>
    </cfRule>
    <cfRule type="containsText" dxfId="2851" priority="2951" operator="containsText" text="Deferred">
      <formula>NOT(ISERROR(SEARCH("Deferred",I43)))</formula>
    </cfRule>
    <cfRule type="containsText" dxfId="2850" priority="2952" operator="containsText" text="Deleted">
      <formula>NOT(ISERROR(SEARCH("Deleted",I43)))</formula>
    </cfRule>
    <cfRule type="containsText" dxfId="2849" priority="2953" operator="containsText" text="In Danger of Falling Behind Target">
      <formula>NOT(ISERROR(SEARCH("In Danger of Falling Behind Target",I43)))</formula>
    </cfRule>
    <cfRule type="containsText" dxfId="2848" priority="2954" operator="containsText" text="Not yet due">
      <formula>NOT(ISERROR(SEARCH("Not yet due",I43)))</formula>
    </cfRule>
    <cfRule type="containsText" dxfId="2847" priority="2955" operator="containsText" text="Update not Provided">
      <formula>NOT(ISERROR(SEARCH("Update not Provided",I43)))</formula>
    </cfRule>
  </conditionalFormatting>
  <conditionalFormatting sqref="I44:I50">
    <cfRule type="containsText" dxfId="2846" priority="2884" operator="containsText" text="On track to be achieved">
      <formula>NOT(ISERROR(SEARCH("On track to be achieved",I44)))</formula>
    </cfRule>
    <cfRule type="containsText" dxfId="2845" priority="2885" operator="containsText" text="Deferred">
      <formula>NOT(ISERROR(SEARCH("Deferred",I44)))</formula>
    </cfRule>
    <cfRule type="containsText" dxfId="2844" priority="2886" operator="containsText" text="Deleted">
      <formula>NOT(ISERROR(SEARCH("Deleted",I44)))</formula>
    </cfRule>
    <cfRule type="containsText" dxfId="2843" priority="2887" operator="containsText" text="In Danger of Falling Behind Target">
      <formula>NOT(ISERROR(SEARCH("In Danger of Falling Behind Target",I44)))</formula>
    </cfRule>
    <cfRule type="containsText" dxfId="2842" priority="2888" operator="containsText" text="Not yet due">
      <formula>NOT(ISERROR(SEARCH("Not yet due",I44)))</formula>
    </cfRule>
    <cfRule type="containsText" dxfId="2841" priority="2889" operator="containsText" text="Update not Provided">
      <formula>NOT(ISERROR(SEARCH("Update not Provided",I44)))</formula>
    </cfRule>
    <cfRule type="containsText" dxfId="2840" priority="2890" operator="containsText" text="Not yet due">
      <formula>NOT(ISERROR(SEARCH("Not yet due",I44)))</formula>
    </cfRule>
    <cfRule type="containsText" dxfId="2839" priority="2891" operator="containsText" text="Completed Behind Schedule">
      <formula>NOT(ISERROR(SEARCH("Completed Behind Schedule",I44)))</formula>
    </cfRule>
    <cfRule type="containsText" dxfId="2838" priority="2892" operator="containsText" text="Off Target">
      <formula>NOT(ISERROR(SEARCH("Off Target",I44)))</formula>
    </cfRule>
    <cfRule type="containsText" dxfId="2837" priority="2893" operator="containsText" text="On Track to be Achieved">
      <formula>NOT(ISERROR(SEARCH("On Track to be Achieved",I44)))</formula>
    </cfRule>
    <cfRule type="containsText" dxfId="2836" priority="2894" operator="containsText" text="Fully Achieved">
      <formula>NOT(ISERROR(SEARCH("Fully Achieved",I44)))</formula>
    </cfRule>
    <cfRule type="containsText" dxfId="2835" priority="2895" operator="containsText" text="Not yet due">
      <formula>NOT(ISERROR(SEARCH("Not yet due",I44)))</formula>
    </cfRule>
    <cfRule type="containsText" dxfId="2834" priority="2896" operator="containsText" text="Not Yet Due">
      <formula>NOT(ISERROR(SEARCH("Not Yet Due",I44)))</formula>
    </cfRule>
    <cfRule type="containsText" dxfId="2833" priority="2897" operator="containsText" text="Deferred">
      <formula>NOT(ISERROR(SEARCH("Deferred",I44)))</formula>
    </cfRule>
    <cfRule type="containsText" dxfId="2832" priority="2898" operator="containsText" text="Deleted">
      <formula>NOT(ISERROR(SEARCH("Deleted",I44)))</formula>
    </cfRule>
    <cfRule type="containsText" dxfId="2831" priority="2899" operator="containsText" text="In Danger of Falling Behind Target">
      <formula>NOT(ISERROR(SEARCH("In Danger of Falling Behind Target",I44)))</formula>
    </cfRule>
    <cfRule type="containsText" dxfId="2830" priority="2900" operator="containsText" text="Not yet due">
      <formula>NOT(ISERROR(SEARCH("Not yet due",I44)))</formula>
    </cfRule>
    <cfRule type="containsText" dxfId="2829" priority="2901" operator="containsText" text="Completed Behind Schedule">
      <formula>NOT(ISERROR(SEARCH("Completed Behind Schedule",I44)))</formula>
    </cfRule>
    <cfRule type="containsText" dxfId="2828" priority="2902" operator="containsText" text="Off Target">
      <formula>NOT(ISERROR(SEARCH("Off Target",I44)))</formula>
    </cfRule>
    <cfRule type="containsText" dxfId="2827" priority="2903" operator="containsText" text="In Danger of Falling Behind Target">
      <formula>NOT(ISERROR(SEARCH("In Danger of Falling Behind Target",I44)))</formula>
    </cfRule>
    <cfRule type="containsText" dxfId="2826" priority="2904" operator="containsText" text="On Track to be Achieved">
      <formula>NOT(ISERROR(SEARCH("On Track to be Achieved",I44)))</formula>
    </cfRule>
    <cfRule type="containsText" dxfId="2825" priority="2905" operator="containsText" text="Fully Achieved">
      <formula>NOT(ISERROR(SEARCH("Fully Achieved",I44)))</formula>
    </cfRule>
    <cfRule type="containsText" dxfId="2824" priority="2906" operator="containsText" text="Update not Provided">
      <formula>NOT(ISERROR(SEARCH("Update not Provided",I44)))</formula>
    </cfRule>
    <cfRule type="containsText" dxfId="2823" priority="2907" operator="containsText" text="Not yet due">
      <formula>NOT(ISERROR(SEARCH("Not yet due",I44)))</formula>
    </cfRule>
    <cfRule type="containsText" dxfId="2822" priority="2908" operator="containsText" text="Completed Behind Schedule">
      <formula>NOT(ISERROR(SEARCH("Completed Behind Schedule",I44)))</formula>
    </cfRule>
    <cfRule type="containsText" dxfId="2821" priority="2909" operator="containsText" text="Off Target">
      <formula>NOT(ISERROR(SEARCH("Off Target",I44)))</formula>
    </cfRule>
    <cfRule type="containsText" dxfId="2820" priority="2910" operator="containsText" text="In Danger of Falling Behind Target">
      <formula>NOT(ISERROR(SEARCH("In Danger of Falling Behind Target",I44)))</formula>
    </cfRule>
    <cfRule type="containsText" dxfId="2819" priority="2911" operator="containsText" text="On Track to be Achieved">
      <formula>NOT(ISERROR(SEARCH("On Track to be Achieved",I44)))</formula>
    </cfRule>
    <cfRule type="containsText" dxfId="2818" priority="2912" operator="containsText" text="Fully Achieved">
      <formula>NOT(ISERROR(SEARCH("Fully Achieved",I44)))</formula>
    </cfRule>
    <cfRule type="containsText" dxfId="2817" priority="2913" operator="containsText" text="Fully Achieved">
      <formula>NOT(ISERROR(SEARCH("Fully Achieved",I44)))</formula>
    </cfRule>
    <cfRule type="containsText" dxfId="2816" priority="2914" operator="containsText" text="Fully Achieved">
      <formula>NOT(ISERROR(SEARCH("Fully Achieved",I44)))</formula>
    </cfRule>
    <cfRule type="containsText" dxfId="2815" priority="2915" operator="containsText" text="Deferred">
      <formula>NOT(ISERROR(SEARCH("Deferred",I44)))</formula>
    </cfRule>
    <cfRule type="containsText" dxfId="2814" priority="2916" operator="containsText" text="Deleted">
      <formula>NOT(ISERROR(SEARCH("Deleted",I44)))</formula>
    </cfRule>
    <cfRule type="containsText" dxfId="2813" priority="2917" operator="containsText" text="In Danger of Falling Behind Target">
      <formula>NOT(ISERROR(SEARCH("In Danger of Falling Behind Target",I44)))</formula>
    </cfRule>
    <cfRule type="containsText" dxfId="2812" priority="2918" operator="containsText" text="Not yet due">
      <formula>NOT(ISERROR(SEARCH("Not yet due",I44)))</formula>
    </cfRule>
    <cfRule type="containsText" dxfId="2811" priority="2919" operator="containsText" text="Update not Provided">
      <formula>NOT(ISERROR(SEARCH("Update not Provided",I44)))</formula>
    </cfRule>
  </conditionalFormatting>
  <conditionalFormatting sqref="I51">
    <cfRule type="containsText" dxfId="2810" priority="2848" operator="containsText" text="On track to be achieved">
      <formula>NOT(ISERROR(SEARCH("On track to be achieved",I51)))</formula>
    </cfRule>
    <cfRule type="containsText" dxfId="2809" priority="2849" operator="containsText" text="Deferred">
      <formula>NOT(ISERROR(SEARCH("Deferred",I51)))</formula>
    </cfRule>
    <cfRule type="containsText" dxfId="2808" priority="2850" operator="containsText" text="Deleted">
      <formula>NOT(ISERROR(SEARCH("Deleted",I51)))</formula>
    </cfRule>
    <cfRule type="containsText" dxfId="2807" priority="2851" operator="containsText" text="In Danger of Falling Behind Target">
      <formula>NOT(ISERROR(SEARCH("In Danger of Falling Behind Target",I51)))</formula>
    </cfRule>
    <cfRule type="containsText" dxfId="2806" priority="2852" operator="containsText" text="Not yet due">
      <formula>NOT(ISERROR(SEARCH("Not yet due",I51)))</formula>
    </cfRule>
    <cfRule type="containsText" dxfId="2805" priority="2853" operator="containsText" text="Update not Provided">
      <formula>NOT(ISERROR(SEARCH("Update not Provided",I51)))</formula>
    </cfRule>
    <cfRule type="containsText" dxfId="2804" priority="2854" operator="containsText" text="Not yet due">
      <formula>NOT(ISERROR(SEARCH("Not yet due",I51)))</formula>
    </cfRule>
    <cfRule type="containsText" dxfId="2803" priority="2855" operator="containsText" text="Completed Behind Schedule">
      <formula>NOT(ISERROR(SEARCH("Completed Behind Schedule",I51)))</formula>
    </cfRule>
    <cfRule type="containsText" dxfId="2802" priority="2856" operator="containsText" text="Off Target">
      <formula>NOT(ISERROR(SEARCH("Off Target",I51)))</formula>
    </cfRule>
    <cfRule type="containsText" dxfId="2801" priority="2857" operator="containsText" text="On Track to be Achieved">
      <formula>NOT(ISERROR(SEARCH("On Track to be Achieved",I51)))</formula>
    </cfRule>
    <cfRule type="containsText" dxfId="2800" priority="2858" operator="containsText" text="Fully Achieved">
      <formula>NOT(ISERROR(SEARCH("Fully Achieved",I51)))</formula>
    </cfRule>
    <cfRule type="containsText" dxfId="2799" priority="2859" operator="containsText" text="Not yet due">
      <formula>NOT(ISERROR(SEARCH("Not yet due",I51)))</formula>
    </cfRule>
    <cfRule type="containsText" dxfId="2798" priority="2860" operator="containsText" text="Not Yet Due">
      <formula>NOT(ISERROR(SEARCH("Not Yet Due",I51)))</formula>
    </cfRule>
    <cfRule type="containsText" dxfId="2797" priority="2861" operator="containsText" text="Deferred">
      <formula>NOT(ISERROR(SEARCH("Deferred",I51)))</formula>
    </cfRule>
    <cfRule type="containsText" dxfId="2796" priority="2862" operator="containsText" text="Deleted">
      <formula>NOT(ISERROR(SEARCH("Deleted",I51)))</formula>
    </cfRule>
    <cfRule type="containsText" dxfId="2795" priority="2863" operator="containsText" text="In Danger of Falling Behind Target">
      <formula>NOT(ISERROR(SEARCH("In Danger of Falling Behind Target",I51)))</formula>
    </cfRule>
    <cfRule type="containsText" dxfId="2794" priority="2864" operator="containsText" text="Not yet due">
      <formula>NOT(ISERROR(SEARCH("Not yet due",I51)))</formula>
    </cfRule>
    <cfRule type="containsText" dxfId="2793" priority="2865" operator="containsText" text="Completed Behind Schedule">
      <formula>NOT(ISERROR(SEARCH("Completed Behind Schedule",I51)))</formula>
    </cfRule>
    <cfRule type="containsText" dxfId="2792" priority="2866" operator="containsText" text="Off Target">
      <formula>NOT(ISERROR(SEARCH("Off Target",I51)))</formula>
    </cfRule>
    <cfRule type="containsText" dxfId="2791" priority="2867" operator="containsText" text="In Danger of Falling Behind Target">
      <formula>NOT(ISERROR(SEARCH("In Danger of Falling Behind Target",I51)))</formula>
    </cfRule>
    <cfRule type="containsText" dxfId="2790" priority="2868" operator="containsText" text="On Track to be Achieved">
      <formula>NOT(ISERROR(SEARCH("On Track to be Achieved",I51)))</formula>
    </cfRule>
    <cfRule type="containsText" dxfId="2789" priority="2869" operator="containsText" text="Fully Achieved">
      <formula>NOT(ISERROR(SEARCH("Fully Achieved",I51)))</formula>
    </cfRule>
    <cfRule type="containsText" dxfId="2788" priority="2870" operator="containsText" text="Update not Provided">
      <formula>NOT(ISERROR(SEARCH("Update not Provided",I51)))</formula>
    </cfRule>
    <cfRule type="containsText" dxfId="2787" priority="2871" operator="containsText" text="Not yet due">
      <formula>NOT(ISERROR(SEARCH("Not yet due",I51)))</formula>
    </cfRule>
    <cfRule type="containsText" dxfId="2786" priority="2872" operator="containsText" text="Completed Behind Schedule">
      <formula>NOT(ISERROR(SEARCH("Completed Behind Schedule",I51)))</formula>
    </cfRule>
    <cfRule type="containsText" dxfId="2785" priority="2873" operator="containsText" text="Off Target">
      <formula>NOT(ISERROR(SEARCH("Off Target",I51)))</formula>
    </cfRule>
    <cfRule type="containsText" dxfId="2784" priority="2874" operator="containsText" text="In Danger of Falling Behind Target">
      <formula>NOT(ISERROR(SEARCH("In Danger of Falling Behind Target",I51)))</formula>
    </cfRule>
    <cfRule type="containsText" dxfId="2783" priority="2875" operator="containsText" text="On Track to be Achieved">
      <formula>NOT(ISERROR(SEARCH("On Track to be Achieved",I51)))</formula>
    </cfRule>
    <cfRule type="containsText" dxfId="2782" priority="2876" operator="containsText" text="Fully Achieved">
      <formula>NOT(ISERROR(SEARCH("Fully Achieved",I51)))</formula>
    </cfRule>
    <cfRule type="containsText" dxfId="2781" priority="2877" operator="containsText" text="Fully Achieved">
      <formula>NOT(ISERROR(SEARCH("Fully Achieved",I51)))</formula>
    </cfRule>
    <cfRule type="containsText" dxfId="2780" priority="2878" operator="containsText" text="Fully Achieved">
      <formula>NOT(ISERROR(SEARCH("Fully Achieved",I51)))</formula>
    </cfRule>
    <cfRule type="containsText" dxfId="2779" priority="2879" operator="containsText" text="Deferred">
      <formula>NOT(ISERROR(SEARCH("Deferred",I51)))</formula>
    </cfRule>
    <cfRule type="containsText" dxfId="2778" priority="2880" operator="containsText" text="Deleted">
      <formula>NOT(ISERROR(SEARCH("Deleted",I51)))</formula>
    </cfRule>
    <cfRule type="containsText" dxfId="2777" priority="2881" operator="containsText" text="In Danger of Falling Behind Target">
      <formula>NOT(ISERROR(SEARCH("In Danger of Falling Behind Target",I51)))</formula>
    </cfRule>
    <cfRule type="containsText" dxfId="2776" priority="2882" operator="containsText" text="Not yet due">
      <formula>NOT(ISERROR(SEARCH("Not yet due",I51)))</formula>
    </cfRule>
    <cfRule type="containsText" dxfId="2775" priority="2883" operator="containsText" text="Update not Provided">
      <formula>NOT(ISERROR(SEARCH("Update not Provided",I51)))</formula>
    </cfRule>
  </conditionalFormatting>
  <conditionalFormatting sqref="I51">
    <cfRule type="containsText" dxfId="2774" priority="2812" operator="containsText" text="On track to be achieved">
      <formula>NOT(ISERROR(SEARCH("On track to be achieved",I51)))</formula>
    </cfRule>
    <cfRule type="containsText" dxfId="2773" priority="2813" operator="containsText" text="Deferred">
      <formula>NOT(ISERROR(SEARCH("Deferred",I51)))</formula>
    </cfRule>
    <cfRule type="containsText" dxfId="2772" priority="2814" operator="containsText" text="Deleted">
      <formula>NOT(ISERROR(SEARCH("Deleted",I51)))</formula>
    </cfRule>
    <cfRule type="containsText" dxfId="2771" priority="2815" operator="containsText" text="In Danger of Falling Behind Target">
      <formula>NOT(ISERROR(SEARCH("In Danger of Falling Behind Target",I51)))</formula>
    </cfRule>
    <cfRule type="containsText" dxfId="2770" priority="2816" operator="containsText" text="Not yet due">
      <formula>NOT(ISERROR(SEARCH("Not yet due",I51)))</formula>
    </cfRule>
    <cfRule type="containsText" dxfId="2769" priority="2817" operator="containsText" text="Update not Provided">
      <formula>NOT(ISERROR(SEARCH("Update not Provided",I51)))</formula>
    </cfRule>
    <cfRule type="containsText" dxfId="2768" priority="2818" operator="containsText" text="Not yet due">
      <formula>NOT(ISERROR(SEARCH("Not yet due",I51)))</formula>
    </cfRule>
    <cfRule type="containsText" dxfId="2767" priority="2819" operator="containsText" text="Completed Behind Schedule">
      <formula>NOT(ISERROR(SEARCH("Completed Behind Schedule",I51)))</formula>
    </cfRule>
    <cfRule type="containsText" dxfId="2766" priority="2820" operator="containsText" text="Off Target">
      <formula>NOT(ISERROR(SEARCH("Off Target",I51)))</formula>
    </cfRule>
    <cfRule type="containsText" dxfId="2765" priority="2821" operator="containsText" text="On Track to be Achieved">
      <formula>NOT(ISERROR(SEARCH("On Track to be Achieved",I51)))</formula>
    </cfRule>
    <cfRule type="containsText" dxfId="2764" priority="2822" operator="containsText" text="Fully Achieved">
      <formula>NOT(ISERROR(SEARCH("Fully Achieved",I51)))</formula>
    </cfRule>
    <cfRule type="containsText" dxfId="2763" priority="2823" operator="containsText" text="Not yet due">
      <formula>NOT(ISERROR(SEARCH("Not yet due",I51)))</formula>
    </cfRule>
    <cfRule type="containsText" dxfId="2762" priority="2824" operator="containsText" text="Not Yet Due">
      <formula>NOT(ISERROR(SEARCH("Not Yet Due",I51)))</formula>
    </cfRule>
    <cfRule type="containsText" dxfId="2761" priority="2825" operator="containsText" text="Deferred">
      <formula>NOT(ISERROR(SEARCH("Deferred",I51)))</formula>
    </cfRule>
    <cfRule type="containsText" dxfId="2760" priority="2826" operator="containsText" text="Deleted">
      <formula>NOT(ISERROR(SEARCH("Deleted",I51)))</formula>
    </cfRule>
    <cfRule type="containsText" dxfId="2759" priority="2827" operator="containsText" text="In Danger of Falling Behind Target">
      <formula>NOT(ISERROR(SEARCH("In Danger of Falling Behind Target",I51)))</formula>
    </cfRule>
    <cfRule type="containsText" dxfId="2758" priority="2828" operator="containsText" text="Not yet due">
      <formula>NOT(ISERROR(SEARCH("Not yet due",I51)))</formula>
    </cfRule>
    <cfRule type="containsText" dxfId="2757" priority="2829" operator="containsText" text="Completed Behind Schedule">
      <formula>NOT(ISERROR(SEARCH("Completed Behind Schedule",I51)))</formula>
    </cfRule>
    <cfRule type="containsText" dxfId="2756" priority="2830" operator="containsText" text="Off Target">
      <formula>NOT(ISERROR(SEARCH("Off Target",I51)))</formula>
    </cfRule>
    <cfRule type="containsText" dxfId="2755" priority="2831" operator="containsText" text="In Danger of Falling Behind Target">
      <formula>NOT(ISERROR(SEARCH("In Danger of Falling Behind Target",I51)))</formula>
    </cfRule>
    <cfRule type="containsText" dxfId="2754" priority="2832" operator="containsText" text="On Track to be Achieved">
      <formula>NOT(ISERROR(SEARCH("On Track to be Achieved",I51)))</formula>
    </cfRule>
    <cfRule type="containsText" dxfId="2753" priority="2833" operator="containsText" text="Fully Achieved">
      <formula>NOT(ISERROR(SEARCH("Fully Achieved",I51)))</formula>
    </cfRule>
    <cfRule type="containsText" dxfId="2752" priority="2834" operator="containsText" text="Update not Provided">
      <formula>NOT(ISERROR(SEARCH("Update not Provided",I51)))</formula>
    </cfRule>
    <cfRule type="containsText" dxfId="2751" priority="2835" operator="containsText" text="Not yet due">
      <formula>NOT(ISERROR(SEARCH("Not yet due",I51)))</formula>
    </cfRule>
    <cfRule type="containsText" dxfId="2750" priority="2836" operator="containsText" text="Completed Behind Schedule">
      <formula>NOT(ISERROR(SEARCH("Completed Behind Schedule",I51)))</formula>
    </cfRule>
    <cfRule type="containsText" dxfId="2749" priority="2837" operator="containsText" text="Off Target">
      <formula>NOT(ISERROR(SEARCH("Off Target",I51)))</formula>
    </cfRule>
    <cfRule type="containsText" dxfId="2748" priority="2838" operator="containsText" text="In Danger of Falling Behind Target">
      <formula>NOT(ISERROR(SEARCH("In Danger of Falling Behind Target",I51)))</formula>
    </cfRule>
    <cfRule type="containsText" dxfId="2747" priority="2839" operator="containsText" text="On Track to be Achieved">
      <formula>NOT(ISERROR(SEARCH("On Track to be Achieved",I51)))</formula>
    </cfRule>
    <cfRule type="containsText" dxfId="2746" priority="2840" operator="containsText" text="Fully Achieved">
      <formula>NOT(ISERROR(SEARCH("Fully Achieved",I51)))</formula>
    </cfRule>
    <cfRule type="containsText" dxfId="2745" priority="2841" operator="containsText" text="Fully Achieved">
      <formula>NOT(ISERROR(SEARCH("Fully Achieved",I51)))</formula>
    </cfRule>
    <cfRule type="containsText" dxfId="2744" priority="2842" operator="containsText" text="Fully Achieved">
      <formula>NOT(ISERROR(SEARCH("Fully Achieved",I51)))</formula>
    </cfRule>
    <cfRule type="containsText" dxfId="2743" priority="2843" operator="containsText" text="Deferred">
      <formula>NOT(ISERROR(SEARCH("Deferred",I51)))</formula>
    </cfRule>
    <cfRule type="containsText" dxfId="2742" priority="2844" operator="containsText" text="Deleted">
      <formula>NOT(ISERROR(SEARCH("Deleted",I51)))</formula>
    </cfRule>
    <cfRule type="containsText" dxfId="2741" priority="2845" operator="containsText" text="In Danger of Falling Behind Target">
      <formula>NOT(ISERROR(SEARCH("In Danger of Falling Behind Target",I51)))</formula>
    </cfRule>
    <cfRule type="containsText" dxfId="2740" priority="2846" operator="containsText" text="Not yet due">
      <formula>NOT(ISERROR(SEARCH("Not yet due",I51)))</formula>
    </cfRule>
    <cfRule type="containsText" dxfId="2739" priority="2847" operator="containsText" text="Update not Provided">
      <formula>NOT(ISERROR(SEARCH("Update not Provided",I51)))</formula>
    </cfRule>
  </conditionalFormatting>
  <conditionalFormatting sqref="I51">
    <cfRule type="containsText" dxfId="2738" priority="2776" operator="containsText" text="On track to be achieved">
      <formula>NOT(ISERROR(SEARCH("On track to be achieved",I51)))</formula>
    </cfRule>
    <cfRule type="containsText" dxfId="2737" priority="2777" operator="containsText" text="Deferred">
      <formula>NOT(ISERROR(SEARCH("Deferred",I51)))</formula>
    </cfRule>
    <cfRule type="containsText" dxfId="2736" priority="2778" operator="containsText" text="Deleted">
      <formula>NOT(ISERROR(SEARCH("Deleted",I51)))</formula>
    </cfRule>
    <cfRule type="containsText" dxfId="2735" priority="2779" operator="containsText" text="In Danger of Falling Behind Target">
      <formula>NOT(ISERROR(SEARCH("In Danger of Falling Behind Target",I51)))</formula>
    </cfRule>
    <cfRule type="containsText" dxfId="2734" priority="2780" operator="containsText" text="Not yet due">
      <formula>NOT(ISERROR(SEARCH("Not yet due",I51)))</formula>
    </cfRule>
    <cfRule type="containsText" dxfId="2733" priority="2781" operator="containsText" text="Update not Provided">
      <formula>NOT(ISERROR(SEARCH("Update not Provided",I51)))</formula>
    </cfRule>
    <cfRule type="containsText" dxfId="2732" priority="2782" operator="containsText" text="Not yet due">
      <formula>NOT(ISERROR(SEARCH("Not yet due",I51)))</formula>
    </cfRule>
    <cfRule type="containsText" dxfId="2731" priority="2783" operator="containsText" text="Completed Behind Schedule">
      <formula>NOT(ISERROR(SEARCH("Completed Behind Schedule",I51)))</formula>
    </cfRule>
    <cfRule type="containsText" dxfId="2730" priority="2784" operator="containsText" text="Off Target">
      <formula>NOT(ISERROR(SEARCH("Off Target",I51)))</formula>
    </cfRule>
    <cfRule type="containsText" dxfId="2729" priority="2785" operator="containsText" text="On Track to be Achieved">
      <formula>NOT(ISERROR(SEARCH("On Track to be Achieved",I51)))</formula>
    </cfRule>
    <cfRule type="containsText" dxfId="2728" priority="2786" operator="containsText" text="Fully Achieved">
      <formula>NOT(ISERROR(SEARCH("Fully Achieved",I51)))</formula>
    </cfRule>
    <cfRule type="containsText" dxfId="2727" priority="2787" operator="containsText" text="Not yet due">
      <formula>NOT(ISERROR(SEARCH("Not yet due",I51)))</formula>
    </cfRule>
    <cfRule type="containsText" dxfId="2726" priority="2788" operator="containsText" text="Not Yet Due">
      <formula>NOT(ISERROR(SEARCH("Not Yet Due",I51)))</formula>
    </cfRule>
    <cfRule type="containsText" dxfId="2725" priority="2789" operator="containsText" text="Deferred">
      <formula>NOT(ISERROR(SEARCH("Deferred",I51)))</formula>
    </cfRule>
    <cfRule type="containsText" dxfId="2724" priority="2790" operator="containsText" text="Deleted">
      <formula>NOT(ISERROR(SEARCH("Deleted",I51)))</formula>
    </cfRule>
    <cfRule type="containsText" dxfId="2723" priority="2791" operator="containsText" text="In Danger of Falling Behind Target">
      <formula>NOT(ISERROR(SEARCH("In Danger of Falling Behind Target",I51)))</formula>
    </cfRule>
    <cfRule type="containsText" dxfId="2722" priority="2792" operator="containsText" text="Not yet due">
      <formula>NOT(ISERROR(SEARCH("Not yet due",I51)))</formula>
    </cfRule>
    <cfRule type="containsText" dxfId="2721" priority="2793" operator="containsText" text="Completed Behind Schedule">
      <formula>NOT(ISERROR(SEARCH("Completed Behind Schedule",I51)))</formula>
    </cfRule>
    <cfRule type="containsText" dxfId="2720" priority="2794" operator="containsText" text="Off Target">
      <formula>NOT(ISERROR(SEARCH("Off Target",I51)))</formula>
    </cfRule>
    <cfRule type="containsText" dxfId="2719" priority="2795" operator="containsText" text="In Danger of Falling Behind Target">
      <formula>NOT(ISERROR(SEARCH("In Danger of Falling Behind Target",I51)))</formula>
    </cfRule>
    <cfRule type="containsText" dxfId="2718" priority="2796" operator="containsText" text="On Track to be Achieved">
      <formula>NOT(ISERROR(SEARCH("On Track to be Achieved",I51)))</formula>
    </cfRule>
    <cfRule type="containsText" dxfId="2717" priority="2797" operator="containsText" text="Fully Achieved">
      <formula>NOT(ISERROR(SEARCH("Fully Achieved",I51)))</formula>
    </cfRule>
    <cfRule type="containsText" dxfId="2716" priority="2798" operator="containsText" text="Update not Provided">
      <formula>NOT(ISERROR(SEARCH("Update not Provided",I51)))</formula>
    </cfRule>
    <cfRule type="containsText" dxfId="2715" priority="2799" operator="containsText" text="Not yet due">
      <formula>NOT(ISERROR(SEARCH("Not yet due",I51)))</formula>
    </cfRule>
    <cfRule type="containsText" dxfId="2714" priority="2800" operator="containsText" text="Completed Behind Schedule">
      <formula>NOT(ISERROR(SEARCH("Completed Behind Schedule",I51)))</formula>
    </cfRule>
    <cfRule type="containsText" dxfId="2713" priority="2801" operator="containsText" text="Off Target">
      <formula>NOT(ISERROR(SEARCH("Off Target",I51)))</formula>
    </cfRule>
    <cfRule type="containsText" dxfId="2712" priority="2802" operator="containsText" text="In Danger of Falling Behind Target">
      <formula>NOT(ISERROR(SEARCH("In Danger of Falling Behind Target",I51)))</formula>
    </cfRule>
    <cfRule type="containsText" dxfId="2711" priority="2803" operator="containsText" text="On Track to be Achieved">
      <formula>NOT(ISERROR(SEARCH("On Track to be Achieved",I51)))</formula>
    </cfRule>
    <cfRule type="containsText" dxfId="2710" priority="2804" operator="containsText" text="Fully Achieved">
      <formula>NOT(ISERROR(SEARCH("Fully Achieved",I51)))</formula>
    </cfRule>
    <cfRule type="containsText" dxfId="2709" priority="2805" operator="containsText" text="Fully Achieved">
      <formula>NOT(ISERROR(SEARCH("Fully Achieved",I51)))</formula>
    </cfRule>
    <cfRule type="containsText" dxfId="2708" priority="2806" operator="containsText" text="Fully Achieved">
      <formula>NOT(ISERROR(SEARCH("Fully Achieved",I51)))</formula>
    </cfRule>
    <cfRule type="containsText" dxfId="2707" priority="2807" operator="containsText" text="Deferred">
      <formula>NOT(ISERROR(SEARCH("Deferred",I51)))</formula>
    </cfRule>
    <cfRule type="containsText" dxfId="2706" priority="2808" operator="containsText" text="Deleted">
      <formula>NOT(ISERROR(SEARCH("Deleted",I51)))</formula>
    </cfRule>
    <cfRule type="containsText" dxfId="2705" priority="2809" operator="containsText" text="In Danger of Falling Behind Target">
      <formula>NOT(ISERROR(SEARCH("In Danger of Falling Behind Target",I51)))</formula>
    </cfRule>
    <cfRule type="containsText" dxfId="2704" priority="2810" operator="containsText" text="Not yet due">
      <formula>NOT(ISERROR(SEARCH("Not yet due",I51)))</formula>
    </cfRule>
    <cfRule type="containsText" dxfId="2703" priority="2811" operator="containsText" text="Update not Provided">
      <formula>NOT(ISERROR(SEARCH("Update not Provided",I51)))</formula>
    </cfRule>
  </conditionalFormatting>
  <conditionalFormatting sqref="I52:I61">
    <cfRule type="containsText" dxfId="2702" priority="2740" operator="containsText" text="On track to be achieved">
      <formula>NOT(ISERROR(SEARCH("On track to be achieved",I52)))</formula>
    </cfRule>
    <cfRule type="containsText" dxfId="2701" priority="2741" operator="containsText" text="Deferred">
      <formula>NOT(ISERROR(SEARCH("Deferred",I52)))</formula>
    </cfRule>
    <cfRule type="containsText" dxfId="2700" priority="2742" operator="containsText" text="Deleted">
      <formula>NOT(ISERROR(SEARCH("Deleted",I52)))</formula>
    </cfRule>
    <cfRule type="containsText" dxfId="2699" priority="2743" operator="containsText" text="In Danger of Falling Behind Target">
      <formula>NOT(ISERROR(SEARCH("In Danger of Falling Behind Target",I52)))</formula>
    </cfRule>
    <cfRule type="containsText" dxfId="2698" priority="2744" operator="containsText" text="Not yet due">
      <formula>NOT(ISERROR(SEARCH("Not yet due",I52)))</formula>
    </cfRule>
    <cfRule type="containsText" dxfId="2697" priority="2745" operator="containsText" text="Update not Provided">
      <formula>NOT(ISERROR(SEARCH("Update not Provided",I52)))</formula>
    </cfRule>
    <cfRule type="containsText" dxfId="2696" priority="2746" operator="containsText" text="Not yet due">
      <formula>NOT(ISERROR(SEARCH("Not yet due",I52)))</formula>
    </cfRule>
    <cfRule type="containsText" dxfId="2695" priority="2747" operator="containsText" text="Completed Behind Schedule">
      <formula>NOT(ISERROR(SEARCH("Completed Behind Schedule",I52)))</formula>
    </cfRule>
    <cfRule type="containsText" dxfId="2694" priority="2748" operator="containsText" text="Off Target">
      <formula>NOT(ISERROR(SEARCH("Off Target",I52)))</formula>
    </cfRule>
    <cfRule type="containsText" dxfId="2693" priority="2749" operator="containsText" text="On Track to be Achieved">
      <formula>NOT(ISERROR(SEARCH("On Track to be Achieved",I52)))</formula>
    </cfRule>
    <cfRule type="containsText" dxfId="2692" priority="2750" operator="containsText" text="Fully Achieved">
      <formula>NOT(ISERROR(SEARCH("Fully Achieved",I52)))</formula>
    </cfRule>
    <cfRule type="containsText" dxfId="2691" priority="2751" operator="containsText" text="Not yet due">
      <formula>NOT(ISERROR(SEARCH("Not yet due",I52)))</formula>
    </cfRule>
    <cfRule type="containsText" dxfId="2690" priority="2752" operator="containsText" text="Not Yet Due">
      <formula>NOT(ISERROR(SEARCH("Not Yet Due",I52)))</formula>
    </cfRule>
    <cfRule type="containsText" dxfId="2689" priority="2753" operator="containsText" text="Deferred">
      <formula>NOT(ISERROR(SEARCH("Deferred",I52)))</formula>
    </cfRule>
    <cfRule type="containsText" dxfId="2688" priority="2754" operator="containsText" text="Deleted">
      <formula>NOT(ISERROR(SEARCH("Deleted",I52)))</formula>
    </cfRule>
    <cfRule type="containsText" dxfId="2687" priority="2755" operator="containsText" text="In Danger of Falling Behind Target">
      <formula>NOT(ISERROR(SEARCH("In Danger of Falling Behind Target",I52)))</formula>
    </cfRule>
    <cfRule type="containsText" dxfId="2686" priority="2756" operator="containsText" text="Not yet due">
      <formula>NOT(ISERROR(SEARCH("Not yet due",I52)))</formula>
    </cfRule>
    <cfRule type="containsText" dxfId="2685" priority="2757" operator="containsText" text="Completed Behind Schedule">
      <formula>NOT(ISERROR(SEARCH("Completed Behind Schedule",I52)))</formula>
    </cfRule>
    <cfRule type="containsText" dxfId="2684" priority="2758" operator="containsText" text="Off Target">
      <formula>NOT(ISERROR(SEARCH("Off Target",I52)))</formula>
    </cfRule>
    <cfRule type="containsText" dxfId="2683" priority="2759" operator="containsText" text="In Danger of Falling Behind Target">
      <formula>NOT(ISERROR(SEARCH("In Danger of Falling Behind Target",I52)))</formula>
    </cfRule>
    <cfRule type="containsText" dxfId="2682" priority="2760" operator="containsText" text="On Track to be Achieved">
      <formula>NOT(ISERROR(SEARCH("On Track to be Achieved",I52)))</formula>
    </cfRule>
    <cfRule type="containsText" dxfId="2681" priority="2761" operator="containsText" text="Fully Achieved">
      <formula>NOT(ISERROR(SEARCH("Fully Achieved",I52)))</formula>
    </cfRule>
    <cfRule type="containsText" dxfId="2680" priority="2762" operator="containsText" text="Update not Provided">
      <formula>NOT(ISERROR(SEARCH("Update not Provided",I52)))</formula>
    </cfRule>
    <cfRule type="containsText" dxfId="2679" priority="2763" operator="containsText" text="Not yet due">
      <formula>NOT(ISERROR(SEARCH("Not yet due",I52)))</formula>
    </cfRule>
    <cfRule type="containsText" dxfId="2678" priority="2764" operator="containsText" text="Completed Behind Schedule">
      <formula>NOT(ISERROR(SEARCH("Completed Behind Schedule",I52)))</formula>
    </cfRule>
    <cfRule type="containsText" dxfId="2677" priority="2765" operator="containsText" text="Off Target">
      <formula>NOT(ISERROR(SEARCH("Off Target",I52)))</formula>
    </cfRule>
    <cfRule type="containsText" dxfId="2676" priority="2766" operator="containsText" text="In Danger of Falling Behind Target">
      <formula>NOT(ISERROR(SEARCH("In Danger of Falling Behind Target",I52)))</formula>
    </cfRule>
    <cfRule type="containsText" dxfId="2675" priority="2767" operator="containsText" text="On Track to be Achieved">
      <formula>NOT(ISERROR(SEARCH("On Track to be Achieved",I52)))</formula>
    </cfRule>
    <cfRule type="containsText" dxfId="2674" priority="2768" operator="containsText" text="Fully Achieved">
      <formula>NOT(ISERROR(SEARCH("Fully Achieved",I52)))</formula>
    </cfRule>
    <cfRule type="containsText" dxfId="2673" priority="2769" operator="containsText" text="Fully Achieved">
      <formula>NOT(ISERROR(SEARCH("Fully Achieved",I52)))</formula>
    </cfRule>
    <cfRule type="containsText" dxfId="2672" priority="2770" operator="containsText" text="Fully Achieved">
      <formula>NOT(ISERROR(SEARCH("Fully Achieved",I52)))</formula>
    </cfRule>
    <cfRule type="containsText" dxfId="2671" priority="2771" operator="containsText" text="Deferred">
      <formula>NOT(ISERROR(SEARCH("Deferred",I52)))</formula>
    </cfRule>
    <cfRule type="containsText" dxfId="2670" priority="2772" operator="containsText" text="Deleted">
      <formula>NOT(ISERROR(SEARCH("Deleted",I52)))</formula>
    </cfRule>
    <cfRule type="containsText" dxfId="2669" priority="2773" operator="containsText" text="In Danger of Falling Behind Target">
      <formula>NOT(ISERROR(SEARCH("In Danger of Falling Behind Target",I52)))</formula>
    </cfRule>
    <cfRule type="containsText" dxfId="2668" priority="2774" operator="containsText" text="Not yet due">
      <formula>NOT(ISERROR(SEARCH("Not yet due",I52)))</formula>
    </cfRule>
    <cfRule type="containsText" dxfId="2667" priority="2775" operator="containsText" text="Update not Provided">
      <formula>NOT(ISERROR(SEARCH("Update not Provided",I52)))</formula>
    </cfRule>
  </conditionalFormatting>
  <conditionalFormatting sqref="I64:I70">
    <cfRule type="containsText" dxfId="2666" priority="2704" operator="containsText" text="On track to be achieved">
      <formula>NOT(ISERROR(SEARCH("On track to be achieved",I64)))</formula>
    </cfRule>
    <cfRule type="containsText" dxfId="2665" priority="2705" operator="containsText" text="Deferred">
      <formula>NOT(ISERROR(SEARCH("Deferred",I64)))</formula>
    </cfRule>
    <cfRule type="containsText" dxfId="2664" priority="2706" operator="containsText" text="Deleted">
      <formula>NOT(ISERROR(SEARCH("Deleted",I64)))</formula>
    </cfRule>
    <cfRule type="containsText" dxfId="2663" priority="2707" operator="containsText" text="In Danger of Falling Behind Target">
      <formula>NOT(ISERROR(SEARCH("In Danger of Falling Behind Target",I64)))</formula>
    </cfRule>
    <cfRule type="containsText" dxfId="2662" priority="2708" operator="containsText" text="Not yet due">
      <formula>NOT(ISERROR(SEARCH("Not yet due",I64)))</formula>
    </cfRule>
    <cfRule type="containsText" dxfId="2661" priority="2709" operator="containsText" text="Update not Provided">
      <formula>NOT(ISERROR(SEARCH("Update not Provided",I64)))</formula>
    </cfRule>
    <cfRule type="containsText" dxfId="2660" priority="2710" operator="containsText" text="Not yet due">
      <formula>NOT(ISERROR(SEARCH("Not yet due",I64)))</formula>
    </cfRule>
    <cfRule type="containsText" dxfId="2659" priority="2711" operator="containsText" text="Completed Behind Schedule">
      <formula>NOT(ISERROR(SEARCH("Completed Behind Schedule",I64)))</formula>
    </cfRule>
    <cfRule type="containsText" dxfId="2658" priority="2712" operator="containsText" text="Off Target">
      <formula>NOT(ISERROR(SEARCH("Off Target",I64)))</formula>
    </cfRule>
    <cfRule type="containsText" dxfId="2657" priority="2713" operator="containsText" text="On Track to be Achieved">
      <formula>NOT(ISERROR(SEARCH("On Track to be Achieved",I64)))</formula>
    </cfRule>
    <cfRule type="containsText" dxfId="2656" priority="2714" operator="containsText" text="Fully Achieved">
      <formula>NOT(ISERROR(SEARCH("Fully Achieved",I64)))</formula>
    </cfRule>
    <cfRule type="containsText" dxfId="2655" priority="2715" operator="containsText" text="Not yet due">
      <formula>NOT(ISERROR(SEARCH("Not yet due",I64)))</formula>
    </cfRule>
    <cfRule type="containsText" dxfId="2654" priority="2716" operator="containsText" text="Not Yet Due">
      <formula>NOT(ISERROR(SEARCH("Not Yet Due",I64)))</formula>
    </cfRule>
    <cfRule type="containsText" dxfId="2653" priority="2717" operator="containsText" text="Deferred">
      <formula>NOT(ISERROR(SEARCH("Deferred",I64)))</formula>
    </cfRule>
    <cfRule type="containsText" dxfId="2652" priority="2718" operator="containsText" text="Deleted">
      <formula>NOT(ISERROR(SEARCH("Deleted",I64)))</formula>
    </cfRule>
    <cfRule type="containsText" dxfId="2651" priority="2719" operator="containsText" text="In Danger of Falling Behind Target">
      <formula>NOT(ISERROR(SEARCH("In Danger of Falling Behind Target",I64)))</formula>
    </cfRule>
    <cfRule type="containsText" dxfId="2650" priority="2720" operator="containsText" text="Not yet due">
      <formula>NOT(ISERROR(SEARCH("Not yet due",I64)))</formula>
    </cfRule>
    <cfRule type="containsText" dxfId="2649" priority="2721" operator="containsText" text="Completed Behind Schedule">
      <formula>NOT(ISERROR(SEARCH("Completed Behind Schedule",I64)))</formula>
    </cfRule>
    <cfRule type="containsText" dxfId="2648" priority="2722" operator="containsText" text="Off Target">
      <formula>NOT(ISERROR(SEARCH("Off Target",I64)))</formula>
    </cfRule>
    <cfRule type="containsText" dxfId="2647" priority="2723" operator="containsText" text="In Danger of Falling Behind Target">
      <formula>NOT(ISERROR(SEARCH("In Danger of Falling Behind Target",I64)))</formula>
    </cfRule>
    <cfRule type="containsText" dxfId="2646" priority="2724" operator="containsText" text="On Track to be Achieved">
      <formula>NOT(ISERROR(SEARCH("On Track to be Achieved",I64)))</formula>
    </cfRule>
    <cfRule type="containsText" dxfId="2645" priority="2725" operator="containsText" text="Fully Achieved">
      <formula>NOT(ISERROR(SEARCH("Fully Achieved",I64)))</formula>
    </cfRule>
    <cfRule type="containsText" dxfId="2644" priority="2726" operator="containsText" text="Update not Provided">
      <formula>NOT(ISERROR(SEARCH("Update not Provided",I64)))</formula>
    </cfRule>
    <cfRule type="containsText" dxfId="2643" priority="2727" operator="containsText" text="Not yet due">
      <formula>NOT(ISERROR(SEARCH("Not yet due",I64)))</formula>
    </cfRule>
    <cfRule type="containsText" dxfId="2642" priority="2728" operator="containsText" text="Completed Behind Schedule">
      <formula>NOT(ISERROR(SEARCH("Completed Behind Schedule",I64)))</formula>
    </cfRule>
    <cfRule type="containsText" dxfId="2641" priority="2729" operator="containsText" text="Off Target">
      <formula>NOT(ISERROR(SEARCH("Off Target",I64)))</formula>
    </cfRule>
    <cfRule type="containsText" dxfId="2640" priority="2730" operator="containsText" text="In Danger of Falling Behind Target">
      <formula>NOT(ISERROR(SEARCH("In Danger of Falling Behind Target",I64)))</formula>
    </cfRule>
    <cfRule type="containsText" dxfId="2639" priority="2731" operator="containsText" text="On Track to be Achieved">
      <formula>NOT(ISERROR(SEARCH("On Track to be Achieved",I64)))</formula>
    </cfRule>
    <cfRule type="containsText" dxfId="2638" priority="2732" operator="containsText" text="Fully Achieved">
      <formula>NOT(ISERROR(SEARCH("Fully Achieved",I64)))</formula>
    </cfRule>
    <cfRule type="containsText" dxfId="2637" priority="2733" operator="containsText" text="Fully Achieved">
      <formula>NOT(ISERROR(SEARCH("Fully Achieved",I64)))</formula>
    </cfRule>
    <cfRule type="containsText" dxfId="2636" priority="2734" operator="containsText" text="Fully Achieved">
      <formula>NOT(ISERROR(SEARCH("Fully Achieved",I64)))</formula>
    </cfRule>
    <cfRule type="containsText" dxfId="2635" priority="2735" operator="containsText" text="Deferred">
      <formula>NOT(ISERROR(SEARCH("Deferred",I64)))</formula>
    </cfRule>
    <cfRule type="containsText" dxfId="2634" priority="2736" operator="containsText" text="Deleted">
      <formula>NOT(ISERROR(SEARCH("Deleted",I64)))</formula>
    </cfRule>
    <cfRule type="containsText" dxfId="2633" priority="2737" operator="containsText" text="In Danger of Falling Behind Target">
      <formula>NOT(ISERROR(SEARCH("In Danger of Falling Behind Target",I64)))</formula>
    </cfRule>
    <cfRule type="containsText" dxfId="2632" priority="2738" operator="containsText" text="Not yet due">
      <formula>NOT(ISERROR(SEARCH("Not yet due",I64)))</formula>
    </cfRule>
    <cfRule type="containsText" dxfId="2631" priority="2739" operator="containsText" text="Update not Provided">
      <formula>NOT(ISERROR(SEARCH("Update not Provided",I64)))</formula>
    </cfRule>
  </conditionalFormatting>
  <conditionalFormatting sqref="I71">
    <cfRule type="containsText" dxfId="2630" priority="2668" operator="containsText" text="On track to be achieved">
      <formula>NOT(ISERROR(SEARCH("On track to be achieved",I71)))</formula>
    </cfRule>
    <cfRule type="containsText" dxfId="2629" priority="2669" operator="containsText" text="Deferred">
      <formula>NOT(ISERROR(SEARCH("Deferred",I71)))</formula>
    </cfRule>
    <cfRule type="containsText" dxfId="2628" priority="2670" operator="containsText" text="Deleted">
      <formula>NOT(ISERROR(SEARCH("Deleted",I71)))</formula>
    </cfRule>
    <cfRule type="containsText" dxfId="2627" priority="2671" operator="containsText" text="In Danger of Falling Behind Target">
      <formula>NOT(ISERROR(SEARCH("In Danger of Falling Behind Target",I71)))</formula>
    </cfRule>
    <cfRule type="containsText" dxfId="2626" priority="2672" operator="containsText" text="Not yet due">
      <formula>NOT(ISERROR(SEARCH("Not yet due",I71)))</formula>
    </cfRule>
    <cfRule type="containsText" dxfId="2625" priority="2673" operator="containsText" text="Update not Provided">
      <formula>NOT(ISERROR(SEARCH("Update not Provided",I71)))</formula>
    </cfRule>
    <cfRule type="containsText" dxfId="2624" priority="2674" operator="containsText" text="Not yet due">
      <formula>NOT(ISERROR(SEARCH("Not yet due",I71)))</formula>
    </cfRule>
    <cfRule type="containsText" dxfId="2623" priority="2675" operator="containsText" text="Completed Behind Schedule">
      <formula>NOT(ISERROR(SEARCH("Completed Behind Schedule",I71)))</formula>
    </cfRule>
    <cfRule type="containsText" dxfId="2622" priority="2676" operator="containsText" text="Off Target">
      <formula>NOT(ISERROR(SEARCH("Off Target",I71)))</formula>
    </cfRule>
    <cfRule type="containsText" dxfId="2621" priority="2677" operator="containsText" text="On Track to be Achieved">
      <formula>NOT(ISERROR(SEARCH("On Track to be Achieved",I71)))</formula>
    </cfRule>
    <cfRule type="containsText" dxfId="2620" priority="2678" operator="containsText" text="Fully Achieved">
      <formula>NOT(ISERROR(SEARCH("Fully Achieved",I71)))</formula>
    </cfRule>
    <cfRule type="containsText" dxfId="2619" priority="2679" operator="containsText" text="Not yet due">
      <formula>NOT(ISERROR(SEARCH("Not yet due",I71)))</formula>
    </cfRule>
    <cfRule type="containsText" dxfId="2618" priority="2680" operator="containsText" text="Not Yet Due">
      <formula>NOT(ISERROR(SEARCH("Not Yet Due",I71)))</formula>
    </cfRule>
    <cfRule type="containsText" dxfId="2617" priority="2681" operator="containsText" text="Deferred">
      <formula>NOT(ISERROR(SEARCH("Deferred",I71)))</formula>
    </cfRule>
    <cfRule type="containsText" dxfId="2616" priority="2682" operator="containsText" text="Deleted">
      <formula>NOT(ISERROR(SEARCH("Deleted",I71)))</formula>
    </cfRule>
    <cfRule type="containsText" dxfId="2615" priority="2683" operator="containsText" text="In Danger of Falling Behind Target">
      <formula>NOT(ISERROR(SEARCH("In Danger of Falling Behind Target",I71)))</formula>
    </cfRule>
    <cfRule type="containsText" dxfId="2614" priority="2684" operator="containsText" text="Not yet due">
      <formula>NOT(ISERROR(SEARCH("Not yet due",I71)))</formula>
    </cfRule>
    <cfRule type="containsText" dxfId="2613" priority="2685" operator="containsText" text="Completed Behind Schedule">
      <formula>NOT(ISERROR(SEARCH("Completed Behind Schedule",I71)))</formula>
    </cfRule>
    <cfRule type="containsText" dxfId="2612" priority="2686" operator="containsText" text="Off Target">
      <formula>NOT(ISERROR(SEARCH("Off Target",I71)))</formula>
    </cfRule>
    <cfRule type="containsText" dxfId="2611" priority="2687" operator="containsText" text="In Danger of Falling Behind Target">
      <formula>NOT(ISERROR(SEARCH("In Danger of Falling Behind Target",I71)))</formula>
    </cfRule>
    <cfRule type="containsText" dxfId="2610" priority="2688" operator="containsText" text="On Track to be Achieved">
      <formula>NOT(ISERROR(SEARCH("On Track to be Achieved",I71)))</formula>
    </cfRule>
    <cfRule type="containsText" dxfId="2609" priority="2689" operator="containsText" text="Fully Achieved">
      <formula>NOT(ISERROR(SEARCH("Fully Achieved",I71)))</formula>
    </cfRule>
    <cfRule type="containsText" dxfId="2608" priority="2690" operator="containsText" text="Update not Provided">
      <formula>NOT(ISERROR(SEARCH("Update not Provided",I71)))</formula>
    </cfRule>
    <cfRule type="containsText" dxfId="2607" priority="2691" operator="containsText" text="Not yet due">
      <formula>NOT(ISERROR(SEARCH("Not yet due",I71)))</formula>
    </cfRule>
    <cfRule type="containsText" dxfId="2606" priority="2692" operator="containsText" text="Completed Behind Schedule">
      <formula>NOT(ISERROR(SEARCH("Completed Behind Schedule",I71)))</formula>
    </cfRule>
    <cfRule type="containsText" dxfId="2605" priority="2693" operator="containsText" text="Off Target">
      <formula>NOT(ISERROR(SEARCH("Off Target",I71)))</formula>
    </cfRule>
    <cfRule type="containsText" dxfId="2604" priority="2694" operator="containsText" text="In Danger of Falling Behind Target">
      <formula>NOT(ISERROR(SEARCH("In Danger of Falling Behind Target",I71)))</formula>
    </cfRule>
    <cfRule type="containsText" dxfId="2603" priority="2695" operator="containsText" text="On Track to be Achieved">
      <formula>NOT(ISERROR(SEARCH("On Track to be Achieved",I71)))</formula>
    </cfRule>
    <cfRule type="containsText" dxfId="2602" priority="2696" operator="containsText" text="Fully Achieved">
      <formula>NOT(ISERROR(SEARCH("Fully Achieved",I71)))</formula>
    </cfRule>
    <cfRule type="containsText" dxfId="2601" priority="2697" operator="containsText" text="Fully Achieved">
      <formula>NOT(ISERROR(SEARCH("Fully Achieved",I71)))</formula>
    </cfRule>
    <cfRule type="containsText" dxfId="2600" priority="2698" operator="containsText" text="Fully Achieved">
      <formula>NOT(ISERROR(SEARCH("Fully Achieved",I71)))</formula>
    </cfRule>
    <cfRule type="containsText" dxfId="2599" priority="2699" operator="containsText" text="Deferred">
      <formula>NOT(ISERROR(SEARCH("Deferred",I71)))</formula>
    </cfRule>
    <cfRule type="containsText" dxfId="2598" priority="2700" operator="containsText" text="Deleted">
      <formula>NOT(ISERROR(SEARCH("Deleted",I71)))</formula>
    </cfRule>
    <cfRule type="containsText" dxfId="2597" priority="2701" operator="containsText" text="In Danger of Falling Behind Target">
      <formula>NOT(ISERROR(SEARCH("In Danger of Falling Behind Target",I71)))</formula>
    </cfRule>
    <cfRule type="containsText" dxfId="2596" priority="2702" operator="containsText" text="Not yet due">
      <formula>NOT(ISERROR(SEARCH("Not yet due",I71)))</formula>
    </cfRule>
    <cfRule type="containsText" dxfId="2595" priority="2703" operator="containsText" text="Update not Provided">
      <formula>NOT(ISERROR(SEARCH("Update not Provided",I71)))</formula>
    </cfRule>
  </conditionalFormatting>
  <conditionalFormatting sqref="I71">
    <cfRule type="containsText" dxfId="2594" priority="2632" operator="containsText" text="On track to be achieved">
      <formula>NOT(ISERROR(SEARCH("On track to be achieved",I71)))</formula>
    </cfRule>
    <cfRule type="containsText" dxfId="2593" priority="2633" operator="containsText" text="Deferred">
      <formula>NOT(ISERROR(SEARCH("Deferred",I71)))</formula>
    </cfRule>
    <cfRule type="containsText" dxfId="2592" priority="2634" operator="containsText" text="Deleted">
      <formula>NOT(ISERROR(SEARCH("Deleted",I71)))</formula>
    </cfRule>
    <cfRule type="containsText" dxfId="2591" priority="2635" operator="containsText" text="In Danger of Falling Behind Target">
      <formula>NOT(ISERROR(SEARCH("In Danger of Falling Behind Target",I71)))</formula>
    </cfRule>
    <cfRule type="containsText" dxfId="2590" priority="2636" operator="containsText" text="Not yet due">
      <formula>NOT(ISERROR(SEARCH("Not yet due",I71)))</formula>
    </cfRule>
    <cfRule type="containsText" dxfId="2589" priority="2637" operator="containsText" text="Update not Provided">
      <formula>NOT(ISERROR(SEARCH("Update not Provided",I71)))</formula>
    </cfRule>
    <cfRule type="containsText" dxfId="2588" priority="2638" operator="containsText" text="Not yet due">
      <formula>NOT(ISERROR(SEARCH("Not yet due",I71)))</formula>
    </cfRule>
    <cfRule type="containsText" dxfId="2587" priority="2639" operator="containsText" text="Completed Behind Schedule">
      <formula>NOT(ISERROR(SEARCH("Completed Behind Schedule",I71)))</formula>
    </cfRule>
    <cfRule type="containsText" dxfId="2586" priority="2640" operator="containsText" text="Off Target">
      <formula>NOT(ISERROR(SEARCH("Off Target",I71)))</formula>
    </cfRule>
    <cfRule type="containsText" dxfId="2585" priority="2641" operator="containsText" text="On Track to be Achieved">
      <formula>NOT(ISERROR(SEARCH("On Track to be Achieved",I71)))</formula>
    </cfRule>
    <cfRule type="containsText" dxfId="2584" priority="2642" operator="containsText" text="Fully Achieved">
      <formula>NOT(ISERROR(SEARCH("Fully Achieved",I71)))</formula>
    </cfRule>
    <cfRule type="containsText" dxfId="2583" priority="2643" operator="containsText" text="Not yet due">
      <formula>NOT(ISERROR(SEARCH("Not yet due",I71)))</formula>
    </cfRule>
    <cfRule type="containsText" dxfId="2582" priority="2644" operator="containsText" text="Not Yet Due">
      <formula>NOT(ISERROR(SEARCH("Not Yet Due",I71)))</formula>
    </cfRule>
    <cfRule type="containsText" dxfId="2581" priority="2645" operator="containsText" text="Deferred">
      <formula>NOT(ISERROR(SEARCH("Deferred",I71)))</formula>
    </cfRule>
    <cfRule type="containsText" dxfId="2580" priority="2646" operator="containsText" text="Deleted">
      <formula>NOT(ISERROR(SEARCH("Deleted",I71)))</formula>
    </cfRule>
    <cfRule type="containsText" dxfId="2579" priority="2647" operator="containsText" text="In Danger of Falling Behind Target">
      <formula>NOT(ISERROR(SEARCH("In Danger of Falling Behind Target",I71)))</formula>
    </cfRule>
    <cfRule type="containsText" dxfId="2578" priority="2648" operator="containsText" text="Not yet due">
      <formula>NOT(ISERROR(SEARCH("Not yet due",I71)))</formula>
    </cfRule>
    <cfRule type="containsText" dxfId="2577" priority="2649" operator="containsText" text="Completed Behind Schedule">
      <formula>NOT(ISERROR(SEARCH("Completed Behind Schedule",I71)))</formula>
    </cfRule>
    <cfRule type="containsText" dxfId="2576" priority="2650" operator="containsText" text="Off Target">
      <formula>NOT(ISERROR(SEARCH("Off Target",I71)))</formula>
    </cfRule>
    <cfRule type="containsText" dxfId="2575" priority="2651" operator="containsText" text="In Danger of Falling Behind Target">
      <formula>NOT(ISERROR(SEARCH("In Danger of Falling Behind Target",I71)))</formula>
    </cfRule>
    <cfRule type="containsText" dxfId="2574" priority="2652" operator="containsText" text="On Track to be Achieved">
      <formula>NOT(ISERROR(SEARCH("On Track to be Achieved",I71)))</formula>
    </cfRule>
    <cfRule type="containsText" dxfId="2573" priority="2653" operator="containsText" text="Fully Achieved">
      <formula>NOT(ISERROR(SEARCH("Fully Achieved",I71)))</formula>
    </cfRule>
    <cfRule type="containsText" dxfId="2572" priority="2654" operator="containsText" text="Update not Provided">
      <formula>NOT(ISERROR(SEARCH("Update not Provided",I71)))</formula>
    </cfRule>
    <cfRule type="containsText" dxfId="2571" priority="2655" operator="containsText" text="Not yet due">
      <formula>NOT(ISERROR(SEARCH("Not yet due",I71)))</formula>
    </cfRule>
    <cfRule type="containsText" dxfId="2570" priority="2656" operator="containsText" text="Completed Behind Schedule">
      <formula>NOT(ISERROR(SEARCH("Completed Behind Schedule",I71)))</formula>
    </cfRule>
    <cfRule type="containsText" dxfId="2569" priority="2657" operator="containsText" text="Off Target">
      <formula>NOT(ISERROR(SEARCH("Off Target",I71)))</formula>
    </cfRule>
    <cfRule type="containsText" dxfId="2568" priority="2658" operator="containsText" text="In Danger of Falling Behind Target">
      <formula>NOT(ISERROR(SEARCH("In Danger of Falling Behind Target",I71)))</formula>
    </cfRule>
    <cfRule type="containsText" dxfId="2567" priority="2659" operator="containsText" text="On Track to be Achieved">
      <formula>NOT(ISERROR(SEARCH("On Track to be Achieved",I71)))</formula>
    </cfRule>
    <cfRule type="containsText" dxfId="2566" priority="2660" operator="containsText" text="Fully Achieved">
      <formula>NOT(ISERROR(SEARCH("Fully Achieved",I71)))</formula>
    </cfRule>
    <cfRule type="containsText" dxfId="2565" priority="2661" operator="containsText" text="Fully Achieved">
      <formula>NOT(ISERROR(SEARCH("Fully Achieved",I71)))</formula>
    </cfRule>
    <cfRule type="containsText" dxfId="2564" priority="2662" operator="containsText" text="Fully Achieved">
      <formula>NOT(ISERROR(SEARCH("Fully Achieved",I71)))</formula>
    </cfRule>
    <cfRule type="containsText" dxfId="2563" priority="2663" operator="containsText" text="Deferred">
      <formula>NOT(ISERROR(SEARCH("Deferred",I71)))</formula>
    </cfRule>
    <cfRule type="containsText" dxfId="2562" priority="2664" operator="containsText" text="Deleted">
      <formula>NOT(ISERROR(SEARCH("Deleted",I71)))</formula>
    </cfRule>
    <cfRule type="containsText" dxfId="2561" priority="2665" operator="containsText" text="In Danger of Falling Behind Target">
      <formula>NOT(ISERROR(SEARCH("In Danger of Falling Behind Target",I71)))</formula>
    </cfRule>
    <cfRule type="containsText" dxfId="2560" priority="2666" operator="containsText" text="Not yet due">
      <formula>NOT(ISERROR(SEARCH("Not yet due",I71)))</formula>
    </cfRule>
    <cfRule type="containsText" dxfId="2559" priority="2667" operator="containsText" text="Update not Provided">
      <formula>NOT(ISERROR(SEARCH("Update not Provided",I71)))</formula>
    </cfRule>
  </conditionalFormatting>
  <conditionalFormatting sqref="I71">
    <cfRule type="containsText" dxfId="2558" priority="2596" operator="containsText" text="On track to be achieved">
      <formula>NOT(ISERROR(SEARCH("On track to be achieved",I71)))</formula>
    </cfRule>
    <cfRule type="containsText" dxfId="2557" priority="2597" operator="containsText" text="Deferred">
      <formula>NOT(ISERROR(SEARCH("Deferred",I71)))</formula>
    </cfRule>
    <cfRule type="containsText" dxfId="2556" priority="2598" operator="containsText" text="Deleted">
      <formula>NOT(ISERROR(SEARCH("Deleted",I71)))</formula>
    </cfRule>
    <cfRule type="containsText" dxfId="2555" priority="2599" operator="containsText" text="In Danger of Falling Behind Target">
      <formula>NOT(ISERROR(SEARCH("In Danger of Falling Behind Target",I71)))</formula>
    </cfRule>
    <cfRule type="containsText" dxfId="2554" priority="2600" operator="containsText" text="Not yet due">
      <formula>NOT(ISERROR(SEARCH("Not yet due",I71)))</formula>
    </cfRule>
    <cfRule type="containsText" dxfId="2553" priority="2601" operator="containsText" text="Update not Provided">
      <formula>NOT(ISERROR(SEARCH("Update not Provided",I71)))</formula>
    </cfRule>
    <cfRule type="containsText" dxfId="2552" priority="2602" operator="containsText" text="Not yet due">
      <formula>NOT(ISERROR(SEARCH("Not yet due",I71)))</formula>
    </cfRule>
    <cfRule type="containsText" dxfId="2551" priority="2603" operator="containsText" text="Completed Behind Schedule">
      <formula>NOT(ISERROR(SEARCH("Completed Behind Schedule",I71)))</formula>
    </cfRule>
    <cfRule type="containsText" dxfId="2550" priority="2604" operator="containsText" text="Off Target">
      <formula>NOT(ISERROR(SEARCH("Off Target",I71)))</formula>
    </cfRule>
    <cfRule type="containsText" dxfId="2549" priority="2605" operator="containsText" text="On Track to be Achieved">
      <formula>NOT(ISERROR(SEARCH("On Track to be Achieved",I71)))</formula>
    </cfRule>
    <cfRule type="containsText" dxfId="2548" priority="2606" operator="containsText" text="Fully Achieved">
      <formula>NOT(ISERROR(SEARCH("Fully Achieved",I71)))</formula>
    </cfRule>
    <cfRule type="containsText" dxfId="2547" priority="2607" operator="containsText" text="Not yet due">
      <formula>NOT(ISERROR(SEARCH("Not yet due",I71)))</formula>
    </cfRule>
    <cfRule type="containsText" dxfId="2546" priority="2608" operator="containsText" text="Not Yet Due">
      <formula>NOT(ISERROR(SEARCH("Not Yet Due",I71)))</formula>
    </cfRule>
    <cfRule type="containsText" dxfId="2545" priority="2609" operator="containsText" text="Deferred">
      <formula>NOT(ISERROR(SEARCH("Deferred",I71)))</formula>
    </cfRule>
    <cfRule type="containsText" dxfId="2544" priority="2610" operator="containsText" text="Deleted">
      <formula>NOT(ISERROR(SEARCH("Deleted",I71)))</formula>
    </cfRule>
    <cfRule type="containsText" dxfId="2543" priority="2611" operator="containsText" text="In Danger of Falling Behind Target">
      <formula>NOT(ISERROR(SEARCH("In Danger of Falling Behind Target",I71)))</formula>
    </cfRule>
    <cfRule type="containsText" dxfId="2542" priority="2612" operator="containsText" text="Not yet due">
      <formula>NOT(ISERROR(SEARCH("Not yet due",I71)))</formula>
    </cfRule>
    <cfRule type="containsText" dxfId="2541" priority="2613" operator="containsText" text="Completed Behind Schedule">
      <formula>NOT(ISERROR(SEARCH("Completed Behind Schedule",I71)))</formula>
    </cfRule>
    <cfRule type="containsText" dxfId="2540" priority="2614" operator="containsText" text="Off Target">
      <formula>NOT(ISERROR(SEARCH("Off Target",I71)))</formula>
    </cfRule>
    <cfRule type="containsText" dxfId="2539" priority="2615" operator="containsText" text="In Danger of Falling Behind Target">
      <formula>NOT(ISERROR(SEARCH("In Danger of Falling Behind Target",I71)))</formula>
    </cfRule>
    <cfRule type="containsText" dxfId="2538" priority="2616" operator="containsText" text="On Track to be Achieved">
      <formula>NOT(ISERROR(SEARCH("On Track to be Achieved",I71)))</formula>
    </cfRule>
    <cfRule type="containsText" dxfId="2537" priority="2617" operator="containsText" text="Fully Achieved">
      <formula>NOT(ISERROR(SEARCH("Fully Achieved",I71)))</formula>
    </cfRule>
    <cfRule type="containsText" dxfId="2536" priority="2618" operator="containsText" text="Update not Provided">
      <formula>NOT(ISERROR(SEARCH("Update not Provided",I71)))</formula>
    </cfRule>
    <cfRule type="containsText" dxfId="2535" priority="2619" operator="containsText" text="Not yet due">
      <formula>NOT(ISERROR(SEARCH("Not yet due",I71)))</formula>
    </cfRule>
    <cfRule type="containsText" dxfId="2534" priority="2620" operator="containsText" text="Completed Behind Schedule">
      <formula>NOT(ISERROR(SEARCH("Completed Behind Schedule",I71)))</formula>
    </cfRule>
    <cfRule type="containsText" dxfId="2533" priority="2621" operator="containsText" text="Off Target">
      <formula>NOT(ISERROR(SEARCH("Off Target",I71)))</formula>
    </cfRule>
    <cfRule type="containsText" dxfId="2532" priority="2622" operator="containsText" text="In Danger of Falling Behind Target">
      <formula>NOT(ISERROR(SEARCH("In Danger of Falling Behind Target",I71)))</formula>
    </cfRule>
    <cfRule type="containsText" dxfId="2531" priority="2623" operator="containsText" text="On Track to be Achieved">
      <formula>NOT(ISERROR(SEARCH("On Track to be Achieved",I71)))</formula>
    </cfRule>
    <cfRule type="containsText" dxfId="2530" priority="2624" operator="containsText" text="Fully Achieved">
      <formula>NOT(ISERROR(SEARCH("Fully Achieved",I71)))</formula>
    </cfRule>
    <cfRule type="containsText" dxfId="2529" priority="2625" operator="containsText" text="Fully Achieved">
      <formula>NOT(ISERROR(SEARCH("Fully Achieved",I71)))</formula>
    </cfRule>
    <cfRule type="containsText" dxfId="2528" priority="2626" operator="containsText" text="Fully Achieved">
      <formula>NOT(ISERROR(SEARCH("Fully Achieved",I71)))</formula>
    </cfRule>
    <cfRule type="containsText" dxfId="2527" priority="2627" operator="containsText" text="Deferred">
      <formula>NOT(ISERROR(SEARCH("Deferred",I71)))</formula>
    </cfRule>
    <cfRule type="containsText" dxfId="2526" priority="2628" operator="containsText" text="Deleted">
      <formula>NOT(ISERROR(SEARCH("Deleted",I71)))</formula>
    </cfRule>
    <cfRule type="containsText" dxfId="2525" priority="2629" operator="containsText" text="In Danger of Falling Behind Target">
      <formula>NOT(ISERROR(SEARCH("In Danger of Falling Behind Target",I71)))</formula>
    </cfRule>
    <cfRule type="containsText" dxfId="2524" priority="2630" operator="containsText" text="Not yet due">
      <formula>NOT(ISERROR(SEARCH("Not yet due",I71)))</formula>
    </cfRule>
    <cfRule type="containsText" dxfId="2523" priority="2631" operator="containsText" text="Update not Provided">
      <formula>NOT(ISERROR(SEARCH("Update not Provided",I71)))</formula>
    </cfRule>
  </conditionalFormatting>
  <conditionalFormatting sqref="I71">
    <cfRule type="containsText" dxfId="2522" priority="2560" operator="containsText" text="On track to be achieved">
      <formula>NOT(ISERROR(SEARCH("On track to be achieved",I71)))</formula>
    </cfRule>
    <cfRule type="containsText" dxfId="2521" priority="2561" operator="containsText" text="Deferred">
      <formula>NOT(ISERROR(SEARCH("Deferred",I71)))</formula>
    </cfRule>
    <cfRule type="containsText" dxfId="2520" priority="2562" operator="containsText" text="Deleted">
      <formula>NOT(ISERROR(SEARCH("Deleted",I71)))</formula>
    </cfRule>
    <cfRule type="containsText" dxfId="2519" priority="2563" operator="containsText" text="In Danger of Falling Behind Target">
      <formula>NOT(ISERROR(SEARCH("In Danger of Falling Behind Target",I71)))</formula>
    </cfRule>
    <cfRule type="containsText" dxfId="2518" priority="2564" operator="containsText" text="Not yet due">
      <formula>NOT(ISERROR(SEARCH("Not yet due",I71)))</formula>
    </cfRule>
    <cfRule type="containsText" dxfId="2517" priority="2565" operator="containsText" text="Update not Provided">
      <formula>NOT(ISERROR(SEARCH("Update not Provided",I71)))</formula>
    </cfRule>
    <cfRule type="containsText" dxfId="2516" priority="2566" operator="containsText" text="Not yet due">
      <formula>NOT(ISERROR(SEARCH("Not yet due",I71)))</formula>
    </cfRule>
    <cfRule type="containsText" dxfId="2515" priority="2567" operator="containsText" text="Completed Behind Schedule">
      <formula>NOT(ISERROR(SEARCH("Completed Behind Schedule",I71)))</formula>
    </cfRule>
    <cfRule type="containsText" dxfId="2514" priority="2568" operator="containsText" text="Off Target">
      <formula>NOT(ISERROR(SEARCH("Off Target",I71)))</formula>
    </cfRule>
    <cfRule type="containsText" dxfId="2513" priority="2569" operator="containsText" text="On Track to be Achieved">
      <formula>NOT(ISERROR(SEARCH("On Track to be Achieved",I71)))</formula>
    </cfRule>
    <cfRule type="containsText" dxfId="2512" priority="2570" operator="containsText" text="Fully Achieved">
      <formula>NOT(ISERROR(SEARCH("Fully Achieved",I71)))</formula>
    </cfRule>
    <cfRule type="containsText" dxfId="2511" priority="2571" operator="containsText" text="Not yet due">
      <formula>NOT(ISERROR(SEARCH("Not yet due",I71)))</formula>
    </cfRule>
    <cfRule type="containsText" dxfId="2510" priority="2572" operator="containsText" text="Not Yet Due">
      <formula>NOT(ISERROR(SEARCH("Not Yet Due",I71)))</formula>
    </cfRule>
    <cfRule type="containsText" dxfId="2509" priority="2573" operator="containsText" text="Deferred">
      <formula>NOT(ISERROR(SEARCH("Deferred",I71)))</formula>
    </cfRule>
    <cfRule type="containsText" dxfId="2508" priority="2574" operator="containsText" text="Deleted">
      <formula>NOT(ISERROR(SEARCH("Deleted",I71)))</formula>
    </cfRule>
    <cfRule type="containsText" dxfId="2507" priority="2575" operator="containsText" text="In Danger of Falling Behind Target">
      <formula>NOT(ISERROR(SEARCH("In Danger of Falling Behind Target",I71)))</formula>
    </cfRule>
    <cfRule type="containsText" dxfId="2506" priority="2576" operator="containsText" text="Not yet due">
      <formula>NOT(ISERROR(SEARCH("Not yet due",I71)))</formula>
    </cfRule>
    <cfRule type="containsText" dxfId="2505" priority="2577" operator="containsText" text="Completed Behind Schedule">
      <formula>NOT(ISERROR(SEARCH("Completed Behind Schedule",I71)))</formula>
    </cfRule>
    <cfRule type="containsText" dxfId="2504" priority="2578" operator="containsText" text="Off Target">
      <formula>NOT(ISERROR(SEARCH("Off Target",I71)))</formula>
    </cfRule>
    <cfRule type="containsText" dxfId="2503" priority="2579" operator="containsText" text="In Danger of Falling Behind Target">
      <formula>NOT(ISERROR(SEARCH("In Danger of Falling Behind Target",I71)))</formula>
    </cfRule>
    <cfRule type="containsText" dxfId="2502" priority="2580" operator="containsText" text="On Track to be Achieved">
      <formula>NOT(ISERROR(SEARCH("On Track to be Achieved",I71)))</formula>
    </cfRule>
    <cfRule type="containsText" dxfId="2501" priority="2581" operator="containsText" text="Fully Achieved">
      <formula>NOT(ISERROR(SEARCH("Fully Achieved",I71)))</formula>
    </cfRule>
    <cfRule type="containsText" dxfId="2500" priority="2582" operator="containsText" text="Update not Provided">
      <formula>NOT(ISERROR(SEARCH("Update not Provided",I71)))</formula>
    </cfRule>
    <cfRule type="containsText" dxfId="2499" priority="2583" operator="containsText" text="Not yet due">
      <formula>NOT(ISERROR(SEARCH("Not yet due",I71)))</formula>
    </cfRule>
    <cfRule type="containsText" dxfId="2498" priority="2584" operator="containsText" text="Completed Behind Schedule">
      <formula>NOT(ISERROR(SEARCH("Completed Behind Schedule",I71)))</formula>
    </cfRule>
    <cfRule type="containsText" dxfId="2497" priority="2585" operator="containsText" text="Off Target">
      <formula>NOT(ISERROR(SEARCH("Off Target",I71)))</formula>
    </cfRule>
    <cfRule type="containsText" dxfId="2496" priority="2586" operator="containsText" text="In Danger of Falling Behind Target">
      <formula>NOT(ISERROR(SEARCH("In Danger of Falling Behind Target",I71)))</formula>
    </cfRule>
    <cfRule type="containsText" dxfId="2495" priority="2587" operator="containsText" text="On Track to be Achieved">
      <formula>NOT(ISERROR(SEARCH("On Track to be Achieved",I71)))</formula>
    </cfRule>
    <cfRule type="containsText" dxfId="2494" priority="2588" operator="containsText" text="Fully Achieved">
      <formula>NOT(ISERROR(SEARCH("Fully Achieved",I71)))</formula>
    </cfRule>
    <cfRule type="containsText" dxfId="2493" priority="2589" operator="containsText" text="Fully Achieved">
      <formula>NOT(ISERROR(SEARCH("Fully Achieved",I71)))</formula>
    </cfRule>
    <cfRule type="containsText" dxfId="2492" priority="2590" operator="containsText" text="Fully Achieved">
      <formula>NOT(ISERROR(SEARCH("Fully Achieved",I71)))</formula>
    </cfRule>
    <cfRule type="containsText" dxfId="2491" priority="2591" operator="containsText" text="Deferred">
      <formula>NOT(ISERROR(SEARCH("Deferred",I71)))</formula>
    </cfRule>
    <cfRule type="containsText" dxfId="2490" priority="2592" operator="containsText" text="Deleted">
      <formula>NOT(ISERROR(SEARCH("Deleted",I71)))</formula>
    </cfRule>
    <cfRule type="containsText" dxfId="2489" priority="2593" operator="containsText" text="In Danger of Falling Behind Target">
      <formula>NOT(ISERROR(SEARCH("In Danger of Falling Behind Target",I71)))</formula>
    </cfRule>
    <cfRule type="containsText" dxfId="2488" priority="2594" operator="containsText" text="Not yet due">
      <formula>NOT(ISERROR(SEARCH("Not yet due",I71)))</formula>
    </cfRule>
    <cfRule type="containsText" dxfId="2487" priority="2595" operator="containsText" text="Update not Provided">
      <formula>NOT(ISERROR(SEARCH("Update not Provided",I71)))</formula>
    </cfRule>
  </conditionalFormatting>
  <conditionalFormatting sqref="I72">
    <cfRule type="containsText" dxfId="2486" priority="2524" operator="containsText" text="On track to be achieved">
      <formula>NOT(ISERROR(SEARCH("On track to be achieved",I72)))</formula>
    </cfRule>
    <cfRule type="containsText" dxfId="2485" priority="2525" operator="containsText" text="Deferred">
      <formula>NOT(ISERROR(SEARCH("Deferred",I72)))</formula>
    </cfRule>
    <cfRule type="containsText" dxfId="2484" priority="2526" operator="containsText" text="Deleted">
      <formula>NOT(ISERROR(SEARCH("Deleted",I72)))</formula>
    </cfRule>
    <cfRule type="containsText" dxfId="2483" priority="2527" operator="containsText" text="In Danger of Falling Behind Target">
      <formula>NOT(ISERROR(SEARCH("In Danger of Falling Behind Target",I72)))</formula>
    </cfRule>
    <cfRule type="containsText" dxfId="2482" priority="2528" operator="containsText" text="Not yet due">
      <formula>NOT(ISERROR(SEARCH("Not yet due",I72)))</formula>
    </cfRule>
    <cfRule type="containsText" dxfId="2481" priority="2529" operator="containsText" text="Update not Provided">
      <formula>NOT(ISERROR(SEARCH("Update not Provided",I72)))</formula>
    </cfRule>
    <cfRule type="containsText" dxfId="2480" priority="2530" operator="containsText" text="Not yet due">
      <formula>NOT(ISERROR(SEARCH("Not yet due",I72)))</formula>
    </cfRule>
    <cfRule type="containsText" dxfId="2479" priority="2531" operator="containsText" text="Completed Behind Schedule">
      <formula>NOT(ISERROR(SEARCH("Completed Behind Schedule",I72)))</formula>
    </cfRule>
    <cfRule type="containsText" dxfId="2478" priority="2532" operator="containsText" text="Off Target">
      <formula>NOT(ISERROR(SEARCH("Off Target",I72)))</formula>
    </cfRule>
    <cfRule type="containsText" dxfId="2477" priority="2533" operator="containsText" text="On Track to be Achieved">
      <formula>NOT(ISERROR(SEARCH("On Track to be Achieved",I72)))</formula>
    </cfRule>
    <cfRule type="containsText" dxfId="2476" priority="2534" operator="containsText" text="Fully Achieved">
      <formula>NOT(ISERROR(SEARCH("Fully Achieved",I72)))</formula>
    </cfRule>
    <cfRule type="containsText" dxfId="2475" priority="2535" operator="containsText" text="Not yet due">
      <formula>NOT(ISERROR(SEARCH("Not yet due",I72)))</formula>
    </cfRule>
    <cfRule type="containsText" dxfId="2474" priority="2536" operator="containsText" text="Not Yet Due">
      <formula>NOT(ISERROR(SEARCH("Not Yet Due",I72)))</formula>
    </cfRule>
    <cfRule type="containsText" dxfId="2473" priority="2537" operator="containsText" text="Deferred">
      <formula>NOT(ISERROR(SEARCH("Deferred",I72)))</formula>
    </cfRule>
    <cfRule type="containsText" dxfId="2472" priority="2538" operator="containsText" text="Deleted">
      <formula>NOT(ISERROR(SEARCH("Deleted",I72)))</formula>
    </cfRule>
    <cfRule type="containsText" dxfId="2471" priority="2539" operator="containsText" text="In Danger of Falling Behind Target">
      <formula>NOT(ISERROR(SEARCH("In Danger of Falling Behind Target",I72)))</formula>
    </cfRule>
    <cfRule type="containsText" dxfId="2470" priority="2540" operator="containsText" text="Not yet due">
      <formula>NOT(ISERROR(SEARCH("Not yet due",I72)))</formula>
    </cfRule>
    <cfRule type="containsText" dxfId="2469" priority="2541" operator="containsText" text="Completed Behind Schedule">
      <formula>NOT(ISERROR(SEARCH("Completed Behind Schedule",I72)))</formula>
    </cfRule>
    <cfRule type="containsText" dxfId="2468" priority="2542" operator="containsText" text="Off Target">
      <formula>NOT(ISERROR(SEARCH("Off Target",I72)))</formula>
    </cfRule>
    <cfRule type="containsText" dxfId="2467" priority="2543" operator="containsText" text="In Danger of Falling Behind Target">
      <formula>NOT(ISERROR(SEARCH("In Danger of Falling Behind Target",I72)))</formula>
    </cfRule>
    <cfRule type="containsText" dxfId="2466" priority="2544" operator="containsText" text="On Track to be Achieved">
      <formula>NOT(ISERROR(SEARCH("On Track to be Achieved",I72)))</formula>
    </cfRule>
    <cfRule type="containsText" dxfId="2465" priority="2545" operator="containsText" text="Fully Achieved">
      <formula>NOT(ISERROR(SEARCH("Fully Achieved",I72)))</formula>
    </cfRule>
    <cfRule type="containsText" dxfId="2464" priority="2546" operator="containsText" text="Update not Provided">
      <formula>NOT(ISERROR(SEARCH("Update not Provided",I72)))</formula>
    </cfRule>
    <cfRule type="containsText" dxfId="2463" priority="2547" operator="containsText" text="Not yet due">
      <formula>NOT(ISERROR(SEARCH("Not yet due",I72)))</formula>
    </cfRule>
    <cfRule type="containsText" dxfId="2462" priority="2548" operator="containsText" text="Completed Behind Schedule">
      <formula>NOT(ISERROR(SEARCH("Completed Behind Schedule",I72)))</formula>
    </cfRule>
    <cfRule type="containsText" dxfId="2461" priority="2549" operator="containsText" text="Off Target">
      <formula>NOT(ISERROR(SEARCH("Off Target",I72)))</formula>
    </cfRule>
    <cfRule type="containsText" dxfId="2460" priority="2550" operator="containsText" text="In Danger of Falling Behind Target">
      <formula>NOT(ISERROR(SEARCH("In Danger of Falling Behind Target",I72)))</formula>
    </cfRule>
    <cfRule type="containsText" dxfId="2459" priority="2551" operator="containsText" text="On Track to be Achieved">
      <formula>NOT(ISERROR(SEARCH("On Track to be Achieved",I72)))</formula>
    </cfRule>
    <cfRule type="containsText" dxfId="2458" priority="2552" operator="containsText" text="Fully Achieved">
      <formula>NOT(ISERROR(SEARCH("Fully Achieved",I72)))</formula>
    </cfRule>
    <cfRule type="containsText" dxfId="2457" priority="2553" operator="containsText" text="Fully Achieved">
      <formula>NOT(ISERROR(SEARCH("Fully Achieved",I72)))</formula>
    </cfRule>
    <cfRule type="containsText" dxfId="2456" priority="2554" operator="containsText" text="Fully Achieved">
      <formula>NOT(ISERROR(SEARCH("Fully Achieved",I72)))</formula>
    </cfRule>
    <cfRule type="containsText" dxfId="2455" priority="2555" operator="containsText" text="Deferred">
      <formula>NOT(ISERROR(SEARCH("Deferred",I72)))</formula>
    </cfRule>
    <cfRule type="containsText" dxfId="2454" priority="2556" operator="containsText" text="Deleted">
      <formula>NOT(ISERROR(SEARCH("Deleted",I72)))</formula>
    </cfRule>
    <cfRule type="containsText" dxfId="2453" priority="2557" operator="containsText" text="In Danger of Falling Behind Target">
      <formula>NOT(ISERROR(SEARCH("In Danger of Falling Behind Target",I72)))</formula>
    </cfRule>
    <cfRule type="containsText" dxfId="2452" priority="2558" operator="containsText" text="Not yet due">
      <formula>NOT(ISERROR(SEARCH("Not yet due",I72)))</formula>
    </cfRule>
    <cfRule type="containsText" dxfId="2451" priority="2559" operator="containsText" text="Update not Provided">
      <formula>NOT(ISERROR(SEARCH("Update not Provided",I72)))</formula>
    </cfRule>
  </conditionalFormatting>
  <conditionalFormatting sqref="I72">
    <cfRule type="containsText" dxfId="2450" priority="2488" operator="containsText" text="On track to be achieved">
      <formula>NOT(ISERROR(SEARCH("On track to be achieved",I72)))</formula>
    </cfRule>
    <cfRule type="containsText" dxfId="2449" priority="2489" operator="containsText" text="Deferred">
      <formula>NOT(ISERROR(SEARCH("Deferred",I72)))</formula>
    </cfRule>
    <cfRule type="containsText" dxfId="2448" priority="2490" operator="containsText" text="Deleted">
      <formula>NOT(ISERROR(SEARCH("Deleted",I72)))</formula>
    </cfRule>
    <cfRule type="containsText" dxfId="2447" priority="2491" operator="containsText" text="In Danger of Falling Behind Target">
      <formula>NOT(ISERROR(SEARCH("In Danger of Falling Behind Target",I72)))</formula>
    </cfRule>
    <cfRule type="containsText" dxfId="2446" priority="2492" operator="containsText" text="Not yet due">
      <formula>NOT(ISERROR(SEARCH("Not yet due",I72)))</formula>
    </cfRule>
    <cfRule type="containsText" dxfId="2445" priority="2493" operator="containsText" text="Update not Provided">
      <formula>NOT(ISERROR(SEARCH("Update not Provided",I72)))</formula>
    </cfRule>
    <cfRule type="containsText" dxfId="2444" priority="2494" operator="containsText" text="Not yet due">
      <formula>NOT(ISERROR(SEARCH("Not yet due",I72)))</formula>
    </cfRule>
    <cfRule type="containsText" dxfId="2443" priority="2495" operator="containsText" text="Completed Behind Schedule">
      <formula>NOT(ISERROR(SEARCH("Completed Behind Schedule",I72)))</formula>
    </cfRule>
    <cfRule type="containsText" dxfId="2442" priority="2496" operator="containsText" text="Off Target">
      <formula>NOT(ISERROR(SEARCH("Off Target",I72)))</formula>
    </cfRule>
    <cfRule type="containsText" dxfId="2441" priority="2497" operator="containsText" text="On Track to be Achieved">
      <formula>NOT(ISERROR(SEARCH("On Track to be Achieved",I72)))</formula>
    </cfRule>
    <cfRule type="containsText" dxfId="2440" priority="2498" operator="containsText" text="Fully Achieved">
      <formula>NOT(ISERROR(SEARCH("Fully Achieved",I72)))</formula>
    </cfRule>
    <cfRule type="containsText" dxfId="2439" priority="2499" operator="containsText" text="Not yet due">
      <formula>NOT(ISERROR(SEARCH("Not yet due",I72)))</formula>
    </cfRule>
    <cfRule type="containsText" dxfId="2438" priority="2500" operator="containsText" text="Not Yet Due">
      <formula>NOT(ISERROR(SEARCH("Not Yet Due",I72)))</formula>
    </cfRule>
    <cfRule type="containsText" dxfId="2437" priority="2501" operator="containsText" text="Deferred">
      <formula>NOT(ISERROR(SEARCH("Deferred",I72)))</formula>
    </cfRule>
    <cfRule type="containsText" dxfId="2436" priority="2502" operator="containsText" text="Deleted">
      <formula>NOT(ISERROR(SEARCH("Deleted",I72)))</formula>
    </cfRule>
    <cfRule type="containsText" dxfId="2435" priority="2503" operator="containsText" text="In Danger of Falling Behind Target">
      <formula>NOT(ISERROR(SEARCH("In Danger of Falling Behind Target",I72)))</formula>
    </cfRule>
    <cfRule type="containsText" dxfId="2434" priority="2504" operator="containsText" text="Not yet due">
      <formula>NOT(ISERROR(SEARCH("Not yet due",I72)))</formula>
    </cfRule>
    <cfRule type="containsText" dxfId="2433" priority="2505" operator="containsText" text="Completed Behind Schedule">
      <formula>NOT(ISERROR(SEARCH("Completed Behind Schedule",I72)))</formula>
    </cfRule>
    <cfRule type="containsText" dxfId="2432" priority="2506" operator="containsText" text="Off Target">
      <formula>NOT(ISERROR(SEARCH("Off Target",I72)))</formula>
    </cfRule>
    <cfRule type="containsText" dxfId="2431" priority="2507" operator="containsText" text="In Danger of Falling Behind Target">
      <formula>NOT(ISERROR(SEARCH("In Danger of Falling Behind Target",I72)))</formula>
    </cfRule>
    <cfRule type="containsText" dxfId="2430" priority="2508" operator="containsText" text="On Track to be Achieved">
      <formula>NOT(ISERROR(SEARCH("On Track to be Achieved",I72)))</formula>
    </cfRule>
    <cfRule type="containsText" dxfId="2429" priority="2509" operator="containsText" text="Fully Achieved">
      <formula>NOT(ISERROR(SEARCH("Fully Achieved",I72)))</formula>
    </cfRule>
    <cfRule type="containsText" dxfId="2428" priority="2510" operator="containsText" text="Update not Provided">
      <formula>NOT(ISERROR(SEARCH("Update not Provided",I72)))</formula>
    </cfRule>
    <cfRule type="containsText" dxfId="2427" priority="2511" operator="containsText" text="Not yet due">
      <formula>NOT(ISERROR(SEARCH("Not yet due",I72)))</formula>
    </cfRule>
    <cfRule type="containsText" dxfId="2426" priority="2512" operator="containsText" text="Completed Behind Schedule">
      <formula>NOT(ISERROR(SEARCH("Completed Behind Schedule",I72)))</formula>
    </cfRule>
    <cfRule type="containsText" dxfId="2425" priority="2513" operator="containsText" text="Off Target">
      <formula>NOT(ISERROR(SEARCH("Off Target",I72)))</formula>
    </cfRule>
    <cfRule type="containsText" dxfId="2424" priority="2514" operator="containsText" text="In Danger of Falling Behind Target">
      <formula>NOT(ISERROR(SEARCH("In Danger of Falling Behind Target",I72)))</formula>
    </cfRule>
    <cfRule type="containsText" dxfId="2423" priority="2515" operator="containsText" text="On Track to be Achieved">
      <formula>NOT(ISERROR(SEARCH("On Track to be Achieved",I72)))</formula>
    </cfRule>
    <cfRule type="containsText" dxfId="2422" priority="2516" operator="containsText" text="Fully Achieved">
      <formula>NOT(ISERROR(SEARCH("Fully Achieved",I72)))</formula>
    </cfRule>
    <cfRule type="containsText" dxfId="2421" priority="2517" operator="containsText" text="Fully Achieved">
      <formula>NOT(ISERROR(SEARCH("Fully Achieved",I72)))</formula>
    </cfRule>
    <cfRule type="containsText" dxfId="2420" priority="2518" operator="containsText" text="Fully Achieved">
      <formula>NOT(ISERROR(SEARCH("Fully Achieved",I72)))</formula>
    </cfRule>
    <cfRule type="containsText" dxfId="2419" priority="2519" operator="containsText" text="Deferred">
      <formula>NOT(ISERROR(SEARCH("Deferred",I72)))</formula>
    </cfRule>
    <cfRule type="containsText" dxfId="2418" priority="2520" operator="containsText" text="Deleted">
      <formula>NOT(ISERROR(SEARCH("Deleted",I72)))</formula>
    </cfRule>
    <cfRule type="containsText" dxfId="2417" priority="2521" operator="containsText" text="In Danger of Falling Behind Target">
      <formula>NOT(ISERROR(SEARCH("In Danger of Falling Behind Target",I72)))</formula>
    </cfRule>
    <cfRule type="containsText" dxfId="2416" priority="2522" operator="containsText" text="Not yet due">
      <formula>NOT(ISERROR(SEARCH("Not yet due",I72)))</formula>
    </cfRule>
    <cfRule type="containsText" dxfId="2415" priority="2523" operator="containsText" text="Update not Provided">
      <formula>NOT(ISERROR(SEARCH("Update not Provided",I72)))</formula>
    </cfRule>
  </conditionalFormatting>
  <conditionalFormatting sqref="I72">
    <cfRule type="containsText" dxfId="2414" priority="2452" operator="containsText" text="On track to be achieved">
      <formula>NOT(ISERROR(SEARCH("On track to be achieved",I72)))</formula>
    </cfRule>
    <cfRule type="containsText" dxfId="2413" priority="2453" operator="containsText" text="Deferred">
      <formula>NOT(ISERROR(SEARCH("Deferred",I72)))</formula>
    </cfRule>
    <cfRule type="containsText" dxfId="2412" priority="2454" operator="containsText" text="Deleted">
      <formula>NOT(ISERROR(SEARCH("Deleted",I72)))</formula>
    </cfRule>
    <cfRule type="containsText" dxfId="2411" priority="2455" operator="containsText" text="In Danger of Falling Behind Target">
      <formula>NOT(ISERROR(SEARCH("In Danger of Falling Behind Target",I72)))</formula>
    </cfRule>
    <cfRule type="containsText" dxfId="2410" priority="2456" operator="containsText" text="Not yet due">
      <formula>NOT(ISERROR(SEARCH("Not yet due",I72)))</formula>
    </cfRule>
    <cfRule type="containsText" dxfId="2409" priority="2457" operator="containsText" text="Update not Provided">
      <formula>NOT(ISERROR(SEARCH("Update not Provided",I72)))</formula>
    </cfRule>
    <cfRule type="containsText" dxfId="2408" priority="2458" operator="containsText" text="Not yet due">
      <formula>NOT(ISERROR(SEARCH("Not yet due",I72)))</formula>
    </cfRule>
    <cfRule type="containsText" dxfId="2407" priority="2459" operator="containsText" text="Completed Behind Schedule">
      <formula>NOT(ISERROR(SEARCH("Completed Behind Schedule",I72)))</formula>
    </cfRule>
    <cfRule type="containsText" dxfId="2406" priority="2460" operator="containsText" text="Off Target">
      <formula>NOT(ISERROR(SEARCH("Off Target",I72)))</formula>
    </cfRule>
    <cfRule type="containsText" dxfId="2405" priority="2461" operator="containsText" text="On Track to be Achieved">
      <formula>NOT(ISERROR(SEARCH("On Track to be Achieved",I72)))</formula>
    </cfRule>
    <cfRule type="containsText" dxfId="2404" priority="2462" operator="containsText" text="Fully Achieved">
      <formula>NOT(ISERROR(SEARCH("Fully Achieved",I72)))</formula>
    </cfRule>
    <cfRule type="containsText" dxfId="2403" priority="2463" operator="containsText" text="Not yet due">
      <formula>NOT(ISERROR(SEARCH("Not yet due",I72)))</formula>
    </cfRule>
    <cfRule type="containsText" dxfId="2402" priority="2464" operator="containsText" text="Not Yet Due">
      <formula>NOT(ISERROR(SEARCH("Not Yet Due",I72)))</formula>
    </cfRule>
    <cfRule type="containsText" dxfId="2401" priority="2465" operator="containsText" text="Deferred">
      <formula>NOT(ISERROR(SEARCH("Deferred",I72)))</formula>
    </cfRule>
    <cfRule type="containsText" dxfId="2400" priority="2466" operator="containsText" text="Deleted">
      <formula>NOT(ISERROR(SEARCH("Deleted",I72)))</formula>
    </cfRule>
    <cfRule type="containsText" dxfId="2399" priority="2467" operator="containsText" text="In Danger of Falling Behind Target">
      <formula>NOT(ISERROR(SEARCH("In Danger of Falling Behind Target",I72)))</formula>
    </cfRule>
    <cfRule type="containsText" dxfId="2398" priority="2468" operator="containsText" text="Not yet due">
      <formula>NOT(ISERROR(SEARCH("Not yet due",I72)))</formula>
    </cfRule>
    <cfRule type="containsText" dxfId="2397" priority="2469" operator="containsText" text="Completed Behind Schedule">
      <formula>NOT(ISERROR(SEARCH("Completed Behind Schedule",I72)))</formula>
    </cfRule>
    <cfRule type="containsText" dxfId="2396" priority="2470" operator="containsText" text="Off Target">
      <formula>NOT(ISERROR(SEARCH("Off Target",I72)))</formula>
    </cfRule>
    <cfRule type="containsText" dxfId="2395" priority="2471" operator="containsText" text="In Danger of Falling Behind Target">
      <formula>NOT(ISERROR(SEARCH("In Danger of Falling Behind Target",I72)))</formula>
    </cfRule>
    <cfRule type="containsText" dxfId="2394" priority="2472" operator="containsText" text="On Track to be Achieved">
      <formula>NOT(ISERROR(SEARCH("On Track to be Achieved",I72)))</formula>
    </cfRule>
    <cfRule type="containsText" dxfId="2393" priority="2473" operator="containsText" text="Fully Achieved">
      <formula>NOT(ISERROR(SEARCH("Fully Achieved",I72)))</formula>
    </cfRule>
    <cfRule type="containsText" dxfId="2392" priority="2474" operator="containsText" text="Update not Provided">
      <formula>NOT(ISERROR(SEARCH("Update not Provided",I72)))</formula>
    </cfRule>
    <cfRule type="containsText" dxfId="2391" priority="2475" operator="containsText" text="Not yet due">
      <formula>NOT(ISERROR(SEARCH("Not yet due",I72)))</formula>
    </cfRule>
    <cfRule type="containsText" dxfId="2390" priority="2476" operator="containsText" text="Completed Behind Schedule">
      <formula>NOT(ISERROR(SEARCH("Completed Behind Schedule",I72)))</formula>
    </cfRule>
    <cfRule type="containsText" dxfId="2389" priority="2477" operator="containsText" text="Off Target">
      <formula>NOT(ISERROR(SEARCH("Off Target",I72)))</formula>
    </cfRule>
    <cfRule type="containsText" dxfId="2388" priority="2478" operator="containsText" text="In Danger of Falling Behind Target">
      <formula>NOT(ISERROR(SEARCH("In Danger of Falling Behind Target",I72)))</formula>
    </cfRule>
    <cfRule type="containsText" dxfId="2387" priority="2479" operator="containsText" text="On Track to be Achieved">
      <formula>NOT(ISERROR(SEARCH("On Track to be Achieved",I72)))</formula>
    </cfRule>
    <cfRule type="containsText" dxfId="2386" priority="2480" operator="containsText" text="Fully Achieved">
      <formula>NOT(ISERROR(SEARCH("Fully Achieved",I72)))</formula>
    </cfRule>
    <cfRule type="containsText" dxfId="2385" priority="2481" operator="containsText" text="Fully Achieved">
      <formula>NOT(ISERROR(SEARCH("Fully Achieved",I72)))</formula>
    </cfRule>
    <cfRule type="containsText" dxfId="2384" priority="2482" operator="containsText" text="Fully Achieved">
      <formula>NOT(ISERROR(SEARCH("Fully Achieved",I72)))</formula>
    </cfRule>
    <cfRule type="containsText" dxfId="2383" priority="2483" operator="containsText" text="Deferred">
      <formula>NOT(ISERROR(SEARCH("Deferred",I72)))</formula>
    </cfRule>
    <cfRule type="containsText" dxfId="2382" priority="2484" operator="containsText" text="Deleted">
      <formula>NOT(ISERROR(SEARCH("Deleted",I72)))</formula>
    </cfRule>
    <cfRule type="containsText" dxfId="2381" priority="2485" operator="containsText" text="In Danger of Falling Behind Target">
      <formula>NOT(ISERROR(SEARCH("In Danger of Falling Behind Target",I72)))</formula>
    </cfRule>
    <cfRule type="containsText" dxfId="2380" priority="2486" operator="containsText" text="Not yet due">
      <formula>NOT(ISERROR(SEARCH("Not yet due",I72)))</formula>
    </cfRule>
    <cfRule type="containsText" dxfId="2379" priority="2487" operator="containsText" text="Update not Provided">
      <formula>NOT(ISERROR(SEARCH("Update not Provided",I72)))</formula>
    </cfRule>
  </conditionalFormatting>
  <conditionalFormatting sqref="I72">
    <cfRule type="containsText" dxfId="2378" priority="2416" operator="containsText" text="On track to be achieved">
      <formula>NOT(ISERROR(SEARCH("On track to be achieved",I72)))</formula>
    </cfRule>
    <cfRule type="containsText" dxfId="2377" priority="2417" operator="containsText" text="Deferred">
      <formula>NOT(ISERROR(SEARCH("Deferred",I72)))</formula>
    </cfRule>
    <cfRule type="containsText" dxfId="2376" priority="2418" operator="containsText" text="Deleted">
      <formula>NOT(ISERROR(SEARCH("Deleted",I72)))</formula>
    </cfRule>
    <cfRule type="containsText" dxfId="2375" priority="2419" operator="containsText" text="In Danger of Falling Behind Target">
      <formula>NOT(ISERROR(SEARCH("In Danger of Falling Behind Target",I72)))</formula>
    </cfRule>
    <cfRule type="containsText" dxfId="2374" priority="2420" operator="containsText" text="Not yet due">
      <formula>NOT(ISERROR(SEARCH("Not yet due",I72)))</formula>
    </cfRule>
    <cfRule type="containsText" dxfId="2373" priority="2421" operator="containsText" text="Update not Provided">
      <formula>NOT(ISERROR(SEARCH("Update not Provided",I72)))</formula>
    </cfRule>
    <cfRule type="containsText" dxfId="2372" priority="2422" operator="containsText" text="Not yet due">
      <formula>NOT(ISERROR(SEARCH("Not yet due",I72)))</formula>
    </cfRule>
    <cfRule type="containsText" dxfId="2371" priority="2423" operator="containsText" text="Completed Behind Schedule">
      <formula>NOT(ISERROR(SEARCH("Completed Behind Schedule",I72)))</formula>
    </cfRule>
    <cfRule type="containsText" dxfId="2370" priority="2424" operator="containsText" text="Off Target">
      <formula>NOT(ISERROR(SEARCH("Off Target",I72)))</formula>
    </cfRule>
    <cfRule type="containsText" dxfId="2369" priority="2425" operator="containsText" text="On Track to be Achieved">
      <formula>NOT(ISERROR(SEARCH("On Track to be Achieved",I72)))</formula>
    </cfRule>
    <cfRule type="containsText" dxfId="2368" priority="2426" operator="containsText" text="Fully Achieved">
      <formula>NOT(ISERROR(SEARCH("Fully Achieved",I72)))</formula>
    </cfRule>
    <cfRule type="containsText" dxfId="2367" priority="2427" operator="containsText" text="Not yet due">
      <formula>NOT(ISERROR(SEARCH("Not yet due",I72)))</formula>
    </cfRule>
    <cfRule type="containsText" dxfId="2366" priority="2428" operator="containsText" text="Not Yet Due">
      <formula>NOT(ISERROR(SEARCH("Not Yet Due",I72)))</formula>
    </cfRule>
    <cfRule type="containsText" dxfId="2365" priority="2429" operator="containsText" text="Deferred">
      <formula>NOT(ISERROR(SEARCH("Deferred",I72)))</formula>
    </cfRule>
    <cfRule type="containsText" dxfId="2364" priority="2430" operator="containsText" text="Deleted">
      <formula>NOT(ISERROR(SEARCH("Deleted",I72)))</formula>
    </cfRule>
    <cfRule type="containsText" dxfId="2363" priority="2431" operator="containsText" text="In Danger of Falling Behind Target">
      <formula>NOT(ISERROR(SEARCH("In Danger of Falling Behind Target",I72)))</formula>
    </cfRule>
    <cfRule type="containsText" dxfId="2362" priority="2432" operator="containsText" text="Not yet due">
      <formula>NOT(ISERROR(SEARCH("Not yet due",I72)))</formula>
    </cfRule>
    <cfRule type="containsText" dxfId="2361" priority="2433" operator="containsText" text="Completed Behind Schedule">
      <formula>NOT(ISERROR(SEARCH("Completed Behind Schedule",I72)))</formula>
    </cfRule>
    <cfRule type="containsText" dxfId="2360" priority="2434" operator="containsText" text="Off Target">
      <formula>NOT(ISERROR(SEARCH("Off Target",I72)))</formula>
    </cfRule>
    <cfRule type="containsText" dxfId="2359" priority="2435" operator="containsText" text="In Danger of Falling Behind Target">
      <formula>NOT(ISERROR(SEARCH("In Danger of Falling Behind Target",I72)))</formula>
    </cfRule>
    <cfRule type="containsText" dxfId="2358" priority="2436" operator="containsText" text="On Track to be Achieved">
      <formula>NOT(ISERROR(SEARCH("On Track to be Achieved",I72)))</formula>
    </cfRule>
    <cfRule type="containsText" dxfId="2357" priority="2437" operator="containsText" text="Fully Achieved">
      <formula>NOT(ISERROR(SEARCH("Fully Achieved",I72)))</formula>
    </cfRule>
    <cfRule type="containsText" dxfId="2356" priority="2438" operator="containsText" text="Update not Provided">
      <formula>NOT(ISERROR(SEARCH("Update not Provided",I72)))</formula>
    </cfRule>
    <cfRule type="containsText" dxfId="2355" priority="2439" operator="containsText" text="Not yet due">
      <formula>NOT(ISERROR(SEARCH("Not yet due",I72)))</formula>
    </cfRule>
    <cfRule type="containsText" dxfId="2354" priority="2440" operator="containsText" text="Completed Behind Schedule">
      <formula>NOT(ISERROR(SEARCH("Completed Behind Schedule",I72)))</formula>
    </cfRule>
    <cfRule type="containsText" dxfId="2353" priority="2441" operator="containsText" text="Off Target">
      <formula>NOT(ISERROR(SEARCH("Off Target",I72)))</formula>
    </cfRule>
    <cfRule type="containsText" dxfId="2352" priority="2442" operator="containsText" text="In Danger of Falling Behind Target">
      <formula>NOT(ISERROR(SEARCH("In Danger of Falling Behind Target",I72)))</formula>
    </cfRule>
    <cfRule type="containsText" dxfId="2351" priority="2443" operator="containsText" text="On Track to be Achieved">
      <formula>NOT(ISERROR(SEARCH("On Track to be Achieved",I72)))</formula>
    </cfRule>
    <cfRule type="containsText" dxfId="2350" priority="2444" operator="containsText" text="Fully Achieved">
      <formula>NOT(ISERROR(SEARCH("Fully Achieved",I72)))</formula>
    </cfRule>
    <cfRule type="containsText" dxfId="2349" priority="2445" operator="containsText" text="Fully Achieved">
      <formula>NOT(ISERROR(SEARCH("Fully Achieved",I72)))</formula>
    </cfRule>
    <cfRule type="containsText" dxfId="2348" priority="2446" operator="containsText" text="Fully Achieved">
      <formula>NOT(ISERROR(SEARCH("Fully Achieved",I72)))</formula>
    </cfRule>
    <cfRule type="containsText" dxfId="2347" priority="2447" operator="containsText" text="Deferred">
      <formula>NOT(ISERROR(SEARCH("Deferred",I72)))</formula>
    </cfRule>
    <cfRule type="containsText" dxfId="2346" priority="2448" operator="containsText" text="Deleted">
      <formula>NOT(ISERROR(SEARCH("Deleted",I72)))</formula>
    </cfRule>
    <cfRule type="containsText" dxfId="2345" priority="2449" operator="containsText" text="In Danger of Falling Behind Target">
      <formula>NOT(ISERROR(SEARCH("In Danger of Falling Behind Target",I72)))</formula>
    </cfRule>
    <cfRule type="containsText" dxfId="2344" priority="2450" operator="containsText" text="Not yet due">
      <formula>NOT(ISERROR(SEARCH("Not yet due",I72)))</formula>
    </cfRule>
    <cfRule type="containsText" dxfId="2343" priority="2451" operator="containsText" text="Update not Provided">
      <formula>NOT(ISERROR(SEARCH("Update not Provided",I72)))</formula>
    </cfRule>
  </conditionalFormatting>
  <conditionalFormatting sqref="I73">
    <cfRule type="containsText" dxfId="2342" priority="2380" operator="containsText" text="On track to be achieved">
      <formula>NOT(ISERROR(SEARCH("On track to be achieved",I73)))</formula>
    </cfRule>
    <cfRule type="containsText" dxfId="2341" priority="2381" operator="containsText" text="Deferred">
      <formula>NOT(ISERROR(SEARCH("Deferred",I73)))</formula>
    </cfRule>
    <cfRule type="containsText" dxfId="2340" priority="2382" operator="containsText" text="Deleted">
      <formula>NOT(ISERROR(SEARCH("Deleted",I73)))</formula>
    </cfRule>
    <cfRule type="containsText" dxfId="2339" priority="2383" operator="containsText" text="In Danger of Falling Behind Target">
      <formula>NOT(ISERROR(SEARCH("In Danger of Falling Behind Target",I73)))</formula>
    </cfRule>
    <cfRule type="containsText" dxfId="2338" priority="2384" operator="containsText" text="Not yet due">
      <formula>NOT(ISERROR(SEARCH("Not yet due",I73)))</formula>
    </cfRule>
    <cfRule type="containsText" dxfId="2337" priority="2385" operator="containsText" text="Update not Provided">
      <formula>NOT(ISERROR(SEARCH("Update not Provided",I73)))</formula>
    </cfRule>
    <cfRule type="containsText" dxfId="2336" priority="2386" operator="containsText" text="Not yet due">
      <formula>NOT(ISERROR(SEARCH("Not yet due",I73)))</formula>
    </cfRule>
    <cfRule type="containsText" dxfId="2335" priority="2387" operator="containsText" text="Completed Behind Schedule">
      <formula>NOT(ISERROR(SEARCH("Completed Behind Schedule",I73)))</formula>
    </cfRule>
    <cfRule type="containsText" dxfId="2334" priority="2388" operator="containsText" text="Off Target">
      <formula>NOT(ISERROR(SEARCH("Off Target",I73)))</formula>
    </cfRule>
    <cfRule type="containsText" dxfId="2333" priority="2389" operator="containsText" text="On Track to be Achieved">
      <formula>NOT(ISERROR(SEARCH("On Track to be Achieved",I73)))</formula>
    </cfRule>
    <cfRule type="containsText" dxfId="2332" priority="2390" operator="containsText" text="Fully Achieved">
      <formula>NOT(ISERROR(SEARCH("Fully Achieved",I73)))</formula>
    </cfRule>
    <cfRule type="containsText" dxfId="2331" priority="2391" operator="containsText" text="Not yet due">
      <formula>NOT(ISERROR(SEARCH("Not yet due",I73)))</formula>
    </cfRule>
    <cfRule type="containsText" dxfId="2330" priority="2392" operator="containsText" text="Not Yet Due">
      <formula>NOT(ISERROR(SEARCH("Not Yet Due",I73)))</formula>
    </cfRule>
    <cfRule type="containsText" dxfId="2329" priority="2393" operator="containsText" text="Deferred">
      <formula>NOT(ISERROR(SEARCH("Deferred",I73)))</formula>
    </cfRule>
    <cfRule type="containsText" dxfId="2328" priority="2394" operator="containsText" text="Deleted">
      <formula>NOT(ISERROR(SEARCH("Deleted",I73)))</formula>
    </cfRule>
    <cfRule type="containsText" dxfId="2327" priority="2395" operator="containsText" text="In Danger of Falling Behind Target">
      <formula>NOT(ISERROR(SEARCH("In Danger of Falling Behind Target",I73)))</formula>
    </cfRule>
    <cfRule type="containsText" dxfId="2326" priority="2396" operator="containsText" text="Not yet due">
      <formula>NOT(ISERROR(SEARCH("Not yet due",I73)))</formula>
    </cfRule>
    <cfRule type="containsText" dxfId="2325" priority="2397" operator="containsText" text="Completed Behind Schedule">
      <formula>NOT(ISERROR(SEARCH("Completed Behind Schedule",I73)))</formula>
    </cfRule>
    <cfRule type="containsText" dxfId="2324" priority="2398" operator="containsText" text="Off Target">
      <formula>NOT(ISERROR(SEARCH("Off Target",I73)))</formula>
    </cfRule>
    <cfRule type="containsText" dxfId="2323" priority="2399" operator="containsText" text="In Danger of Falling Behind Target">
      <formula>NOT(ISERROR(SEARCH("In Danger of Falling Behind Target",I73)))</formula>
    </cfRule>
    <cfRule type="containsText" dxfId="2322" priority="2400" operator="containsText" text="On Track to be Achieved">
      <formula>NOT(ISERROR(SEARCH("On Track to be Achieved",I73)))</formula>
    </cfRule>
    <cfRule type="containsText" dxfId="2321" priority="2401" operator="containsText" text="Fully Achieved">
      <formula>NOT(ISERROR(SEARCH("Fully Achieved",I73)))</formula>
    </cfRule>
    <cfRule type="containsText" dxfId="2320" priority="2402" operator="containsText" text="Update not Provided">
      <formula>NOT(ISERROR(SEARCH("Update not Provided",I73)))</formula>
    </cfRule>
    <cfRule type="containsText" dxfId="2319" priority="2403" operator="containsText" text="Not yet due">
      <formula>NOT(ISERROR(SEARCH("Not yet due",I73)))</formula>
    </cfRule>
    <cfRule type="containsText" dxfId="2318" priority="2404" operator="containsText" text="Completed Behind Schedule">
      <formula>NOT(ISERROR(SEARCH("Completed Behind Schedule",I73)))</formula>
    </cfRule>
    <cfRule type="containsText" dxfId="2317" priority="2405" operator="containsText" text="Off Target">
      <formula>NOT(ISERROR(SEARCH("Off Target",I73)))</formula>
    </cfRule>
    <cfRule type="containsText" dxfId="2316" priority="2406" operator="containsText" text="In Danger of Falling Behind Target">
      <formula>NOT(ISERROR(SEARCH("In Danger of Falling Behind Target",I73)))</formula>
    </cfRule>
    <cfRule type="containsText" dxfId="2315" priority="2407" operator="containsText" text="On Track to be Achieved">
      <formula>NOT(ISERROR(SEARCH("On Track to be Achieved",I73)))</formula>
    </cfRule>
    <cfRule type="containsText" dxfId="2314" priority="2408" operator="containsText" text="Fully Achieved">
      <formula>NOT(ISERROR(SEARCH("Fully Achieved",I73)))</formula>
    </cfRule>
    <cfRule type="containsText" dxfId="2313" priority="2409" operator="containsText" text="Fully Achieved">
      <formula>NOT(ISERROR(SEARCH("Fully Achieved",I73)))</formula>
    </cfRule>
    <cfRule type="containsText" dxfId="2312" priority="2410" operator="containsText" text="Fully Achieved">
      <formula>NOT(ISERROR(SEARCH("Fully Achieved",I73)))</formula>
    </cfRule>
    <cfRule type="containsText" dxfId="2311" priority="2411" operator="containsText" text="Deferred">
      <formula>NOT(ISERROR(SEARCH("Deferred",I73)))</formula>
    </cfRule>
    <cfRule type="containsText" dxfId="2310" priority="2412" operator="containsText" text="Deleted">
      <formula>NOT(ISERROR(SEARCH("Deleted",I73)))</formula>
    </cfRule>
    <cfRule type="containsText" dxfId="2309" priority="2413" operator="containsText" text="In Danger of Falling Behind Target">
      <formula>NOT(ISERROR(SEARCH("In Danger of Falling Behind Target",I73)))</formula>
    </cfRule>
    <cfRule type="containsText" dxfId="2308" priority="2414" operator="containsText" text="Not yet due">
      <formula>NOT(ISERROR(SEARCH("Not yet due",I73)))</formula>
    </cfRule>
    <cfRule type="containsText" dxfId="2307" priority="2415" operator="containsText" text="Update not Provided">
      <formula>NOT(ISERROR(SEARCH("Update not Provided",I73)))</formula>
    </cfRule>
  </conditionalFormatting>
  <conditionalFormatting sqref="I73">
    <cfRule type="containsText" dxfId="2306" priority="2344" operator="containsText" text="On track to be achieved">
      <formula>NOT(ISERROR(SEARCH("On track to be achieved",I73)))</formula>
    </cfRule>
    <cfRule type="containsText" dxfId="2305" priority="2345" operator="containsText" text="Deferred">
      <formula>NOT(ISERROR(SEARCH("Deferred",I73)))</formula>
    </cfRule>
    <cfRule type="containsText" dxfId="2304" priority="2346" operator="containsText" text="Deleted">
      <formula>NOT(ISERROR(SEARCH("Deleted",I73)))</formula>
    </cfRule>
    <cfRule type="containsText" dxfId="2303" priority="2347" operator="containsText" text="In Danger of Falling Behind Target">
      <formula>NOT(ISERROR(SEARCH("In Danger of Falling Behind Target",I73)))</formula>
    </cfRule>
    <cfRule type="containsText" dxfId="2302" priority="2348" operator="containsText" text="Not yet due">
      <formula>NOT(ISERROR(SEARCH("Not yet due",I73)))</formula>
    </cfRule>
    <cfRule type="containsText" dxfId="2301" priority="2349" operator="containsText" text="Update not Provided">
      <formula>NOT(ISERROR(SEARCH("Update not Provided",I73)))</formula>
    </cfRule>
    <cfRule type="containsText" dxfId="2300" priority="2350" operator="containsText" text="Not yet due">
      <formula>NOT(ISERROR(SEARCH("Not yet due",I73)))</formula>
    </cfRule>
    <cfRule type="containsText" dxfId="2299" priority="2351" operator="containsText" text="Completed Behind Schedule">
      <formula>NOT(ISERROR(SEARCH("Completed Behind Schedule",I73)))</formula>
    </cfRule>
    <cfRule type="containsText" dxfId="2298" priority="2352" operator="containsText" text="Off Target">
      <formula>NOT(ISERROR(SEARCH("Off Target",I73)))</formula>
    </cfRule>
    <cfRule type="containsText" dxfId="2297" priority="2353" operator="containsText" text="On Track to be Achieved">
      <formula>NOT(ISERROR(SEARCH("On Track to be Achieved",I73)))</formula>
    </cfRule>
    <cfRule type="containsText" dxfId="2296" priority="2354" operator="containsText" text="Fully Achieved">
      <formula>NOT(ISERROR(SEARCH("Fully Achieved",I73)))</formula>
    </cfRule>
    <cfRule type="containsText" dxfId="2295" priority="2355" operator="containsText" text="Not yet due">
      <formula>NOT(ISERROR(SEARCH("Not yet due",I73)))</formula>
    </cfRule>
    <cfRule type="containsText" dxfId="2294" priority="2356" operator="containsText" text="Not Yet Due">
      <formula>NOT(ISERROR(SEARCH("Not Yet Due",I73)))</formula>
    </cfRule>
    <cfRule type="containsText" dxfId="2293" priority="2357" operator="containsText" text="Deferred">
      <formula>NOT(ISERROR(SEARCH("Deferred",I73)))</formula>
    </cfRule>
    <cfRule type="containsText" dxfId="2292" priority="2358" operator="containsText" text="Deleted">
      <formula>NOT(ISERROR(SEARCH("Deleted",I73)))</formula>
    </cfRule>
    <cfRule type="containsText" dxfId="2291" priority="2359" operator="containsText" text="In Danger of Falling Behind Target">
      <formula>NOT(ISERROR(SEARCH("In Danger of Falling Behind Target",I73)))</formula>
    </cfRule>
    <cfRule type="containsText" dxfId="2290" priority="2360" operator="containsText" text="Not yet due">
      <formula>NOT(ISERROR(SEARCH("Not yet due",I73)))</formula>
    </cfRule>
    <cfRule type="containsText" dxfId="2289" priority="2361" operator="containsText" text="Completed Behind Schedule">
      <formula>NOT(ISERROR(SEARCH("Completed Behind Schedule",I73)))</formula>
    </cfRule>
    <cfRule type="containsText" dxfId="2288" priority="2362" operator="containsText" text="Off Target">
      <formula>NOT(ISERROR(SEARCH("Off Target",I73)))</formula>
    </cfRule>
    <cfRule type="containsText" dxfId="2287" priority="2363" operator="containsText" text="In Danger of Falling Behind Target">
      <formula>NOT(ISERROR(SEARCH("In Danger of Falling Behind Target",I73)))</formula>
    </cfRule>
    <cfRule type="containsText" dxfId="2286" priority="2364" operator="containsText" text="On Track to be Achieved">
      <formula>NOT(ISERROR(SEARCH("On Track to be Achieved",I73)))</formula>
    </cfRule>
    <cfRule type="containsText" dxfId="2285" priority="2365" operator="containsText" text="Fully Achieved">
      <formula>NOT(ISERROR(SEARCH("Fully Achieved",I73)))</formula>
    </cfRule>
    <cfRule type="containsText" dxfId="2284" priority="2366" operator="containsText" text="Update not Provided">
      <formula>NOT(ISERROR(SEARCH("Update not Provided",I73)))</formula>
    </cfRule>
    <cfRule type="containsText" dxfId="2283" priority="2367" operator="containsText" text="Not yet due">
      <formula>NOT(ISERROR(SEARCH("Not yet due",I73)))</formula>
    </cfRule>
    <cfRule type="containsText" dxfId="2282" priority="2368" operator="containsText" text="Completed Behind Schedule">
      <formula>NOT(ISERROR(SEARCH("Completed Behind Schedule",I73)))</formula>
    </cfRule>
    <cfRule type="containsText" dxfId="2281" priority="2369" operator="containsText" text="Off Target">
      <formula>NOT(ISERROR(SEARCH("Off Target",I73)))</formula>
    </cfRule>
    <cfRule type="containsText" dxfId="2280" priority="2370" operator="containsText" text="In Danger of Falling Behind Target">
      <formula>NOT(ISERROR(SEARCH("In Danger of Falling Behind Target",I73)))</formula>
    </cfRule>
    <cfRule type="containsText" dxfId="2279" priority="2371" operator="containsText" text="On Track to be Achieved">
      <formula>NOT(ISERROR(SEARCH("On Track to be Achieved",I73)))</formula>
    </cfRule>
    <cfRule type="containsText" dxfId="2278" priority="2372" operator="containsText" text="Fully Achieved">
      <formula>NOT(ISERROR(SEARCH("Fully Achieved",I73)))</formula>
    </cfRule>
    <cfRule type="containsText" dxfId="2277" priority="2373" operator="containsText" text="Fully Achieved">
      <formula>NOT(ISERROR(SEARCH("Fully Achieved",I73)))</formula>
    </cfRule>
    <cfRule type="containsText" dxfId="2276" priority="2374" operator="containsText" text="Fully Achieved">
      <formula>NOT(ISERROR(SEARCH("Fully Achieved",I73)))</formula>
    </cfRule>
    <cfRule type="containsText" dxfId="2275" priority="2375" operator="containsText" text="Deferred">
      <formula>NOT(ISERROR(SEARCH("Deferred",I73)))</formula>
    </cfRule>
    <cfRule type="containsText" dxfId="2274" priority="2376" operator="containsText" text="Deleted">
      <formula>NOT(ISERROR(SEARCH("Deleted",I73)))</formula>
    </cfRule>
    <cfRule type="containsText" dxfId="2273" priority="2377" operator="containsText" text="In Danger of Falling Behind Target">
      <formula>NOT(ISERROR(SEARCH("In Danger of Falling Behind Target",I73)))</formula>
    </cfRule>
    <cfRule type="containsText" dxfId="2272" priority="2378" operator="containsText" text="Not yet due">
      <formula>NOT(ISERROR(SEARCH("Not yet due",I73)))</formula>
    </cfRule>
    <cfRule type="containsText" dxfId="2271" priority="2379" operator="containsText" text="Update not Provided">
      <formula>NOT(ISERROR(SEARCH("Update not Provided",I73)))</formula>
    </cfRule>
  </conditionalFormatting>
  <conditionalFormatting sqref="I73">
    <cfRule type="containsText" dxfId="2270" priority="2308" operator="containsText" text="On track to be achieved">
      <formula>NOT(ISERROR(SEARCH("On track to be achieved",I73)))</formula>
    </cfRule>
    <cfRule type="containsText" dxfId="2269" priority="2309" operator="containsText" text="Deferred">
      <formula>NOT(ISERROR(SEARCH("Deferred",I73)))</formula>
    </cfRule>
    <cfRule type="containsText" dxfId="2268" priority="2310" operator="containsText" text="Deleted">
      <formula>NOT(ISERROR(SEARCH("Deleted",I73)))</formula>
    </cfRule>
    <cfRule type="containsText" dxfId="2267" priority="2311" operator="containsText" text="In Danger of Falling Behind Target">
      <formula>NOT(ISERROR(SEARCH("In Danger of Falling Behind Target",I73)))</formula>
    </cfRule>
    <cfRule type="containsText" dxfId="2266" priority="2312" operator="containsText" text="Not yet due">
      <formula>NOT(ISERROR(SEARCH("Not yet due",I73)))</formula>
    </cfRule>
    <cfRule type="containsText" dxfId="2265" priority="2313" operator="containsText" text="Update not Provided">
      <formula>NOT(ISERROR(SEARCH("Update not Provided",I73)))</formula>
    </cfRule>
    <cfRule type="containsText" dxfId="2264" priority="2314" operator="containsText" text="Not yet due">
      <formula>NOT(ISERROR(SEARCH("Not yet due",I73)))</formula>
    </cfRule>
    <cfRule type="containsText" dxfId="2263" priority="2315" operator="containsText" text="Completed Behind Schedule">
      <formula>NOT(ISERROR(SEARCH("Completed Behind Schedule",I73)))</formula>
    </cfRule>
    <cfRule type="containsText" dxfId="2262" priority="2316" operator="containsText" text="Off Target">
      <formula>NOT(ISERROR(SEARCH("Off Target",I73)))</formula>
    </cfRule>
    <cfRule type="containsText" dxfId="2261" priority="2317" operator="containsText" text="On Track to be Achieved">
      <formula>NOT(ISERROR(SEARCH("On Track to be Achieved",I73)))</formula>
    </cfRule>
    <cfRule type="containsText" dxfId="2260" priority="2318" operator="containsText" text="Fully Achieved">
      <formula>NOT(ISERROR(SEARCH("Fully Achieved",I73)))</formula>
    </cfRule>
    <cfRule type="containsText" dxfId="2259" priority="2319" operator="containsText" text="Not yet due">
      <formula>NOT(ISERROR(SEARCH("Not yet due",I73)))</formula>
    </cfRule>
    <cfRule type="containsText" dxfId="2258" priority="2320" operator="containsText" text="Not Yet Due">
      <formula>NOT(ISERROR(SEARCH("Not Yet Due",I73)))</formula>
    </cfRule>
    <cfRule type="containsText" dxfId="2257" priority="2321" operator="containsText" text="Deferred">
      <formula>NOT(ISERROR(SEARCH("Deferred",I73)))</formula>
    </cfRule>
    <cfRule type="containsText" dxfId="2256" priority="2322" operator="containsText" text="Deleted">
      <formula>NOT(ISERROR(SEARCH("Deleted",I73)))</formula>
    </cfRule>
    <cfRule type="containsText" dxfId="2255" priority="2323" operator="containsText" text="In Danger of Falling Behind Target">
      <formula>NOT(ISERROR(SEARCH("In Danger of Falling Behind Target",I73)))</formula>
    </cfRule>
    <cfRule type="containsText" dxfId="2254" priority="2324" operator="containsText" text="Not yet due">
      <formula>NOT(ISERROR(SEARCH("Not yet due",I73)))</formula>
    </cfRule>
    <cfRule type="containsText" dxfId="2253" priority="2325" operator="containsText" text="Completed Behind Schedule">
      <formula>NOT(ISERROR(SEARCH("Completed Behind Schedule",I73)))</formula>
    </cfRule>
    <cfRule type="containsText" dxfId="2252" priority="2326" operator="containsText" text="Off Target">
      <formula>NOT(ISERROR(SEARCH("Off Target",I73)))</formula>
    </cfRule>
    <cfRule type="containsText" dxfId="2251" priority="2327" operator="containsText" text="In Danger of Falling Behind Target">
      <formula>NOT(ISERROR(SEARCH("In Danger of Falling Behind Target",I73)))</formula>
    </cfRule>
    <cfRule type="containsText" dxfId="2250" priority="2328" operator="containsText" text="On Track to be Achieved">
      <formula>NOT(ISERROR(SEARCH("On Track to be Achieved",I73)))</formula>
    </cfRule>
    <cfRule type="containsText" dxfId="2249" priority="2329" operator="containsText" text="Fully Achieved">
      <formula>NOT(ISERROR(SEARCH("Fully Achieved",I73)))</formula>
    </cfRule>
    <cfRule type="containsText" dxfId="2248" priority="2330" operator="containsText" text="Update not Provided">
      <formula>NOT(ISERROR(SEARCH("Update not Provided",I73)))</formula>
    </cfRule>
    <cfRule type="containsText" dxfId="2247" priority="2331" operator="containsText" text="Not yet due">
      <formula>NOT(ISERROR(SEARCH("Not yet due",I73)))</formula>
    </cfRule>
    <cfRule type="containsText" dxfId="2246" priority="2332" operator="containsText" text="Completed Behind Schedule">
      <formula>NOT(ISERROR(SEARCH("Completed Behind Schedule",I73)))</formula>
    </cfRule>
    <cfRule type="containsText" dxfId="2245" priority="2333" operator="containsText" text="Off Target">
      <formula>NOT(ISERROR(SEARCH("Off Target",I73)))</formula>
    </cfRule>
    <cfRule type="containsText" dxfId="2244" priority="2334" operator="containsText" text="In Danger of Falling Behind Target">
      <formula>NOT(ISERROR(SEARCH("In Danger of Falling Behind Target",I73)))</formula>
    </cfRule>
    <cfRule type="containsText" dxfId="2243" priority="2335" operator="containsText" text="On Track to be Achieved">
      <formula>NOT(ISERROR(SEARCH("On Track to be Achieved",I73)))</formula>
    </cfRule>
    <cfRule type="containsText" dxfId="2242" priority="2336" operator="containsText" text="Fully Achieved">
      <formula>NOT(ISERROR(SEARCH("Fully Achieved",I73)))</formula>
    </cfRule>
    <cfRule type="containsText" dxfId="2241" priority="2337" operator="containsText" text="Fully Achieved">
      <formula>NOT(ISERROR(SEARCH("Fully Achieved",I73)))</formula>
    </cfRule>
    <cfRule type="containsText" dxfId="2240" priority="2338" operator="containsText" text="Fully Achieved">
      <formula>NOT(ISERROR(SEARCH("Fully Achieved",I73)))</formula>
    </cfRule>
    <cfRule type="containsText" dxfId="2239" priority="2339" operator="containsText" text="Deferred">
      <formula>NOT(ISERROR(SEARCH("Deferred",I73)))</formula>
    </cfRule>
    <cfRule type="containsText" dxfId="2238" priority="2340" operator="containsText" text="Deleted">
      <formula>NOT(ISERROR(SEARCH("Deleted",I73)))</formula>
    </cfRule>
    <cfRule type="containsText" dxfId="2237" priority="2341" operator="containsText" text="In Danger of Falling Behind Target">
      <formula>NOT(ISERROR(SEARCH("In Danger of Falling Behind Target",I73)))</formula>
    </cfRule>
    <cfRule type="containsText" dxfId="2236" priority="2342" operator="containsText" text="Not yet due">
      <formula>NOT(ISERROR(SEARCH("Not yet due",I73)))</formula>
    </cfRule>
    <cfRule type="containsText" dxfId="2235" priority="2343" operator="containsText" text="Update not Provided">
      <formula>NOT(ISERROR(SEARCH("Update not Provided",I73)))</formula>
    </cfRule>
  </conditionalFormatting>
  <conditionalFormatting sqref="I73">
    <cfRule type="containsText" dxfId="2234" priority="2272" operator="containsText" text="On track to be achieved">
      <formula>NOT(ISERROR(SEARCH("On track to be achieved",I73)))</formula>
    </cfRule>
    <cfRule type="containsText" dxfId="2233" priority="2273" operator="containsText" text="Deferred">
      <formula>NOT(ISERROR(SEARCH("Deferred",I73)))</formula>
    </cfRule>
    <cfRule type="containsText" dxfId="2232" priority="2274" operator="containsText" text="Deleted">
      <formula>NOT(ISERROR(SEARCH("Deleted",I73)))</formula>
    </cfRule>
    <cfRule type="containsText" dxfId="2231" priority="2275" operator="containsText" text="In Danger of Falling Behind Target">
      <formula>NOT(ISERROR(SEARCH("In Danger of Falling Behind Target",I73)))</formula>
    </cfRule>
    <cfRule type="containsText" dxfId="2230" priority="2276" operator="containsText" text="Not yet due">
      <formula>NOT(ISERROR(SEARCH("Not yet due",I73)))</formula>
    </cfRule>
    <cfRule type="containsText" dxfId="2229" priority="2277" operator="containsText" text="Update not Provided">
      <formula>NOT(ISERROR(SEARCH("Update not Provided",I73)))</formula>
    </cfRule>
    <cfRule type="containsText" dxfId="2228" priority="2278" operator="containsText" text="Not yet due">
      <formula>NOT(ISERROR(SEARCH("Not yet due",I73)))</formula>
    </cfRule>
    <cfRule type="containsText" dxfId="2227" priority="2279" operator="containsText" text="Completed Behind Schedule">
      <formula>NOT(ISERROR(SEARCH("Completed Behind Schedule",I73)))</formula>
    </cfRule>
    <cfRule type="containsText" dxfId="2226" priority="2280" operator="containsText" text="Off Target">
      <formula>NOT(ISERROR(SEARCH("Off Target",I73)))</formula>
    </cfRule>
    <cfRule type="containsText" dxfId="2225" priority="2281" operator="containsText" text="On Track to be Achieved">
      <formula>NOT(ISERROR(SEARCH("On Track to be Achieved",I73)))</formula>
    </cfRule>
    <cfRule type="containsText" dxfId="2224" priority="2282" operator="containsText" text="Fully Achieved">
      <formula>NOT(ISERROR(SEARCH("Fully Achieved",I73)))</formula>
    </cfRule>
    <cfRule type="containsText" dxfId="2223" priority="2283" operator="containsText" text="Not yet due">
      <formula>NOT(ISERROR(SEARCH("Not yet due",I73)))</formula>
    </cfRule>
    <cfRule type="containsText" dxfId="2222" priority="2284" operator="containsText" text="Not Yet Due">
      <formula>NOT(ISERROR(SEARCH("Not Yet Due",I73)))</formula>
    </cfRule>
    <cfRule type="containsText" dxfId="2221" priority="2285" operator="containsText" text="Deferred">
      <formula>NOT(ISERROR(SEARCH("Deferred",I73)))</formula>
    </cfRule>
    <cfRule type="containsText" dxfId="2220" priority="2286" operator="containsText" text="Deleted">
      <formula>NOT(ISERROR(SEARCH("Deleted",I73)))</formula>
    </cfRule>
    <cfRule type="containsText" dxfId="2219" priority="2287" operator="containsText" text="In Danger of Falling Behind Target">
      <formula>NOT(ISERROR(SEARCH("In Danger of Falling Behind Target",I73)))</formula>
    </cfRule>
    <cfRule type="containsText" dxfId="2218" priority="2288" operator="containsText" text="Not yet due">
      <formula>NOT(ISERROR(SEARCH("Not yet due",I73)))</formula>
    </cfRule>
    <cfRule type="containsText" dxfId="2217" priority="2289" operator="containsText" text="Completed Behind Schedule">
      <formula>NOT(ISERROR(SEARCH("Completed Behind Schedule",I73)))</formula>
    </cfRule>
    <cfRule type="containsText" dxfId="2216" priority="2290" operator="containsText" text="Off Target">
      <formula>NOT(ISERROR(SEARCH("Off Target",I73)))</formula>
    </cfRule>
    <cfRule type="containsText" dxfId="2215" priority="2291" operator="containsText" text="In Danger of Falling Behind Target">
      <formula>NOT(ISERROR(SEARCH("In Danger of Falling Behind Target",I73)))</formula>
    </cfRule>
    <cfRule type="containsText" dxfId="2214" priority="2292" operator="containsText" text="On Track to be Achieved">
      <formula>NOT(ISERROR(SEARCH("On Track to be Achieved",I73)))</formula>
    </cfRule>
    <cfRule type="containsText" dxfId="2213" priority="2293" operator="containsText" text="Fully Achieved">
      <formula>NOT(ISERROR(SEARCH("Fully Achieved",I73)))</formula>
    </cfRule>
    <cfRule type="containsText" dxfId="2212" priority="2294" operator="containsText" text="Update not Provided">
      <formula>NOT(ISERROR(SEARCH("Update not Provided",I73)))</formula>
    </cfRule>
    <cfRule type="containsText" dxfId="2211" priority="2295" operator="containsText" text="Not yet due">
      <formula>NOT(ISERROR(SEARCH("Not yet due",I73)))</formula>
    </cfRule>
    <cfRule type="containsText" dxfId="2210" priority="2296" operator="containsText" text="Completed Behind Schedule">
      <formula>NOT(ISERROR(SEARCH("Completed Behind Schedule",I73)))</formula>
    </cfRule>
    <cfRule type="containsText" dxfId="2209" priority="2297" operator="containsText" text="Off Target">
      <formula>NOT(ISERROR(SEARCH("Off Target",I73)))</formula>
    </cfRule>
    <cfRule type="containsText" dxfId="2208" priority="2298" operator="containsText" text="In Danger of Falling Behind Target">
      <formula>NOT(ISERROR(SEARCH("In Danger of Falling Behind Target",I73)))</formula>
    </cfRule>
    <cfRule type="containsText" dxfId="2207" priority="2299" operator="containsText" text="On Track to be Achieved">
      <formula>NOT(ISERROR(SEARCH("On Track to be Achieved",I73)))</formula>
    </cfRule>
    <cfRule type="containsText" dxfId="2206" priority="2300" operator="containsText" text="Fully Achieved">
      <formula>NOT(ISERROR(SEARCH("Fully Achieved",I73)))</formula>
    </cfRule>
    <cfRule type="containsText" dxfId="2205" priority="2301" operator="containsText" text="Fully Achieved">
      <formula>NOT(ISERROR(SEARCH("Fully Achieved",I73)))</formula>
    </cfRule>
    <cfRule type="containsText" dxfId="2204" priority="2302" operator="containsText" text="Fully Achieved">
      <formula>NOT(ISERROR(SEARCH("Fully Achieved",I73)))</formula>
    </cfRule>
    <cfRule type="containsText" dxfId="2203" priority="2303" operator="containsText" text="Deferred">
      <formula>NOT(ISERROR(SEARCH("Deferred",I73)))</formula>
    </cfRule>
    <cfRule type="containsText" dxfId="2202" priority="2304" operator="containsText" text="Deleted">
      <formula>NOT(ISERROR(SEARCH("Deleted",I73)))</formula>
    </cfRule>
    <cfRule type="containsText" dxfId="2201" priority="2305" operator="containsText" text="In Danger of Falling Behind Target">
      <formula>NOT(ISERROR(SEARCH("In Danger of Falling Behind Target",I73)))</formula>
    </cfRule>
    <cfRule type="containsText" dxfId="2200" priority="2306" operator="containsText" text="Not yet due">
      <formula>NOT(ISERROR(SEARCH("Not yet due",I73)))</formula>
    </cfRule>
    <cfRule type="containsText" dxfId="2199" priority="2307" operator="containsText" text="Update not Provided">
      <formula>NOT(ISERROR(SEARCH("Update not Provided",I73)))</formula>
    </cfRule>
  </conditionalFormatting>
  <conditionalFormatting sqref="I74:I76 I78:I80">
    <cfRule type="containsText" dxfId="2198" priority="2236" operator="containsText" text="On track to be achieved">
      <formula>NOT(ISERROR(SEARCH("On track to be achieved",I74)))</formula>
    </cfRule>
    <cfRule type="containsText" dxfId="2197" priority="2237" operator="containsText" text="Deferred">
      <formula>NOT(ISERROR(SEARCH("Deferred",I74)))</formula>
    </cfRule>
    <cfRule type="containsText" dxfId="2196" priority="2238" operator="containsText" text="Deleted">
      <formula>NOT(ISERROR(SEARCH("Deleted",I74)))</formula>
    </cfRule>
    <cfRule type="containsText" dxfId="2195" priority="2239" operator="containsText" text="In Danger of Falling Behind Target">
      <formula>NOT(ISERROR(SEARCH("In Danger of Falling Behind Target",I74)))</formula>
    </cfRule>
    <cfRule type="containsText" dxfId="2194" priority="2240" operator="containsText" text="Not yet due">
      <formula>NOT(ISERROR(SEARCH("Not yet due",I74)))</formula>
    </cfRule>
    <cfRule type="containsText" dxfId="2193" priority="2241" operator="containsText" text="Update not Provided">
      <formula>NOT(ISERROR(SEARCH("Update not Provided",I74)))</formula>
    </cfRule>
    <cfRule type="containsText" dxfId="2192" priority="2242" operator="containsText" text="Not yet due">
      <formula>NOT(ISERROR(SEARCH("Not yet due",I74)))</formula>
    </cfRule>
    <cfRule type="containsText" dxfId="2191" priority="2243" operator="containsText" text="Completed Behind Schedule">
      <formula>NOT(ISERROR(SEARCH("Completed Behind Schedule",I74)))</formula>
    </cfRule>
    <cfRule type="containsText" dxfId="2190" priority="2244" operator="containsText" text="Off Target">
      <formula>NOT(ISERROR(SEARCH("Off Target",I74)))</formula>
    </cfRule>
    <cfRule type="containsText" dxfId="2189" priority="2245" operator="containsText" text="On Track to be Achieved">
      <formula>NOT(ISERROR(SEARCH("On Track to be Achieved",I74)))</formula>
    </cfRule>
    <cfRule type="containsText" dxfId="2188" priority="2246" operator="containsText" text="Fully Achieved">
      <formula>NOT(ISERROR(SEARCH("Fully Achieved",I74)))</formula>
    </cfRule>
    <cfRule type="containsText" dxfId="2187" priority="2247" operator="containsText" text="Not yet due">
      <formula>NOT(ISERROR(SEARCH("Not yet due",I74)))</formula>
    </cfRule>
    <cfRule type="containsText" dxfId="2186" priority="2248" operator="containsText" text="Not Yet Due">
      <formula>NOT(ISERROR(SEARCH("Not Yet Due",I74)))</formula>
    </cfRule>
    <cfRule type="containsText" dxfId="2185" priority="2249" operator="containsText" text="Deferred">
      <formula>NOT(ISERROR(SEARCH("Deferred",I74)))</formula>
    </cfRule>
    <cfRule type="containsText" dxfId="2184" priority="2250" operator="containsText" text="Deleted">
      <formula>NOT(ISERROR(SEARCH("Deleted",I74)))</formula>
    </cfRule>
    <cfRule type="containsText" dxfId="2183" priority="2251" operator="containsText" text="In Danger of Falling Behind Target">
      <formula>NOT(ISERROR(SEARCH("In Danger of Falling Behind Target",I74)))</formula>
    </cfRule>
    <cfRule type="containsText" dxfId="2182" priority="2252" operator="containsText" text="Not yet due">
      <formula>NOT(ISERROR(SEARCH("Not yet due",I74)))</formula>
    </cfRule>
    <cfRule type="containsText" dxfId="2181" priority="2253" operator="containsText" text="Completed Behind Schedule">
      <formula>NOT(ISERROR(SEARCH("Completed Behind Schedule",I74)))</formula>
    </cfRule>
    <cfRule type="containsText" dxfId="2180" priority="2254" operator="containsText" text="Off Target">
      <formula>NOT(ISERROR(SEARCH("Off Target",I74)))</formula>
    </cfRule>
    <cfRule type="containsText" dxfId="2179" priority="2255" operator="containsText" text="In Danger of Falling Behind Target">
      <formula>NOT(ISERROR(SEARCH("In Danger of Falling Behind Target",I74)))</formula>
    </cfRule>
    <cfRule type="containsText" dxfId="2178" priority="2256" operator="containsText" text="On Track to be Achieved">
      <formula>NOT(ISERROR(SEARCH("On Track to be Achieved",I74)))</formula>
    </cfRule>
    <cfRule type="containsText" dxfId="2177" priority="2257" operator="containsText" text="Fully Achieved">
      <formula>NOT(ISERROR(SEARCH("Fully Achieved",I74)))</formula>
    </cfRule>
    <cfRule type="containsText" dxfId="2176" priority="2258" operator="containsText" text="Update not Provided">
      <formula>NOT(ISERROR(SEARCH("Update not Provided",I74)))</formula>
    </cfRule>
    <cfRule type="containsText" dxfId="2175" priority="2259" operator="containsText" text="Not yet due">
      <formula>NOT(ISERROR(SEARCH("Not yet due",I74)))</formula>
    </cfRule>
    <cfRule type="containsText" dxfId="2174" priority="2260" operator="containsText" text="Completed Behind Schedule">
      <formula>NOT(ISERROR(SEARCH("Completed Behind Schedule",I74)))</formula>
    </cfRule>
    <cfRule type="containsText" dxfId="2173" priority="2261" operator="containsText" text="Off Target">
      <formula>NOT(ISERROR(SEARCH("Off Target",I74)))</formula>
    </cfRule>
    <cfRule type="containsText" dxfId="2172" priority="2262" operator="containsText" text="In Danger of Falling Behind Target">
      <formula>NOT(ISERROR(SEARCH("In Danger of Falling Behind Target",I74)))</formula>
    </cfRule>
    <cfRule type="containsText" dxfId="2171" priority="2263" operator="containsText" text="On Track to be Achieved">
      <formula>NOT(ISERROR(SEARCH("On Track to be Achieved",I74)))</formula>
    </cfRule>
    <cfRule type="containsText" dxfId="2170" priority="2264" operator="containsText" text="Fully Achieved">
      <formula>NOT(ISERROR(SEARCH("Fully Achieved",I74)))</formula>
    </cfRule>
    <cfRule type="containsText" dxfId="2169" priority="2265" operator="containsText" text="Fully Achieved">
      <formula>NOT(ISERROR(SEARCH("Fully Achieved",I74)))</formula>
    </cfRule>
    <cfRule type="containsText" dxfId="2168" priority="2266" operator="containsText" text="Fully Achieved">
      <formula>NOT(ISERROR(SEARCH("Fully Achieved",I74)))</formula>
    </cfRule>
    <cfRule type="containsText" dxfId="2167" priority="2267" operator="containsText" text="Deferred">
      <formula>NOT(ISERROR(SEARCH("Deferred",I74)))</formula>
    </cfRule>
    <cfRule type="containsText" dxfId="2166" priority="2268" operator="containsText" text="Deleted">
      <formula>NOT(ISERROR(SEARCH("Deleted",I74)))</formula>
    </cfRule>
    <cfRule type="containsText" dxfId="2165" priority="2269" operator="containsText" text="In Danger of Falling Behind Target">
      <formula>NOT(ISERROR(SEARCH("In Danger of Falling Behind Target",I74)))</formula>
    </cfRule>
    <cfRule type="containsText" dxfId="2164" priority="2270" operator="containsText" text="Not yet due">
      <formula>NOT(ISERROR(SEARCH("Not yet due",I74)))</formula>
    </cfRule>
    <cfRule type="containsText" dxfId="2163" priority="2271" operator="containsText" text="Update not Provided">
      <formula>NOT(ISERROR(SEARCH("Update not Provided",I74)))</formula>
    </cfRule>
  </conditionalFormatting>
  <conditionalFormatting sqref="I82:I84">
    <cfRule type="containsText" dxfId="2162" priority="2200" operator="containsText" text="On track to be achieved">
      <formula>NOT(ISERROR(SEARCH("On track to be achieved",I82)))</formula>
    </cfRule>
    <cfRule type="containsText" dxfId="2161" priority="2201" operator="containsText" text="Deferred">
      <formula>NOT(ISERROR(SEARCH("Deferred",I82)))</formula>
    </cfRule>
    <cfRule type="containsText" dxfId="2160" priority="2202" operator="containsText" text="Deleted">
      <formula>NOT(ISERROR(SEARCH("Deleted",I82)))</formula>
    </cfRule>
    <cfRule type="containsText" dxfId="2159" priority="2203" operator="containsText" text="In Danger of Falling Behind Target">
      <formula>NOT(ISERROR(SEARCH("In Danger of Falling Behind Target",I82)))</formula>
    </cfRule>
    <cfRule type="containsText" dxfId="2158" priority="2204" operator="containsText" text="Not yet due">
      <formula>NOT(ISERROR(SEARCH("Not yet due",I82)))</formula>
    </cfRule>
    <cfRule type="containsText" dxfId="2157" priority="2205" operator="containsText" text="Update not Provided">
      <formula>NOT(ISERROR(SEARCH("Update not Provided",I82)))</formula>
    </cfRule>
    <cfRule type="containsText" dxfId="2156" priority="2206" operator="containsText" text="Not yet due">
      <formula>NOT(ISERROR(SEARCH("Not yet due",I82)))</formula>
    </cfRule>
    <cfRule type="containsText" dxfId="2155" priority="2207" operator="containsText" text="Completed Behind Schedule">
      <formula>NOT(ISERROR(SEARCH("Completed Behind Schedule",I82)))</formula>
    </cfRule>
    <cfRule type="containsText" dxfId="2154" priority="2208" operator="containsText" text="Off Target">
      <formula>NOT(ISERROR(SEARCH("Off Target",I82)))</formula>
    </cfRule>
    <cfRule type="containsText" dxfId="2153" priority="2209" operator="containsText" text="On Track to be Achieved">
      <formula>NOT(ISERROR(SEARCH("On Track to be Achieved",I82)))</formula>
    </cfRule>
    <cfRule type="containsText" dxfId="2152" priority="2210" operator="containsText" text="Fully Achieved">
      <formula>NOT(ISERROR(SEARCH("Fully Achieved",I82)))</formula>
    </cfRule>
    <cfRule type="containsText" dxfId="2151" priority="2211" operator="containsText" text="Not yet due">
      <formula>NOT(ISERROR(SEARCH("Not yet due",I82)))</formula>
    </cfRule>
    <cfRule type="containsText" dxfId="2150" priority="2212" operator="containsText" text="Not Yet Due">
      <formula>NOT(ISERROR(SEARCH("Not Yet Due",I82)))</formula>
    </cfRule>
    <cfRule type="containsText" dxfId="2149" priority="2213" operator="containsText" text="Deferred">
      <formula>NOT(ISERROR(SEARCH("Deferred",I82)))</formula>
    </cfRule>
    <cfRule type="containsText" dxfId="2148" priority="2214" operator="containsText" text="Deleted">
      <formula>NOT(ISERROR(SEARCH("Deleted",I82)))</formula>
    </cfRule>
    <cfRule type="containsText" dxfId="2147" priority="2215" operator="containsText" text="In Danger of Falling Behind Target">
      <formula>NOT(ISERROR(SEARCH("In Danger of Falling Behind Target",I82)))</formula>
    </cfRule>
    <cfRule type="containsText" dxfId="2146" priority="2216" operator="containsText" text="Not yet due">
      <formula>NOT(ISERROR(SEARCH("Not yet due",I82)))</formula>
    </cfRule>
    <cfRule type="containsText" dxfId="2145" priority="2217" operator="containsText" text="Completed Behind Schedule">
      <formula>NOT(ISERROR(SEARCH("Completed Behind Schedule",I82)))</formula>
    </cfRule>
    <cfRule type="containsText" dxfId="2144" priority="2218" operator="containsText" text="Off Target">
      <formula>NOT(ISERROR(SEARCH("Off Target",I82)))</formula>
    </cfRule>
    <cfRule type="containsText" dxfId="2143" priority="2219" operator="containsText" text="In Danger of Falling Behind Target">
      <formula>NOT(ISERROR(SEARCH("In Danger of Falling Behind Target",I82)))</formula>
    </cfRule>
    <cfRule type="containsText" dxfId="2142" priority="2220" operator="containsText" text="On Track to be Achieved">
      <formula>NOT(ISERROR(SEARCH("On Track to be Achieved",I82)))</formula>
    </cfRule>
    <cfRule type="containsText" dxfId="2141" priority="2221" operator="containsText" text="Fully Achieved">
      <formula>NOT(ISERROR(SEARCH("Fully Achieved",I82)))</formula>
    </cfRule>
    <cfRule type="containsText" dxfId="2140" priority="2222" operator="containsText" text="Update not Provided">
      <formula>NOT(ISERROR(SEARCH("Update not Provided",I82)))</formula>
    </cfRule>
    <cfRule type="containsText" dxfId="2139" priority="2223" operator="containsText" text="Not yet due">
      <formula>NOT(ISERROR(SEARCH("Not yet due",I82)))</formula>
    </cfRule>
    <cfRule type="containsText" dxfId="2138" priority="2224" operator="containsText" text="Completed Behind Schedule">
      <formula>NOT(ISERROR(SEARCH("Completed Behind Schedule",I82)))</formula>
    </cfRule>
    <cfRule type="containsText" dxfId="2137" priority="2225" operator="containsText" text="Off Target">
      <formula>NOT(ISERROR(SEARCH("Off Target",I82)))</formula>
    </cfRule>
    <cfRule type="containsText" dxfId="2136" priority="2226" operator="containsText" text="In Danger of Falling Behind Target">
      <formula>NOT(ISERROR(SEARCH("In Danger of Falling Behind Target",I82)))</formula>
    </cfRule>
    <cfRule type="containsText" dxfId="2135" priority="2227" operator="containsText" text="On Track to be Achieved">
      <formula>NOT(ISERROR(SEARCH("On Track to be Achieved",I82)))</formula>
    </cfRule>
    <cfRule type="containsText" dxfId="2134" priority="2228" operator="containsText" text="Fully Achieved">
      <formula>NOT(ISERROR(SEARCH("Fully Achieved",I82)))</formula>
    </cfRule>
    <cfRule type="containsText" dxfId="2133" priority="2229" operator="containsText" text="Fully Achieved">
      <formula>NOT(ISERROR(SEARCH("Fully Achieved",I82)))</formula>
    </cfRule>
    <cfRule type="containsText" dxfId="2132" priority="2230" operator="containsText" text="Fully Achieved">
      <formula>NOT(ISERROR(SEARCH("Fully Achieved",I82)))</formula>
    </cfRule>
    <cfRule type="containsText" dxfId="2131" priority="2231" operator="containsText" text="Deferred">
      <formula>NOT(ISERROR(SEARCH("Deferred",I82)))</formula>
    </cfRule>
    <cfRule type="containsText" dxfId="2130" priority="2232" operator="containsText" text="Deleted">
      <formula>NOT(ISERROR(SEARCH("Deleted",I82)))</formula>
    </cfRule>
    <cfRule type="containsText" dxfId="2129" priority="2233" operator="containsText" text="In Danger of Falling Behind Target">
      <formula>NOT(ISERROR(SEARCH("In Danger of Falling Behind Target",I82)))</formula>
    </cfRule>
    <cfRule type="containsText" dxfId="2128" priority="2234" operator="containsText" text="Not yet due">
      <formula>NOT(ISERROR(SEARCH("Not yet due",I82)))</formula>
    </cfRule>
    <cfRule type="containsText" dxfId="2127" priority="2235" operator="containsText" text="Update not Provided">
      <formula>NOT(ISERROR(SEARCH("Update not Provided",I82)))</formula>
    </cfRule>
  </conditionalFormatting>
  <conditionalFormatting sqref="I85">
    <cfRule type="containsText" dxfId="2126" priority="2164" operator="containsText" text="On track to be achieved">
      <formula>NOT(ISERROR(SEARCH("On track to be achieved",I85)))</formula>
    </cfRule>
    <cfRule type="containsText" dxfId="2125" priority="2165" operator="containsText" text="Deferred">
      <formula>NOT(ISERROR(SEARCH("Deferred",I85)))</formula>
    </cfRule>
    <cfRule type="containsText" dxfId="2124" priority="2166" operator="containsText" text="Deleted">
      <formula>NOT(ISERROR(SEARCH("Deleted",I85)))</formula>
    </cfRule>
    <cfRule type="containsText" dxfId="2123" priority="2167" operator="containsText" text="In Danger of Falling Behind Target">
      <formula>NOT(ISERROR(SEARCH("In Danger of Falling Behind Target",I85)))</formula>
    </cfRule>
    <cfRule type="containsText" dxfId="2122" priority="2168" operator="containsText" text="Not yet due">
      <formula>NOT(ISERROR(SEARCH("Not yet due",I85)))</formula>
    </cfRule>
    <cfRule type="containsText" dxfId="2121" priority="2169" operator="containsText" text="Update not Provided">
      <formula>NOT(ISERROR(SEARCH("Update not Provided",I85)))</formula>
    </cfRule>
    <cfRule type="containsText" dxfId="2120" priority="2170" operator="containsText" text="Not yet due">
      <formula>NOT(ISERROR(SEARCH("Not yet due",I85)))</formula>
    </cfRule>
    <cfRule type="containsText" dxfId="2119" priority="2171" operator="containsText" text="Completed Behind Schedule">
      <formula>NOT(ISERROR(SEARCH("Completed Behind Schedule",I85)))</formula>
    </cfRule>
    <cfRule type="containsText" dxfId="2118" priority="2172" operator="containsText" text="Off Target">
      <formula>NOT(ISERROR(SEARCH("Off Target",I85)))</formula>
    </cfRule>
    <cfRule type="containsText" dxfId="2117" priority="2173" operator="containsText" text="On Track to be Achieved">
      <formula>NOT(ISERROR(SEARCH("On Track to be Achieved",I85)))</formula>
    </cfRule>
    <cfRule type="containsText" dxfId="2116" priority="2174" operator="containsText" text="Fully Achieved">
      <formula>NOT(ISERROR(SEARCH("Fully Achieved",I85)))</formula>
    </cfRule>
    <cfRule type="containsText" dxfId="2115" priority="2175" operator="containsText" text="Not yet due">
      <formula>NOT(ISERROR(SEARCH("Not yet due",I85)))</formula>
    </cfRule>
    <cfRule type="containsText" dxfId="2114" priority="2176" operator="containsText" text="Not Yet Due">
      <formula>NOT(ISERROR(SEARCH("Not Yet Due",I85)))</formula>
    </cfRule>
    <cfRule type="containsText" dxfId="2113" priority="2177" operator="containsText" text="Deferred">
      <formula>NOT(ISERROR(SEARCH("Deferred",I85)))</formula>
    </cfRule>
    <cfRule type="containsText" dxfId="2112" priority="2178" operator="containsText" text="Deleted">
      <formula>NOT(ISERROR(SEARCH("Deleted",I85)))</formula>
    </cfRule>
    <cfRule type="containsText" dxfId="2111" priority="2179" operator="containsText" text="In Danger of Falling Behind Target">
      <formula>NOT(ISERROR(SEARCH("In Danger of Falling Behind Target",I85)))</formula>
    </cfRule>
    <cfRule type="containsText" dxfId="2110" priority="2180" operator="containsText" text="Not yet due">
      <formula>NOT(ISERROR(SEARCH("Not yet due",I85)))</formula>
    </cfRule>
    <cfRule type="containsText" dxfId="2109" priority="2181" operator="containsText" text="Completed Behind Schedule">
      <formula>NOT(ISERROR(SEARCH("Completed Behind Schedule",I85)))</formula>
    </cfRule>
    <cfRule type="containsText" dxfId="2108" priority="2182" operator="containsText" text="Off Target">
      <formula>NOT(ISERROR(SEARCH("Off Target",I85)))</formula>
    </cfRule>
    <cfRule type="containsText" dxfId="2107" priority="2183" operator="containsText" text="In Danger of Falling Behind Target">
      <formula>NOT(ISERROR(SEARCH("In Danger of Falling Behind Target",I85)))</formula>
    </cfRule>
    <cfRule type="containsText" dxfId="2106" priority="2184" operator="containsText" text="On Track to be Achieved">
      <formula>NOT(ISERROR(SEARCH("On Track to be Achieved",I85)))</formula>
    </cfRule>
    <cfRule type="containsText" dxfId="2105" priority="2185" operator="containsText" text="Fully Achieved">
      <formula>NOT(ISERROR(SEARCH("Fully Achieved",I85)))</formula>
    </cfRule>
    <cfRule type="containsText" dxfId="2104" priority="2186" operator="containsText" text="Update not Provided">
      <formula>NOT(ISERROR(SEARCH("Update not Provided",I85)))</formula>
    </cfRule>
    <cfRule type="containsText" dxfId="2103" priority="2187" operator="containsText" text="Not yet due">
      <formula>NOT(ISERROR(SEARCH("Not yet due",I85)))</formula>
    </cfRule>
    <cfRule type="containsText" dxfId="2102" priority="2188" operator="containsText" text="Completed Behind Schedule">
      <formula>NOT(ISERROR(SEARCH("Completed Behind Schedule",I85)))</formula>
    </cfRule>
    <cfRule type="containsText" dxfId="2101" priority="2189" operator="containsText" text="Off Target">
      <formula>NOT(ISERROR(SEARCH("Off Target",I85)))</formula>
    </cfRule>
    <cfRule type="containsText" dxfId="2100" priority="2190" operator="containsText" text="In Danger of Falling Behind Target">
      <formula>NOT(ISERROR(SEARCH("In Danger of Falling Behind Target",I85)))</formula>
    </cfRule>
    <cfRule type="containsText" dxfId="2099" priority="2191" operator="containsText" text="On Track to be Achieved">
      <formula>NOT(ISERROR(SEARCH("On Track to be Achieved",I85)))</formula>
    </cfRule>
    <cfRule type="containsText" dxfId="2098" priority="2192" operator="containsText" text="Fully Achieved">
      <formula>NOT(ISERROR(SEARCH("Fully Achieved",I85)))</formula>
    </cfRule>
    <cfRule type="containsText" dxfId="2097" priority="2193" operator="containsText" text="Fully Achieved">
      <formula>NOT(ISERROR(SEARCH("Fully Achieved",I85)))</formula>
    </cfRule>
    <cfRule type="containsText" dxfId="2096" priority="2194" operator="containsText" text="Fully Achieved">
      <formula>NOT(ISERROR(SEARCH("Fully Achieved",I85)))</formula>
    </cfRule>
    <cfRule type="containsText" dxfId="2095" priority="2195" operator="containsText" text="Deferred">
      <formula>NOT(ISERROR(SEARCH("Deferred",I85)))</formula>
    </cfRule>
    <cfRule type="containsText" dxfId="2094" priority="2196" operator="containsText" text="Deleted">
      <formula>NOT(ISERROR(SEARCH("Deleted",I85)))</formula>
    </cfRule>
    <cfRule type="containsText" dxfId="2093" priority="2197" operator="containsText" text="In Danger of Falling Behind Target">
      <formula>NOT(ISERROR(SEARCH("In Danger of Falling Behind Target",I85)))</formula>
    </cfRule>
    <cfRule type="containsText" dxfId="2092" priority="2198" operator="containsText" text="Not yet due">
      <formula>NOT(ISERROR(SEARCH("Not yet due",I85)))</formula>
    </cfRule>
    <cfRule type="containsText" dxfId="2091" priority="2199" operator="containsText" text="Update not Provided">
      <formula>NOT(ISERROR(SEARCH("Update not Provided",I85)))</formula>
    </cfRule>
  </conditionalFormatting>
  <conditionalFormatting sqref="I87:I91">
    <cfRule type="containsText" dxfId="2090" priority="2128" operator="containsText" text="On track to be achieved">
      <formula>NOT(ISERROR(SEARCH("On track to be achieved",I87)))</formula>
    </cfRule>
    <cfRule type="containsText" dxfId="2089" priority="2129" operator="containsText" text="Deferred">
      <formula>NOT(ISERROR(SEARCH("Deferred",I87)))</formula>
    </cfRule>
    <cfRule type="containsText" dxfId="2088" priority="2130" operator="containsText" text="Deleted">
      <formula>NOT(ISERROR(SEARCH("Deleted",I87)))</formula>
    </cfRule>
    <cfRule type="containsText" dxfId="2087" priority="2131" operator="containsText" text="In Danger of Falling Behind Target">
      <formula>NOT(ISERROR(SEARCH("In Danger of Falling Behind Target",I87)))</formula>
    </cfRule>
    <cfRule type="containsText" dxfId="2086" priority="2132" operator="containsText" text="Not yet due">
      <formula>NOT(ISERROR(SEARCH("Not yet due",I87)))</formula>
    </cfRule>
    <cfRule type="containsText" dxfId="2085" priority="2133" operator="containsText" text="Update not Provided">
      <formula>NOT(ISERROR(SEARCH("Update not Provided",I87)))</formula>
    </cfRule>
    <cfRule type="containsText" dxfId="2084" priority="2134" operator="containsText" text="Not yet due">
      <formula>NOT(ISERROR(SEARCH("Not yet due",I87)))</formula>
    </cfRule>
    <cfRule type="containsText" dxfId="2083" priority="2135" operator="containsText" text="Completed Behind Schedule">
      <formula>NOT(ISERROR(SEARCH("Completed Behind Schedule",I87)))</formula>
    </cfRule>
    <cfRule type="containsText" dxfId="2082" priority="2136" operator="containsText" text="Off Target">
      <formula>NOT(ISERROR(SEARCH("Off Target",I87)))</formula>
    </cfRule>
    <cfRule type="containsText" dxfId="2081" priority="2137" operator="containsText" text="On Track to be Achieved">
      <formula>NOT(ISERROR(SEARCH("On Track to be Achieved",I87)))</formula>
    </cfRule>
    <cfRule type="containsText" dxfId="2080" priority="2138" operator="containsText" text="Fully Achieved">
      <formula>NOT(ISERROR(SEARCH("Fully Achieved",I87)))</formula>
    </cfRule>
    <cfRule type="containsText" dxfId="2079" priority="2139" operator="containsText" text="Not yet due">
      <formula>NOT(ISERROR(SEARCH("Not yet due",I87)))</formula>
    </cfRule>
    <cfRule type="containsText" dxfId="2078" priority="2140" operator="containsText" text="Not Yet Due">
      <formula>NOT(ISERROR(SEARCH("Not Yet Due",I87)))</formula>
    </cfRule>
    <cfRule type="containsText" dxfId="2077" priority="2141" operator="containsText" text="Deferred">
      <formula>NOT(ISERROR(SEARCH("Deferred",I87)))</formula>
    </cfRule>
    <cfRule type="containsText" dxfId="2076" priority="2142" operator="containsText" text="Deleted">
      <formula>NOT(ISERROR(SEARCH("Deleted",I87)))</formula>
    </cfRule>
    <cfRule type="containsText" dxfId="2075" priority="2143" operator="containsText" text="In Danger of Falling Behind Target">
      <formula>NOT(ISERROR(SEARCH("In Danger of Falling Behind Target",I87)))</formula>
    </cfRule>
    <cfRule type="containsText" dxfId="2074" priority="2144" operator="containsText" text="Not yet due">
      <formula>NOT(ISERROR(SEARCH("Not yet due",I87)))</formula>
    </cfRule>
    <cfRule type="containsText" dxfId="2073" priority="2145" operator="containsText" text="Completed Behind Schedule">
      <formula>NOT(ISERROR(SEARCH("Completed Behind Schedule",I87)))</formula>
    </cfRule>
    <cfRule type="containsText" dxfId="2072" priority="2146" operator="containsText" text="Off Target">
      <formula>NOT(ISERROR(SEARCH("Off Target",I87)))</formula>
    </cfRule>
    <cfRule type="containsText" dxfId="2071" priority="2147" operator="containsText" text="In Danger of Falling Behind Target">
      <formula>NOT(ISERROR(SEARCH("In Danger of Falling Behind Target",I87)))</formula>
    </cfRule>
    <cfRule type="containsText" dxfId="2070" priority="2148" operator="containsText" text="On Track to be Achieved">
      <formula>NOT(ISERROR(SEARCH("On Track to be Achieved",I87)))</formula>
    </cfRule>
    <cfRule type="containsText" dxfId="2069" priority="2149" operator="containsText" text="Fully Achieved">
      <formula>NOT(ISERROR(SEARCH("Fully Achieved",I87)))</formula>
    </cfRule>
    <cfRule type="containsText" dxfId="2068" priority="2150" operator="containsText" text="Update not Provided">
      <formula>NOT(ISERROR(SEARCH("Update not Provided",I87)))</formula>
    </cfRule>
    <cfRule type="containsText" dxfId="2067" priority="2151" operator="containsText" text="Not yet due">
      <formula>NOT(ISERROR(SEARCH("Not yet due",I87)))</formula>
    </cfRule>
    <cfRule type="containsText" dxfId="2066" priority="2152" operator="containsText" text="Completed Behind Schedule">
      <formula>NOT(ISERROR(SEARCH("Completed Behind Schedule",I87)))</formula>
    </cfRule>
    <cfRule type="containsText" dxfId="2065" priority="2153" operator="containsText" text="Off Target">
      <formula>NOT(ISERROR(SEARCH("Off Target",I87)))</formula>
    </cfRule>
    <cfRule type="containsText" dxfId="2064" priority="2154" operator="containsText" text="In Danger of Falling Behind Target">
      <formula>NOT(ISERROR(SEARCH("In Danger of Falling Behind Target",I87)))</formula>
    </cfRule>
    <cfRule type="containsText" dxfId="2063" priority="2155" operator="containsText" text="On Track to be Achieved">
      <formula>NOT(ISERROR(SEARCH("On Track to be Achieved",I87)))</formula>
    </cfRule>
    <cfRule type="containsText" dxfId="2062" priority="2156" operator="containsText" text="Fully Achieved">
      <formula>NOT(ISERROR(SEARCH("Fully Achieved",I87)))</formula>
    </cfRule>
    <cfRule type="containsText" dxfId="2061" priority="2157" operator="containsText" text="Fully Achieved">
      <formula>NOT(ISERROR(SEARCH("Fully Achieved",I87)))</formula>
    </cfRule>
    <cfRule type="containsText" dxfId="2060" priority="2158" operator="containsText" text="Fully Achieved">
      <formula>NOT(ISERROR(SEARCH("Fully Achieved",I87)))</formula>
    </cfRule>
    <cfRule type="containsText" dxfId="2059" priority="2159" operator="containsText" text="Deferred">
      <formula>NOT(ISERROR(SEARCH("Deferred",I87)))</formula>
    </cfRule>
    <cfRule type="containsText" dxfId="2058" priority="2160" operator="containsText" text="Deleted">
      <formula>NOT(ISERROR(SEARCH("Deleted",I87)))</formula>
    </cfRule>
    <cfRule type="containsText" dxfId="2057" priority="2161" operator="containsText" text="In Danger of Falling Behind Target">
      <formula>NOT(ISERROR(SEARCH("In Danger of Falling Behind Target",I87)))</formula>
    </cfRule>
    <cfRule type="containsText" dxfId="2056" priority="2162" operator="containsText" text="Not yet due">
      <formula>NOT(ISERROR(SEARCH("Not yet due",I87)))</formula>
    </cfRule>
    <cfRule type="containsText" dxfId="2055" priority="2163" operator="containsText" text="Update not Provided">
      <formula>NOT(ISERROR(SEARCH("Update not Provided",I87)))</formula>
    </cfRule>
  </conditionalFormatting>
  <conditionalFormatting sqref="I92:I94">
    <cfRule type="containsText" dxfId="2054" priority="2092" operator="containsText" text="On track to be achieved">
      <formula>NOT(ISERROR(SEARCH("On track to be achieved",I92)))</formula>
    </cfRule>
    <cfRule type="containsText" dxfId="2053" priority="2093" operator="containsText" text="Deferred">
      <formula>NOT(ISERROR(SEARCH("Deferred",I92)))</formula>
    </cfRule>
    <cfRule type="containsText" dxfId="2052" priority="2094" operator="containsText" text="Deleted">
      <formula>NOT(ISERROR(SEARCH("Deleted",I92)))</formula>
    </cfRule>
    <cfRule type="containsText" dxfId="2051" priority="2095" operator="containsText" text="In Danger of Falling Behind Target">
      <formula>NOT(ISERROR(SEARCH("In Danger of Falling Behind Target",I92)))</formula>
    </cfRule>
    <cfRule type="containsText" dxfId="2050" priority="2096" operator="containsText" text="Not yet due">
      <formula>NOT(ISERROR(SEARCH("Not yet due",I92)))</formula>
    </cfRule>
    <cfRule type="containsText" dxfId="2049" priority="2097" operator="containsText" text="Update not Provided">
      <formula>NOT(ISERROR(SEARCH("Update not Provided",I92)))</formula>
    </cfRule>
    <cfRule type="containsText" dxfId="2048" priority="2098" operator="containsText" text="Not yet due">
      <formula>NOT(ISERROR(SEARCH("Not yet due",I92)))</formula>
    </cfRule>
    <cfRule type="containsText" dxfId="2047" priority="2099" operator="containsText" text="Completed Behind Schedule">
      <formula>NOT(ISERROR(SEARCH("Completed Behind Schedule",I92)))</formula>
    </cfRule>
    <cfRule type="containsText" dxfId="2046" priority="2100" operator="containsText" text="Off Target">
      <formula>NOT(ISERROR(SEARCH("Off Target",I92)))</formula>
    </cfRule>
    <cfRule type="containsText" dxfId="2045" priority="2101" operator="containsText" text="On Track to be Achieved">
      <formula>NOT(ISERROR(SEARCH("On Track to be Achieved",I92)))</formula>
    </cfRule>
    <cfRule type="containsText" dxfId="2044" priority="2102" operator="containsText" text="Fully Achieved">
      <formula>NOT(ISERROR(SEARCH("Fully Achieved",I92)))</formula>
    </cfRule>
    <cfRule type="containsText" dxfId="2043" priority="2103" operator="containsText" text="Not yet due">
      <formula>NOT(ISERROR(SEARCH("Not yet due",I92)))</formula>
    </cfRule>
    <cfRule type="containsText" dxfId="2042" priority="2104" operator="containsText" text="Not Yet Due">
      <formula>NOT(ISERROR(SEARCH("Not Yet Due",I92)))</formula>
    </cfRule>
    <cfRule type="containsText" dxfId="2041" priority="2105" operator="containsText" text="Deferred">
      <formula>NOT(ISERROR(SEARCH("Deferred",I92)))</formula>
    </cfRule>
    <cfRule type="containsText" dxfId="2040" priority="2106" operator="containsText" text="Deleted">
      <formula>NOT(ISERROR(SEARCH("Deleted",I92)))</formula>
    </cfRule>
    <cfRule type="containsText" dxfId="2039" priority="2107" operator="containsText" text="In Danger of Falling Behind Target">
      <formula>NOT(ISERROR(SEARCH("In Danger of Falling Behind Target",I92)))</formula>
    </cfRule>
    <cfRule type="containsText" dxfId="2038" priority="2108" operator="containsText" text="Not yet due">
      <formula>NOT(ISERROR(SEARCH("Not yet due",I92)))</formula>
    </cfRule>
    <cfRule type="containsText" dxfId="2037" priority="2109" operator="containsText" text="Completed Behind Schedule">
      <formula>NOT(ISERROR(SEARCH("Completed Behind Schedule",I92)))</formula>
    </cfRule>
    <cfRule type="containsText" dxfId="2036" priority="2110" operator="containsText" text="Off Target">
      <formula>NOT(ISERROR(SEARCH("Off Target",I92)))</formula>
    </cfRule>
    <cfRule type="containsText" dxfId="2035" priority="2111" operator="containsText" text="In Danger of Falling Behind Target">
      <formula>NOT(ISERROR(SEARCH("In Danger of Falling Behind Target",I92)))</formula>
    </cfRule>
    <cfRule type="containsText" dxfId="2034" priority="2112" operator="containsText" text="On Track to be Achieved">
      <formula>NOT(ISERROR(SEARCH("On Track to be Achieved",I92)))</formula>
    </cfRule>
    <cfRule type="containsText" dxfId="2033" priority="2113" operator="containsText" text="Fully Achieved">
      <formula>NOT(ISERROR(SEARCH("Fully Achieved",I92)))</formula>
    </cfRule>
    <cfRule type="containsText" dxfId="2032" priority="2114" operator="containsText" text="Update not Provided">
      <formula>NOT(ISERROR(SEARCH("Update not Provided",I92)))</formula>
    </cfRule>
    <cfRule type="containsText" dxfId="2031" priority="2115" operator="containsText" text="Not yet due">
      <formula>NOT(ISERROR(SEARCH("Not yet due",I92)))</formula>
    </cfRule>
    <cfRule type="containsText" dxfId="2030" priority="2116" operator="containsText" text="Completed Behind Schedule">
      <formula>NOT(ISERROR(SEARCH("Completed Behind Schedule",I92)))</formula>
    </cfRule>
    <cfRule type="containsText" dxfId="2029" priority="2117" operator="containsText" text="Off Target">
      <formula>NOT(ISERROR(SEARCH("Off Target",I92)))</formula>
    </cfRule>
    <cfRule type="containsText" dxfId="2028" priority="2118" operator="containsText" text="In Danger of Falling Behind Target">
      <formula>NOT(ISERROR(SEARCH("In Danger of Falling Behind Target",I92)))</formula>
    </cfRule>
    <cfRule type="containsText" dxfId="2027" priority="2119" operator="containsText" text="On Track to be Achieved">
      <formula>NOT(ISERROR(SEARCH("On Track to be Achieved",I92)))</formula>
    </cfRule>
    <cfRule type="containsText" dxfId="2026" priority="2120" operator="containsText" text="Fully Achieved">
      <formula>NOT(ISERROR(SEARCH("Fully Achieved",I92)))</formula>
    </cfRule>
    <cfRule type="containsText" dxfId="2025" priority="2121" operator="containsText" text="Fully Achieved">
      <formula>NOT(ISERROR(SEARCH("Fully Achieved",I92)))</formula>
    </cfRule>
    <cfRule type="containsText" dxfId="2024" priority="2122" operator="containsText" text="Fully Achieved">
      <formula>NOT(ISERROR(SEARCH("Fully Achieved",I92)))</formula>
    </cfRule>
    <cfRule type="containsText" dxfId="2023" priority="2123" operator="containsText" text="Deferred">
      <formula>NOT(ISERROR(SEARCH("Deferred",I92)))</formula>
    </cfRule>
    <cfRule type="containsText" dxfId="2022" priority="2124" operator="containsText" text="Deleted">
      <formula>NOT(ISERROR(SEARCH("Deleted",I92)))</formula>
    </cfRule>
    <cfRule type="containsText" dxfId="2021" priority="2125" operator="containsText" text="In Danger of Falling Behind Target">
      <formula>NOT(ISERROR(SEARCH("In Danger of Falling Behind Target",I92)))</formula>
    </cfRule>
    <cfRule type="containsText" dxfId="2020" priority="2126" operator="containsText" text="Not yet due">
      <formula>NOT(ISERROR(SEARCH("Not yet due",I92)))</formula>
    </cfRule>
    <cfRule type="containsText" dxfId="2019" priority="2127" operator="containsText" text="Update not Provided">
      <formula>NOT(ISERROR(SEARCH("Update not Provided",I92)))</formula>
    </cfRule>
  </conditionalFormatting>
  <conditionalFormatting sqref="I95:I99">
    <cfRule type="containsText" dxfId="2018" priority="2056" operator="containsText" text="On track to be achieved">
      <formula>NOT(ISERROR(SEARCH("On track to be achieved",I95)))</formula>
    </cfRule>
    <cfRule type="containsText" dxfId="2017" priority="2057" operator="containsText" text="Deferred">
      <formula>NOT(ISERROR(SEARCH("Deferred",I95)))</formula>
    </cfRule>
    <cfRule type="containsText" dxfId="2016" priority="2058" operator="containsText" text="Deleted">
      <formula>NOT(ISERROR(SEARCH("Deleted",I95)))</formula>
    </cfRule>
    <cfRule type="containsText" dxfId="2015" priority="2059" operator="containsText" text="In Danger of Falling Behind Target">
      <formula>NOT(ISERROR(SEARCH("In Danger of Falling Behind Target",I95)))</formula>
    </cfRule>
    <cfRule type="containsText" dxfId="2014" priority="2060" operator="containsText" text="Not yet due">
      <formula>NOT(ISERROR(SEARCH("Not yet due",I95)))</formula>
    </cfRule>
    <cfRule type="containsText" dxfId="2013" priority="2061" operator="containsText" text="Update not Provided">
      <formula>NOT(ISERROR(SEARCH("Update not Provided",I95)))</formula>
    </cfRule>
    <cfRule type="containsText" dxfId="2012" priority="2062" operator="containsText" text="Not yet due">
      <formula>NOT(ISERROR(SEARCH("Not yet due",I95)))</formula>
    </cfRule>
    <cfRule type="containsText" dxfId="2011" priority="2063" operator="containsText" text="Completed Behind Schedule">
      <formula>NOT(ISERROR(SEARCH("Completed Behind Schedule",I95)))</formula>
    </cfRule>
    <cfRule type="containsText" dxfId="2010" priority="2064" operator="containsText" text="Off Target">
      <formula>NOT(ISERROR(SEARCH("Off Target",I95)))</formula>
    </cfRule>
    <cfRule type="containsText" dxfId="2009" priority="2065" operator="containsText" text="On Track to be Achieved">
      <formula>NOT(ISERROR(SEARCH("On Track to be Achieved",I95)))</formula>
    </cfRule>
    <cfRule type="containsText" dxfId="2008" priority="2066" operator="containsText" text="Fully Achieved">
      <formula>NOT(ISERROR(SEARCH("Fully Achieved",I95)))</formula>
    </cfRule>
    <cfRule type="containsText" dxfId="2007" priority="2067" operator="containsText" text="Not yet due">
      <formula>NOT(ISERROR(SEARCH("Not yet due",I95)))</formula>
    </cfRule>
    <cfRule type="containsText" dxfId="2006" priority="2068" operator="containsText" text="Not Yet Due">
      <formula>NOT(ISERROR(SEARCH("Not Yet Due",I95)))</formula>
    </cfRule>
    <cfRule type="containsText" dxfId="2005" priority="2069" operator="containsText" text="Deferred">
      <formula>NOT(ISERROR(SEARCH("Deferred",I95)))</formula>
    </cfRule>
    <cfRule type="containsText" dxfId="2004" priority="2070" operator="containsText" text="Deleted">
      <formula>NOT(ISERROR(SEARCH("Deleted",I95)))</formula>
    </cfRule>
    <cfRule type="containsText" dxfId="2003" priority="2071" operator="containsText" text="In Danger of Falling Behind Target">
      <formula>NOT(ISERROR(SEARCH("In Danger of Falling Behind Target",I95)))</formula>
    </cfRule>
    <cfRule type="containsText" dxfId="2002" priority="2072" operator="containsText" text="Not yet due">
      <formula>NOT(ISERROR(SEARCH("Not yet due",I95)))</formula>
    </cfRule>
    <cfRule type="containsText" dxfId="2001" priority="2073" operator="containsText" text="Completed Behind Schedule">
      <formula>NOT(ISERROR(SEARCH("Completed Behind Schedule",I95)))</formula>
    </cfRule>
    <cfRule type="containsText" dxfId="2000" priority="2074" operator="containsText" text="Off Target">
      <formula>NOT(ISERROR(SEARCH("Off Target",I95)))</formula>
    </cfRule>
    <cfRule type="containsText" dxfId="1999" priority="2075" operator="containsText" text="In Danger of Falling Behind Target">
      <formula>NOT(ISERROR(SEARCH("In Danger of Falling Behind Target",I95)))</formula>
    </cfRule>
    <cfRule type="containsText" dxfId="1998" priority="2076" operator="containsText" text="On Track to be Achieved">
      <formula>NOT(ISERROR(SEARCH("On Track to be Achieved",I95)))</formula>
    </cfRule>
    <cfRule type="containsText" dxfId="1997" priority="2077" operator="containsText" text="Fully Achieved">
      <formula>NOT(ISERROR(SEARCH("Fully Achieved",I95)))</formula>
    </cfRule>
    <cfRule type="containsText" dxfId="1996" priority="2078" operator="containsText" text="Update not Provided">
      <formula>NOT(ISERROR(SEARCH("Update not Provided",I95)))</formula>
    </cfRule>
    <cfRule type="containsText" dxfId="1995" priority="2079" operator="containsText" text="Not yet due">
      <formula>NOT(ISERROR(SEARCH("Not yet due",I95)))</formula>
    </cfRule>
    <cfRule type="containsText" dxfId="1994" priority="2080" operator="containsText" text="Completed Behind Schedule">
      <formula>NOT(ISERROR(SEARCH("Completed Behind Schedule",I95)))</formula>
    </cfRule>
    <cfRule type="containsText" dxfId="1993" priority="2081" operator="containsText" text="Off Target">
      <formula>NOT(ISERROR(SEARCH("Off Target",I95)))</formula>
    </cfRule>
    <cfRule type="containsText" dxfId="1992" priority="2082" operator="containsText" text="In Danger of Falling Behind Target">
      <formula>NOT(ISERROR(SEARCH("In Danger of Falling Behind Target",I95)))</formula>
    </cfRule>
    <cfRule type="containsText" dxfId="1991" priority="2083" operator="containsText" text="On Track to be Achieved">
      <formula>NOT(ISERROR(SEARCH("On Track to be Achieved",I95)))</formula>
    </cfRule>
    <cfRule type="containsText" dxfId="1990" priority="2084" operator="containsText" text="Fully Achieved">
      <formula>NOT(ISERROR(SEARCH("Fully Achieved",I95)))</formula>
    </cfRule>
    <cfRule type="containsText" dxfId="1989" priority="2085" operator="containsText" text="Fully Achieved">
      <formula>NOT(ISERROR(SEARCH("Fully Achieved",I95)))</formula>
    </cfRule>
    <cfRule type="containsText" dxfId="1988" priority="2086" operator="containsText" text="Fully Achieved">
      <formula>NOT(ISERROR(SEARCH("Fully Achieved",I95)))</formula>
    </cfRule>
    <cfRule type="containsText" dxfId="1987" priority="2087" operator="containsText" text="Deferred">
      <formula>NOT(ISERROR(SEARCH("Deferred",I95)))</formula>
    </cfRule>
    <cfRule type="containsText" dxfId="1986" priority="2088" operator="containsText" text="Deleted">
      <formula>NOT(ISERROR(SEARCH("Deleted",I95)))</formula>
    </cfRule>
    <cfRule type="containsText" dxfId="1985" priority="2089" operator="containsText" text="In Danger of Falling Behind Target">
      <formula>NOT(ISERROR(SEARCH("In Danger of Falling Behind Target",I95)))</formula>
    </cfRule>
    <cfRule type="containsText" dxfId="1984" priority="2090" operator="containsText" text="Not yet due">
      <formula>NOT(ISERROR(SEARCH("Not yet due",I95)))</formula>
    </cfRule>
    <cfRule type="containsText" dxfId="1983" priority="2091" operator="containsText" text="Update not Provided">
      <formula>NOT(ISERROR(SEARCH("Update not Provided",I95)))</formula>
    </cfRule>
  </conditionalFormatting>
  <conditionalFormatting sqref="I100:I101">
    <cfRule type="containsText" dxfId="1982" priority="2020" operator="containsText" text="On track to be achieved">
      <formula>NOT(ISERROR(SEARCH("On track to be achieved",I100)))</formula>
    </cfRule>
    <cfRule type="containsText" dxfId="1981" priority="2021" operator="containsText" text="Deferred">
      <formula>NOT(ISERROR(SEARCH("Deferred",I100)))</formula>
    </cfRule>
    <cfRule type="containsText" dxfId="1980" priority="2022" operator="containsText" text="Deleted">
      <formula>NOT(ISERROR(SEARCH("Deleted",I100)))</formula>
    </cfRule>
    <cfRule type="containsText" dxfId="1979" priority="2023" operator="containsText" text="In Danger of Falling Behind Target">
      <formula>NOT(ISERROR(SEARCH("In Danger of Falling Behind Target",I100)))</formula>
    </cfRule>
    <cfRule type="containsText" dxfId="1978" priority="2024" operator="containsText" text="Not yet due">
      <formula>NOT(ISERROR(SEARCH("Not yet due",I100)))</formula>
    </cfRule>
    <cfRule type="containsText" dxfId="1977" priority="2025" operator="containsText" text="Update not Provided">
      <formula>NOT(ISERROR(SEARCH("Update not Provided",I100)))</formula>
    </cfRule>
    <cfRule type="containsText" dxfId="1976" priority="2026" operator="containsText" text="Not yet due">
      <formula>NOT(ISERROR(SEARCH("Not yet due",I100)))</formula>
    </cfRule>
    <cfRule type="containsText" dxfId="1975" priority="2027" operator="containsText" text="Completed Behind Schedule">
      <formula>NOT(ISERROR(SEARCH("Completed Behind Schedule",I100)))</formula>
    </cfRule>
    <cfRule type="containsText" dxfId="1974" priority="2028" operator="containsText" text="Off Target">
      <formula>NOT(ISERROR(SEARCH("Off Target",I100)))</formula>
    </cfRule>
    <cfRule type="containsText" dxfId="1973" priority="2029" operator="containsText" text="On Track to be Achieved">
      <formula>NOT(ISERROR(SEARCH("On Track to be Achieved",I100)))</formula>
    </cfRule>
    <cfRule type="containsText" dxfId="1972" priority="2030" operator="containsText" text="Fully Achieved">
      <formula>NOT(ISERROR(SEARCH("Fully Achieved",I100)))</formula>
    </cfRule>
    <cfRule type="containsText" dxfId="1971" priority="2031" operator="containsText" text="Not yet due">
      <formula>NOT(ISERROR(SEARCH("Not yet due",I100)))</formula>
    </cfRule>
    <cfRule type="containsText" dxfId="1970" priority="2032" operator="containsText" text="Not Yet Due">
      <formula>NOT(ISERROR(SEARCH("Not Yet Due",I100)))</formula>
    </cfRule>
    <cfRule type="containsText" dxfId="1969" priority="2033" operator="containsText" text="Deferred">
      <formula>NOT(ISERROR(SEARCH("Deferred",I100)))</formula>
    </cfRule>
    <cfRule type="containsText" dxfId="1968" priority="2034" operator="containsText" text="Deleted">
      <formula>NOT(ISERROR(SEARCH("Deleted",I100)))</formula>
    </cfRule>
    <cfRule type="containsText" dxfId="1967" priority="2035" operator="containsText" text="In Danger of Falling Behind Target">
      <formula>NOT(ISERROR(SEARCH("In Danger of Falling Behind Target",I100)))</formula>
    </cfRule>
    <cfRule type="containsText" dxfId="1966" priority="2036" operator="containsText" text="Not yet due">
      <formula>NOT(ISERROR(SEARCH("Not yet due",I100)))</formula>
    </cfRule>
    <cfRule type="containsText" dxfId="1965" priority="2037" operator="containsText" text="Completed Behind Schedule">
      <formula>NOT(ISERROR(SEARCH("Completed Behind Schedule",I100)))</formula>
    </cfRule>
    <cfRule type="containsText" dxfId="1964" priority="2038" operator="containsText" text="Off Target">
      <formula>NOT(ISERROR(SEARCH("Off Target",I100)))</formula>
    </cfRule>
    <cfRule type="containsText" dxfId="1963" priority="2039" operator="containsText" text="In Danger of Falling Behind Target">
      <formula>NOT(ISERROR(SEARCH("In Danger of Falling Behind Target",I100)))</formula>
    </cfRule>
    <cfRule type="containsText" dxfId="1962" priority="2040" operator="containsText" text="On Track to be Achieved">
      <formula>NOT(ISERROR(SEARCH("On Track to be Achieved",I100)))</formula>
    </cfRule>
    <cfRule type="containsText" dxfId="1961" priority="2041" operator="containsText" text="Fully Achieved">
      <formula>NOT(ISERROR(SEARCH("Fully Achieved",I100)))</formula>
    </cfRule>
    <cfRule type="containsText" dxfId="1960" priority="2042" operator="containsText" text="Update not Provided">
      <formula>NOT(ISERROR(SEARCH("Update not Provided",I100)))</formula>
    </cfRule>
    <cfRule type="containsText" dxfId="1959" priority="2043" operator="containsText" text="Not yet due">
      <formula>NOT(ISERROR(SEARCH("Not yet due",I100)))</formula>
    </cfRule>
    <cfRule type="containsText" dxfId="1958" priority="2044" operator="containsText" text="Completed Behind Schedule">
      <formula>NOT(ISERROR(SEARCH("Completed Behind Schedule",I100)))</formula>
    </cfRule>
    <cfRule type="containsText" dxfId="1957" priority="2045" operator="containsText" text="Off Target">
      <formula>NOT(ISERROR(SEARCH("Off Target",I100)))</formula>
    </cfRule>
    <cfRule type="containsText" dxfId="1956" priority="2046" operator="containsText" text="In Danger of Falling Behind Target">
      <formula>NOT(ISERROR(SEARCH("In Danger of Falling Behind Target",I100)))</formula>
    </cfRule>
    <cfRule type="containsText" dxfId="1955" priority="2047" operator="containsText" text="On Track to be Achieved">
      <formula>NOT(ISERROR(SEARCH("On Track to be Achieved",I100)))</formula>
    </cfRule>
    <cfRule type="containsText" dxfId="1954" priority="2048" operator="containsText" text="Fully Achieved">
      <formula>NOT(ISERROR(SEARCH("Fully Achieved",I100)))</formula>
    </cfRule>
    <cfRule type="containsText" dxfId="1953" priority="2049" operator="containsText" text="Fully Achieved">
      <formula>NOT(ISERROR(SEARCH("Fully Achieved",I100)))</formula>
    </cfRule>
    <cfRule type="containsText" dxfId="1952" priority="2050" operator="containsText" text="Fully Achieved">
      <formula>NOT(ISERROR(SEARCH("Fully Achieved",I100)))</formula>
    </cfRule>
    <cfRule type="containsText" dxfId="1951" priority="2051" operator="containsText" text="Deferred">
      <formula>NOT(ISERROR(SEARCH("Deferred",I100)))</formula>
    </cfRule>
    <cfRule type="containsText" dxfId="1950" priority="2052" operator="containsText" text="Deleted">
      <formula>NOT(ISERROR(SEARCH("Deleted",I100)))</formula>
    </cfRule>
    <cfRule type="containsText" dxfId="1949" priority="2053" operator="containsText" text="In Danger of Falling Behind Target">
      <formula>NOT(ISERROR(SEARCH("In Danger of Falling Behind Target",I100)))</formula>
    </cfRule>
    <cfRule type="containsText" dxfId="1948" priority="2054" operator="containsText" text="Not yet due">
      <formula>NOT(ISERROR(SEARCH("Not yet due",I100)))</formula>
    </cfRule>
    <cfRule type="containsText" dxfId="1947" priority="2055" operator="containsText" text="Update not Provided">
      <formula>NOT(ISERROR(SEARCH("Update not Provided",I100)))</formula>
    </cfRule>
  </conditionalFormatting>
  <conditionalFormatting sqref="I102:I112">
    <cfRule type="containsText" dxfId="1946" priority="1984" operator="containsText" text="On track to be achieved">
      <formula>NOT(ISERROR(SEARCH("On track to be achieved",I102)))</formula>
    </cfRule>
    <cfRule type="containsText" dxfId="1945" priority="1985" operator="containsText" text="Deferred">
      <formula>NOT(ISERROR(SEARCH("Deferred",I102)))</formula>
    </cfRule>
    <cfRule type="containsText" dxfId="1944" priority="1986" operator="containsText" text="Deleted">
      <formula>NOT(ISERROR(SEARCH("Deleted",I102)))</formula>
    </cfRule>
    <cfRule type="containsText" dxfId="1943" priority="1987" operator="containsText" text="In Danger of Falling Behind Target">
      <formula>NOT(ISERROR(SEARCH("In Danger of Falling Behind Target",I102)))</formula>
    </cfRule>
    <cfRule type="containsText" dxfId="1942" priority="1988" operator="containsText" text="Not yet due">
      <formula>NOT(ISERROR(SEARCH("Not yet due",I102)))</formula>
    </cfRule>
    <cfRule type="containsText" dxfId="1941" priority="1989" operator="containsText" text="Update not Provided">
      <formula>NOT(ISERROR(SEARCH("Update not Provided",I102)))</formula>
    </cfRule>
    <cfRule type="containsText" dxfId="1940" priority="1990" operator="containsText" text="Not yet due">
      <formula>NOT(ISERROR(SEARCH("Not yet due",I102)))</formula>
    </cfRule>
    <cfRule type="containsText" dxfId="1939" priority="1991" operator="containsText" text="Completed Behind Schedule">
      <formula>NOT(ISERROR(SEARCH("Completed Behind Schedule",I102)))</formula>
    </cfRule>
    <cfRule type="containsText" dxfId="1938" priority="1992" operator="containsText" text="Off Target">
      <formula>NOT(ISERROR(SEARCH("Off Target",I102)))</formula>
    </cfRule>
    <cfRule type="containsText" dxfId="1937" priority="1993" operator="containsText" text="On Track to be Achieved">
      <formula>NOT(ISERROR(SEARCH("On Track to be Achieved",I102)))</formula>
    </cfRule>
    <cfRule type="containsText" dxfId="1936" priority="1994" operator="containsText" text="Fully Achieved">
      <formula>NOT(ISERROR(SEARCH("Fully Achieved",I102)))</formula>
    </cfRule>
    <cfRule type="containsText" dxfId="1935" priority="1995" operator="containsText" text="Not yet due">
      <formula>NOT(ISERROR(SEARCH("Not yet due",I102)))</formula>
    </cfRule>
    <cfRule type="containsText" dxfId="1934" priority="1996" operator="containsText" text="Not Yet Due">
      <formula>NOT(ISERROR(SEARCH("Not Yet Due",I102)))</formula>
    </cfRule>
    <cfRule type="containsText" dxfId="1933" priority="1997" operator="containsText" text="Deferred">
      <formula>NOT(ISERROR(SEARCH("Deferred",I102)))</formula>
    </cfRule>
    <cfRule type="containsText" dxfId="1932" priority="1998" operator="containsText" text="Deleted">
      <formula>NOT(ISERROR(SEARCH("Deleted",I102)))</formula>
    </cfRule>
    <cfRule type="containsText" dxfId="1931" priority="1999" operator="containsText" text="In Danger of Falling Behind Target">
      <formula>NOT(ISERROR(SEARCH("In Danger of Falling Behind Target",I102)))</formula>
    </cfRule>
    <cfRule type="containsText" dxfId="1930" priority="2000" operator="containsText" text="Not yet due">
      <formula>NOT(ISERROR(SEARCH("Not yet due",I102)))</formula>
    </cfRule>
    <cfRule type="containsText" dxfId="1929" priority="2001" operator="containsText" text="Completed Behind Schedule">
      <formula>NOT(ISERROR(SEARCH("Completed Behind Schedule",I102)))</formula>
    </cfRule>
    <cfRule type="containsText" dxfId="1928" priority="2002" operator="containsText" text="Off Target">
      <formula>NOT(ISERROR(SEARCH("Off Target",I102)))</formula>
    </cfRule>
    <cfRule type="containsText" dxfId="1927" priority="2003" operator="containsText" text="In Danger of Falling Behind Target">
      <formula>NOT(ISERROR(SEARCH("In Danger of Falling Behind Target",I102)))</formula>
    </cfRule>
    <cfRule type="containsText" dxfId="1926" priority="2004" operator="containsText" text="On Track to be Achieved">
      <formula>NOT(ISERROR(SEARCH("On Track to be Achieved",I102)))</formula>
    </cfRule>
    <cfRule type="containsText" dxfId="1925" priority="2005" operator="containsText" text="Fully Achieved">
      <formula>NOT(ISERROR(SEARCH("Fully Achieved",I102)))</formula>
    </cfRule>
    <cfRule type="containsText" dxfId="1924" priority="2006" operator="containsText" text="Update not Provided">
      <formula>NOT(ISERROR(SEARCH("Update not Provided",I102)))</formula>
    </cfRule>
    <cfRule type="containsText" dxfId="1923" priority="2007" operator="containsText" text="Not yet due">
      <formula>NOT(ISERROR(SEARCH("Not yet due",I102)))</formula>
    </cfRule>
    <cfRule type="containsText" dxfId="1922" priority="2008" operator="containsText" text="Completed Behind Schedule">
      <formula>NOT(ISERROR(SEARCH("Completed Behind Schedule",I102)))</formula>
    </cfRule>
    <cfRule type="containsText" dxfId="1921" priority="2009" operator="containsText" text="Off Target">
      <formula>NOT(ISERROR(SEARCH("Off Target",I102)))</formula>
    </cfRule>
    <cfRule type="containsText" dxfId="1920" priority="2010" operator="containsText" text="In Danger of Falling Behind Target">
      <formula>NOT(ISERROR(SEARCH("In Danger of Falling Behind Target",I102)))</formula>
    </cfRule>
    <cfRule type="containsText" dxfId="1919" priority="2011" operator="containsText" text="On Track to be Achieved">
      <formula>NOT(ISERROR(SEARCH("On Track to be Achieved",I102)))</formula>
    </cfRule>
    <cfRule type="containsText" dxfId="1918" priority="2012" operator="containsText" text="Fully Achieved">
      <formula>NOT(ISERROR(SEARCH("Fully Achieved",I102)))</formula>
    </cfRule>
    <cfRule type="containsText" dxfId="1917" priority="2013" operator="containsText" text="Fully Achieved">
      <formula>NOT(ISERROR(SEARCH("Fully Achieved",I102)))</formula>
    </cfRule>
    <cfRule type="containsText" dxfId="1916" priority="2014" operator="containsText" text="Fully Achieved">
      <formula>NOT(ISERROR(SEARCH("Fully Achieved",I102)))</formula>
    </cfRule>
    <cfRule type="containsText" dxfId="1915" priority="2015" operator="containsText" text="Deferred">
      <formula>NOT(ISERROR(SEARCH("Deferred",I102)))</formula>
    </cfRule>
    <cfRule type="containsText" dxfId="1914" priority="2016" operator="containsText" text="Deleted">
      <formula>NOT(ISERROR(SEARCH("Deleted",I102)))</formula>
    </cfRule>
    <cfRule type="containsText" dxfId="1913" priority="2017" operator="containsText" text="In Danger of Falling Behind Target">
      <formula>NOT(ISERROR(SEARCH("In Danger of Falling Behind Target",I102)))</formula>
    </cfRule>
    <cfRule type="containsText" dxfId="1912" priority="2018" operator="containsText" text="Not yet due">
      <formula>NOT(ISERROR(SEARCH("Not yet due",I102)))</formula>
    </cfRule>
    <cfRule type="containsText" dxfId="1911" priority="2019" operator="containsText" text="Update not Provided">
      <formula>NOT(ISERROR(SEARCH("Update not Provided",I102)))</formula>
    </cfRule>
  </conditionalFormatting>
  <conditionalFormatting sqref="I114:I115">
    <cfRule type="containsText" dxfId="1910" priority="1948" operator="containsText" text="On track to be achieved">
      <formula>NOT(ISERROR(SEARCH("On track to be achieved",I114)))</formula>
    </cfRule>
    <cfRule type="containsText" dxfId="1909" priority="1949" operator="containsText" text="Deferred">
      <formula>NOT(ISERROR(SEARCH("Deferred",I114)))</formula>
    </cfRule>
    <cfRule type="containsText" dxfId="1908" priority="1950" operator="containsText" text="Deleted">
      <formula>NOT(ISERROR(SEARCH("Deleted",I114)))</formula>
    </cfRule>
    <cfRule type="containsText" dxfId="1907" priority="1951" operator="containsText" text="In Danger of Falling Behind Target">
      <formula>NOT(ISERROR(SEARCH("In Danger of Falling Behind Target",I114)))</formula>
    </cfRule>
    <cfRule type="containsText" dxfId="1906" priority="1952" operator="containsText" text="Not yet due">
      <formula>NOT(ISERROR(SEARCH("Not yet due",I114)))</formula>
    </cfRule>
    <cfRule type="containsText" dxfId="1905" priority="1953" operator="containsText" text="Update not Provided">
      <formula>NOT(ISERROR(SEARCH("Update not Provided",I114)))</formula>
    </cfRule>
    <cfRule type="containsText" dxfId="1904" priority="1954" operator="containsText" text="Not yet due">
      <formula>NOT(ISERROR(SEARCH("Not yet due",I114)))</formula>
    </cfRule>
    <cfRule type="containsText" dxfId="1903" priority="1955" operator="containsText" text="Completed Behind Schedule">
      <formula>NOT(ISERROR(SEARCH("Completed Behind Schedule",I114)))</formula>
    </cfRule>
    <cfRule type="containsText" dxfId="1902" priority="1956" operator="containsText" text="Off Target">
      <formula>NOT(ISERROR(SEARCH("Off Target",I114)))</formula>
    </cfRule>
    <cfRule type="containsText" dxfId="1901" priority="1957" operator="containsText" text="On Track to be Achieved">
      <formula>NOT(ISERROR(SEARCH("On Track to be Achieved",I114)))</formula>
    </cfRule>
    <cfRule type="containsText" dxfId="1900" priority="1958" operator="containsText" text="Fully Achieved">
      <formula>NOT(ISERROR(SEARCH("Fully Achieved",I114)))</formula>
    </cfRule>
    <cfRule type="containsText" dxfId="1899" priority="1959" operator="containsText" text="Not yet due">
      <formula>NOT(ISERROR(SEARCH("Not yet due",I114)))</formula>
    </cfRule>
    <cfRule type="containsText" dxfId="1898" priority="1960" operator="containsText" text="Not Yet Due">
      <formula>NOT(ISERROR(SEARCH("Not Yet Due",I114)))</formula>
    </cfRule>
    <cfRule type="containsText" dxfId="1897" priority="1961" operator="containsText" text="Deferred">
      <formula>NOT(ISERROR(SEARCH("Deferred",I114)))</formula>
    </cfRule>
    <cfRule type="containsText" dxfId="1896" priority="1962" operator="containsText" text="Deleted">
      <formula>NOT(ISERROR(SEARCH("Deleted",I114)))</formula>
    </cfRule>
    <cfRule type="containsText" dxfId="1895" priority="1963" operator="containsText" text="In Danger of Falling Behind Target">
      <formula>NOT(ISERROR(SEARCH("In Danger of Falling Behind Target",I114)))</formula>
    </cfRule>
    <cfRule type="containsText" dxfId="1894" priority="1964" operator="containsText" text="Not yet due">
      <formula>NOT(ISERROR(SEARCH("Not yet due",I114)))</formula>
    </cfRule>
    <cfRule type="containsText" dxfId="1893" priority="1965" operator="containsText" text="Completed Behind Schedule">
      <formula>NOT(ISERROR(SEARCH("Completed Behind Schedule",I114)))</formula>
    </cfRule>
    <cfRule type="containsText" dxfId="1892" priority="1966" operator="containsText" text="Off Target">
      <formula>NOT(ISERROR(SEARCH("Off Target",I114)))</formula>
    </cfRule>
    <cfRule type="containsText" dxfId="1891" priority="1967" operator="containsText" text="In Danger of Falling Behind Target">
      <formula>NOT(ISERROR(SEARCH("In Danger of Falling Behind Target",I114)))</formula>
    </cfRule>
    <cfRule type="containsText" dxfId="1890" priority="1968" operator="containsText" text="On Track to be Achieved">
      <formula>NOT(ISERROR(SEARCH("On Track to be Achieved",I114)))</formula>
    </cfRule>
    <cfRule type="containsText" dxfId="1889" priority="1969" operator="containsText" text="Fully Achieved">
      <formula>NOT(ISERROR(SEARCH("Fully Achieved",I114)))</formula>
    </cfRule>
    <cfRule type="containsText" dxfId="1888" priority="1970" operator="containsText" text="Update not Provided">
      <formula>NOT(ISERROR(SEARCH("Update not Provided",I114)))</formula>
    </cfRule>
    <cfRule type="containsText" dxfId="1887" priority="1971" operator="containsText" text="Not yet due">
      <formula>NOT(ISERROR(SEARCH("Not yet due",I114)))</formula>
    </cfRule>
    <cfRule type="containsText" dxfId="1886" priority="1972" operator="containsText" text="Completed Behind Schedule">
      <formula>NOT(ISERROR(SEARCH("Completed Behind Schedule",I114)))</formula>
    </cfRule>
    <cfRule type="containsText" dxfId="1885" priority="1973" operator="containsText" text="Off Target">
      <formula>NOT(ISERROR(SEARCH("Off Target",I114)))</formula>
    </cfRule>
    <cfRule type="containsText" dxfId="1884" priority="1974" operator="containsText" text="In Danger of Falling Behind Target">
      <formula>NOT(ISERROR(SEARCH("In Danger of Falling Behind Target",I114)))</formula>
    </cfRule>
    <cfRule type="containsText" dxfId="1883" priority="1975" operator="containsText" text="On Track to be Achieved">
      <formula>NOT(ISERROR(SEARCH("On Track to be Achieved",I114)))</formula>
    </cfRule>
    <cfRule type="containsText" dxfId="1882" priority="1976" operator="containsText" text="Fully Achieved">
      <formula>NOT(ISERROR(SEARCH("Fully Achieved",I114)))</formula>
    </cfRule>
    <cfRule type="containsText" dxfId="1881" priority="1977" operator="containsText" text="Fully Achieved">
      <formula>NOT(ISERROR(SEARCH("Fully Achieved",I114)))</formula>
    </cfRule>
    <cfRule type="containsText" dxfId="1880" priority="1978" operator="containsText" text="Fully Achieved">
      <formula>NOT(ISERROR(SEARCH("Fully Achieved",I114)))</formula>
    </cfRule>
    <cfRule type="containsText" dxfId="1879" priority="1979" operator="containsText" text="Deferred">
      <formula>NOT(ISERROR(SEARCH("Deferred",I114)))</formula>
    </cfRule>
    <cfRule type="containsText" dxfId="1878" priority="1980" operator="containsText" text="Deleted">
      <formula>NOT(ISERROR(SEARCH("Deleted",I114)))</formula>
    </cfRule>
    <cfRule type="containsText" dxfId="1877" priority="1981" operator="containsText" text="In Danger of Falling Behind Target">
      <formula>NOT(ISERROR(SEARCH("In Danger of Falling Behind Target",I114)))</formula>
    </cfRule>
    <cfRule type="containsText" dxfId="1876" priority="1982" operator="containsText" text="Not yet due">
      <formula>NOT(ISERROR(SEARCH("Not yet due",I114)))</formula>
    </cfRule>
    <cfRule type="containsText" dxfId="1875" priority="1983" operator="containsText" text="Update not Provided">
      <formula>NOT(ISERROR(SEARCH("Update not Provided",I114)))</formula>
    </cfRule>
  </conditionalFormatting>
  <conditionalFormatting sqref="I117:I122">
    <cfRule type="containsText" dxfId="1874" priority="1912" operator="containsText" text="On track to be achieved">
      <formula>NOT(ISERROR(SEARCH("On track to be achieved",I117)))</formula>
    </cfRule>
    <cfRule type="containsText" dxfId="1873" priority="1913" operator="containsText" text="Deferred">
      <formula>NOT(ISERROR(SEARCH("Deferred",I117)))</formula>
    </cfRule>
    <cfRule type="containsText" dxfId="1872" priority="1914" operator="containsText" text="Deleted">
      <formula>NOT(ISERROR(SEARCH("Deleted",I117)))</formula>
    </cfRule>
    <cfRule type="containsText" dxfId="1871" priority="1915" operator="containsText" text="In Danger of Falling Behind Target">
      <formula>NOT(ISERROR(SEARCH("In Danger of Falling Behind Target",I117)))</formula>
    </cfRule>
    <cfRule type="containsText" dxfId="1870" priority="1916" operator="containsText" text="Not yet due">
      <formula>NOT(ISERROR(SEARCH("Not yet due",I117)))</formula>
    </cfRule>
    <cfRule type="containsText" dxfId="1869" priority="1917" operator="containsText" text="Update not Provided">
      <formula>NOT(ISERROR(SEARCH("Update not Provided",I117)))</formula>
    </cfRule>
    <cfRule type="containsText" dxfId="1868" priority="1918" operator="containsText" text="Not yet due">
      <formula>NOT(ISERROR(SEARCH("Not yet due",I117)))</formula>
    </cfRule>
    <cfRule type="containsText" dxfId="1867" priority="1919" operator="containsText" text="Completed Behind Schedule">
      <formula>NOT(ISERROR(SEARCH("Completed Behind Schedule",I117)))</formula>
    </cfRule>
    <cfRule type="containsText" dxfId="1866" priority="1920" operator="containsText" text="Off Target">
      <formula>NOT(ISERROR(SEARCH("Off Target",I117)))</formula>
    </cfRule>
    <cfRule type="containsText" dxfId="1865" priority="1921" operator="containsText" text="On Track to be Achieved">
      <formula>NOT(ISERROR(SEARCH("On Track to be Achieved",I117)))</formula>
    </cfRule>
    <cfRule type="containsText" dxfId="1864" priority="1922" operator="containsText" text="Fully Achieved">
      <formula>NOT(ISERROR(SEARCH("Fully Achieved",I117)))</formula>
    </cfRule>
    <cfRule type="containsText" dxfId="1863" priority="1923" operator="containsText" text="Not yet due">
      <formula>NOT(ISERROR(SEARCH("Not yet due",I117)))</formula>
    </cfRule>
    <cfRule type="containsText" dxfId="1862" priority="1924" operator="containsText" text="Not Yet Due">
      <formula>NOT(ISERROR(SEARCH("Not Yet Due",I117)))</formula>
    </cfRule>
    <cfRule type="containsText" dxfId="1861" priority="1925" operator="containsText" text="Deferred">
      <formula>NOT(ISERROR(SEARCH("Deferred",I117)))</formula>
    </cfRule>
    <cfRule type="containsText" dxfId="1860" priority="1926" operator="containsText" text="Deleted">
      <formula>NOT(ISERROR(SEARCH("Deleted",I117)))</formula>
    </cfRule>
    <cfRule type="containsText" dxfId="1859" priority="1927" operator="containsText" text="In Danger of Falling Behind Target">
      <formula>NOT(ISERROR(SEARCH("In Danger of Falling Behind Target",I117)))</formula>
    </cfRule>
    <cfRule type="containsText" dxfId="1858" priority="1928" operator="containsText" text="Not yet due">
      <formula>NOT(ISERROR(SEARCH("Not yet due",I117)))</formula>
    </cfRule>
    <cfRule type="containsText" dxfId="1857" priority="1929" operator="containsText" text="Completed Behind Schedule">
      <formula>NOT(ISERROR(SEARCH("Completed Behind Schedule",I117)))</formula>
    </cfRule>
    <cfRule type="containsText" dxfId="1856" priority="1930" operator="containsText" text="Off Target">
      <formula>NOT(ISERROR(SEARCH("Off Target",I117)))</formula>
    </cfRule>
    <cfRule type="containsText" dxfId="1855" priority="1931" operator="containsText" text="In Danger of Falling Behind Target">
      <formula>NOT(ISERROR(SEARCH("In Danger of Falling Behind Target",I117)))</formula>
    </cfRule>
    <cfRule type="containsText" dxfId="1854" priority="1932" operator="containsText" text="On Track to be Achieved">
      <formula>NOT(ISERROR(SEARCH("On Track to be Achieved",I117)))</formula>
    </cfRule>
    <cfRule type="containsText" dxfId="1853" priority="1933" operator="containsText" text="Fully Achieved">
      <formula>NOT(ISERROR(SEARCH("Fully Achieved",I117)))</formula>
    </cfRule>
    <cfRule type="containsText" dxfId="1852" priority="1934" operator="containsText" text="Update not Provided">
      <formula>NOT(ISERROR(SEARCH("Update not Provided",I117)))</formula>
    </cfRule>
    <cfRule type="containsText" dxfId="1851" priority="1935" operator="containsText" text="Not yet due">
      <formula>NOT(ISERROR(SEARCH("Not yet due",I117)))</formula>
    </cfRule>
    <cfRule type="containsText" dxfId="1850" priority="1936" operator="containsText" text="Completed Behind Schedule">
      <formula>NOT(ISERROR(SEARCH("Completed Behind Schedule",I117)))</formula>
    </cfRule>
    <cfRule type="containsText" dxfId="1849" priority="1937" operator="containsText" text="Off Target">
      <formula>NOT(ISERROR(SEARCH("Off Target",I117)))</formula>
    </cfRule>
    <cfRule type="containsText" dxfId="1848" priority="1938" operator="containsText" text="In Danger of Falling Behind Target">
      <formula>NOT(ISERROR(SEARCH("In Danger of Falling Behind Target",I117)))</formula>
    </cfRule>
    <cfRule type="containsText" dxfId="1847" priority="1939" operator="containsText" text="On Track to be Achieved">
      <formula>NOT(ISERROR(SEARCH("On Track to be Achieved",I117)))</formula>
    </cfRule>
    <cfRule type="containsText" dxfId="1846" priority="1940" operator="containsText" text="Fully Achieved">
      <formula>NOT(ISERROR(SEARCH("Fully Achieved",I117)))</formula>
    </cfRule>
    <cfRule type="containsText" dxfId="1845" priority="1941" operator="containsText" text="Fully Achieved">
      <formula>NOT(ISERROR(SEARCH("Fully Achieved",I117)))</formula>
    </cfRule>
    <cfRule type="containsText" dxfId="1844" priority="1942" operator="containsText" text="Fully Achieved">
      <formula>NOT(ISERROR(SEARCH("Fully Achieved",I117)))</formula>
    </cfRule>
    <cfRule type="containsText" dxfId="1843" priority="1943" operator="containsText" text="Deferred">
      <formula>NOT(ISERROR(SEARCH("Deferred",I117)))</formula>
    </cfRule>
    <cfRule type="containsText" dxfId="1842" priority="1944" operator="containsText" text="Deleted">
      <formula>NOT(ISERROR(SEARCH("Deleted",I117)))</formula>
    </cfRule>
    <cfRule type="containsText" dxfId="1841" priority="1945" operator="containsText" text="In Danger of Falling Behind Target">
      <formula>NOT(ISERROR(SEARCH("In Danger of Falling Behind Target",I117)))</formula>
    </cfRule>
    <cfRule type="containsText" dxfId="1840" priority="1946" operator="containsText" text="Not yet due">
      <formula>NOT(ISERROR(SEARCH("Not yet due",I117)))</formula>
    </cfRule>
    <cfRule type="containsText" dxfId="1839" priority="1947" operator="containsText" text="Update not Provided">
      <formula>NOT(ISERROR(SEARCH("Update not Provided",I117)))</formula>
    </cfRule>
  </conditionalFormatting>
  <conditionalFormatting sqref="J4:J127">
    <cfRule type="containsText" dxfId="1838" priority="1909" operator="containsText" text="reasonable tolerance">
      <formula>NOT(ISERROR(SEARCH("reasonable tolerance",J4)))</formula>
    </cfRule>
    <cfRule type="containsText" dxfId="1837" priority="1910" operator="containsText" text="significantly after">
      <formula>NOT(ISERROR(SEARCH("significantly after",J4)))</formula>
    </cfRule>
    <cfRule type="containsText" dxfId="1836" priority="1911" operator="containsText" text="10% tolerance">
      <formula>NOT(ISERROR(SEARCH("10% tolerance",J4)))</formula>
    </cfRule>
  </conditionalFormatting>
  <conditionalFormatting sqref="E5:E7">
    <cfRule type="containsText" dxfId="1835" priority="1873" operator="containsText" text="On track to be achieved">
      <formula>NOT(ISERROR(SEARCH("On track to be achieved",E5)))</formula>
    </cfRule>
    <cfRule type="containsText" dxfId="1834" priority="1874" operator="containsText" text="Deferred">
      <formula>NOT(ISERROR(SEARCH("Deferred",E5)))</formula>
    </cfRule>
    <cfRule type="containsText" dxfId="1833" priority="1875" operator="containsText" text="Deleted">
      <formula>NOT(ISERROR(SEARCH("Deleted",E5)))</formula>
    </cfRule>
    <cfRule type="containsText" dxfId="1832" priority="1876" operator="containsText" text="In Danger of Falling Behind Target">
      <formula>NOT(ISERROR(SEARCH("In Danger of Falling Behind Target",E5)))</formula>
    </cfRule>
    <cfRule type="containsText" dxfId="1831" priority="1877" operator="containsText" text="Not yet due">
      <formula>NOT(ISERROR(SEARCH("Not yet due",E5)))</formula>
    </cfRule>
    <cfRule type="containsText" dxfId="1830" priority="1878" operator="containsText" text="Update not Provided">
      <formula>NOT(ISERROR(SEARCH("Update not Provided",E5)))</formula>
    </cfRule>
    <cfRule type="containsText" dxfId="1829" priority="1879" operator="containsText" text="Not yet due">
      <formula>NOT(ISERROR(SEARCH("Not yet due",E5)))</formula>
    </cfRule>
    <cfRule type="containsText" dxfId="1828" priority="1880" operator="containsText" text="Completed Behind Schedule">
      <formula>NOT(ISERROR(SEARCH("Completed Behind Schedule",E5)))</formula>
    </cfRule>
    <cfRule type="containsText" dxfId="1827" priority="1881" operator="containsText" text="Off Target">
      <formula>NOT(ISERROR(SEARCH("Off Target",E5)))</formula>
    </cfRule>
    <cfRule type="containsText" dxfId="1826" priority="1882" operator="containsText" text="On Track to be Achieved">
      <formula>NOT(ISERROR(SEARCH("On Track to be Achieved",E5)))</formula>
    </cfRule>
    <cfRule type="containsText" dxfId="1825" priority="1883" operator="containsText" text="Fully Achieved">
      <formula>NOT(ISERROR(SEARCH("Fully Achieved",E5)))</formula>
    </cfRule>
    <cfRule type="containsText" dxfId="1824" priority="1884" operator="containsText" text="Not yet due">
      <formula>NOT(ISERROR(SEARCH("Not yet due",E5)))</formula>
    </cfRule>
    <cfRule type="containsText" dxfId="1823" priority="1885" operator="containsText" text="Not Yet Due">
      <formula>NOT(ISERROR(SEARCH("Not Yet Due",E5)))</formula>
    </cfRule>
    <cfRule type="containsText" dxfId="1822" priority="1886" operator="containsText" text="Deferred">
      <formula>NOT(ISERROR(SEARCH("Deferred",E5)))</formula>
    </cfRule>
    <cfRule type="containsText" dxfId="1821" priority="1887" operator="containsText" text="Deleted">
      <formula>NOT(ISERROR(SEARCH("Deleted",E5)))</formula>
    </cfRule>
    <cfRule type="containsText" dxfId="1820" priority="1888" operator="containsText" text="In Danger of Falling Behind Target">
      <formula>NOT(ISERROR(SEARCH("In Danger of Falling Behind Target",E5)))</formula>
    </cfRule>
    <cfRule type="containsText" dxfId="1819" priority="1889" operator="containsText" text="Not yet due">
      <formula>NOT(ISERROR(SEARCH("Not yet due",E5)))</formula>
    </cfRule>
    <cfRule type="containsText" dxfId="1818" priority="1890" operator="containsText" text="Completed Behind Schedule">
      <formula>NOT(ISERROR(SEARCH("Completed Behind Schedule",E5)))</formula>
    </cfRule>
    <cfRule type="containsText" dxfId="1817" priority="1891" operator="containsText" text="Off Target">
      <formula>NOT(ISERROR(SEARCH("Off Target",E5)))</formula>
    </cfRule>
    <cfRule type="containsText" dxfId="1816" priority="1892" operator="containsText" text="In Danger of Falling Behind Target">
      <formula>NOT(ISERROR(SEARCH("In Danger of Falling Behind Target",E5)))</formula>
    </cfRule>
    <cfRule type="containsText" dxfId="1815" priority="1893" operator="containsText" text="On Track to be Achieved">
      <formula>NOT(ISERROR(SEARCH("On Track to be Achieved",E5)))</formula>
    </cfRule>
    <cfRule type="containsText" dxfId="1814" priority="1894" operator="containsText" text="Fully Achieved">
      <formula>NOT(ISERROR(SEARCH("Fully Achieved",E5)))</formula>
    </cfRule>
    <cfRule type="containsText" dxfId="1813" priority="1895" operator="containsText" text="Update not Provided">
      <formula>NOT(ISERROR(SEARCH("Update not Provided",E5)))</formula>
    </cfRule>
    <cfRule type="containsText" dxfId="1812" priority="1896" operator="containsText" text="Not yet due">
      <formula>NOT(ISERROR(SEARCH("Not yet due",E5)))</formula>
    </cfRule>
    <cfRule type="containsText" dxfId="1811" priority="1897" operator="containsText" text="Completed Behind Schedule">
      <formula>NOT(ISERROR(SEARCH("Completed Behind Schedule",E5)))</formula>
    </cfRule>
    <cfRule type="containsText" dxfId="1810" priority="1898" operator="containsText" text="Off Target">
      <formula>NOT(ISERROR(SEARCH("Off Target",E5)))</formula>
    </cfRule>
    <cfRule type="containsText" dxfId="1809" priority="1899" operator="containsText" text="In Danger of Falling Behind Target">
      <formula>NOT(ISERROR(SEARCH("In Danger of Falling Behind Target",E5)))</formula>
    </cfRule>
    <cfRule type="containsText" dxfId="1808" priority="1900" operator="containsText" text="On Track to be Achieved">
      <formula>NOT(ISERROR(SEARCH("On Track to be Achieved",E5)))</formula>
    </cfRule>
    <cfRule type="containsText" dxfId="1807" priority="1901" operator="containsText" text="Fully Achieved">
      <formula>NOT(ISERROR(SEARCH("Fully Achieved",E5)))</formula>
    </cfRule>
    <cfRule type="containsText" dxfId="1806" priority="1902" operator="containsText" text="Fully Achieved">
      <formula>NOT(ISERROR(SEARCH("Fully Achieved",E5)))</formula>
    </cfRule>
    <cfRule type="containsText" dxfId="1805" priority="1903" operator="containsText" text="Fully Achieved">
      <formula>NOT(ISERROR(SEARCH("Fully Achieved",E5)))</formula>
    </cfRule>
    <cfRule type="containsText" dxfId="1804" priority="1904" operator="containsText" text="Deferred">
      <formula>NOT(ISERROR(SEARCH("Deferred",E5)))</formula>
    </cfRule>
    <cfRule type="containsText" dxfId="1803" priority="1905" operator="containsText" text="Deleted">
      <formula>NOT(ISERROR(SEARCH("Deleted",E5)))</formula>
    </cfRule>
    <cfRule type="containsText" dxfId="1802" priority="1906" operator="containsText" text="In Danger of Falling Behind Target">
      <formula>NOT(ISERROR(SEARCH("In Danger of Falling Behind Target",E5)))</formula>
    </cfRule>
    <cfRule type="containsText" dxfId="1801" priority="1907" operator="containsText" text="Not yet due">
      <formula>NOT(ISERROR(SEARCH("Not yet due",E5)))</formula>
    </cfRule>
    <cfRule type="containsText" dxfId="1800" priority="1908" operator="containsText" text="Update not Provided">
      <formula>NOT(ISERROR(SEARCH("Update not Provided",E5)))</formula>
    </cfRule>
  </conditionalFormatting>
  <conditionalFormatting sqref="E9">
    <cfRule type="containsText" dxfId="1799" priority="1837" operator="containsText" text="On track to be achieved">
      <formula>NOT(ISERROR(SEARCH("On track to be achieved",E9)))</formula>
    </cfRule>
    <cfRule type="containsText" dxfId="1798" priority="1838" operator="containsText" text="Deferred">
      <formula>NOT(ISERROR(SEARCH("Deferred",E9)))</formula>
    </cfRule>
    <cfRule type="containsText" dxfId="1797" priority="1839" operator="containsText" text="Deleted">
      <formula>NOT(ISERROR(SEARCH("Deleted",E9)))</formula>
    </cfRule>
    <cfRule type="containsText" dxfId="1796" priority="1840" operator="containsText" text="In Danger of Falling Behind Target">
      <formula>NOT(ISERROR(SEARCH("In Danger of Falling Behind Target",E9)))</formula>
    </cfRule>
    <cfRule type="containsText" dxfId="1795" priority="1841" operator="containsText" text="Not yet due">
      <formula>NOT(ISERROR(SEARCH("Not yet due",E9)))</formula>
    </cfRule>
    <cfRule type="containsText" dxfId="1794" priority="1842" operator="containsText" text="Update not Provided">
      <formula>NOT(ISERROR(SEARCH("Update not Provided",E9)))</formula>
    </cfRule>
    <cfRule type="containsText" dxfId="1793" priority="1843" operator="containsText" text="Not yet due">
      <formula>NOT(ISERROR(SEARCH("Not yet due",E9)))</formula>
    </cfRule>
    <cfRule type="containsText" dxfId="1792" priority="1844" operator="containsText" text="Completed Behind Schedule">
      <formula>NOT(ISERROR(SEARCH("Completed Behind Schedule",E9)))</formula>
    </cfRule>
    <cfRule type="containsText" dxfId="1791" priority="1845" operator="containsText" text="Off Target">
      <formula>NOT(ISERROR(SEARCH("Off Target",E9)))</formula>
    </cfRule>
    <cfRule type="containsText" dxfId="1790" priority="1846" operator="containsText" text="On Track to be Achieved">
      <formula>NOT(ISERROR(SEARCH("On Track to be Achieved",E9)))</formula>
    </cfRule>
    <cfRule type="containsText" dxfId="1789" priority="1847" operator="containsText" text="Fully Achieved">
      <formula>NOT(ISERROR(SEARCH("Fully Achieved",E9)))</formula>
    </cfRule>
    <cfRule type="containsText" dxfId="1788" priority="1848" operator="containsText" text="Not yet due">
      <formula>NOT(ISERROR(SEARCH("Not yet due",E9)))</formula>
    </cfRule>
    <cfRule type="containsText" dxfId="1787" priority="1849" operator="containsText" text="Not Yet Due">
      <formula>NOT(ISERROR(SEARCH("Not Yet Due",E9)))</formula>
    </cfRule>
    <cfRule type="containsText" dxfId="1786" priority="1850" operator="containsText" text="Deferred">
      <formula>NOT(ISERROR(SEARCH("Deferred",E9)))</formula>
    </cfRule>
    <cfRule type="containsText" dxfId="1785" priority="1851" operator="containsText" text="Deleted">
      <formula>NOT(ISERROR(SEARCH("Deleted",E9)))</formula>
    </cfRule>
    <cfRule type="containsText" dxfId="1784" priority="1852" operator="containsText" text="In Danger of Falling Behind Target">
      <formula>NOT(ISERROR(SEARCH("In Danger of Falling Behind Target",E9)))</formula>
    </cfRule>
    <cfRule type="containsText" dxfId="1783" priority="1853" operator="containsText" text="Not yet due">
      <formula>NOT(ISERROR(SEARCH("Not yet due",E9)))</formula>
    </cfRule>
    <cfRule type="containsText" dxfId="1782" priority="1854" operator="containsText" text="Completed Behind Schedule">
      <formula>NOT(ISERROR(SEARCH("Completed Behind Schedule",E9)))</formula>
    </cfRule>
    <cfRule type="containsText" dxfId="1781" priority="1855" operator="containsText" text="Off Target">
      <formula>NOT(ISERROR(SEARCH("Off Target",E9)))</formula>
    </cfRule>
    <cfRule type="containsText" dxfId="1780" priority="1856" operator="containsText" text="In Danger of Falling Behind Target">
      <formula>NOT(ISERROR(SEARCH("In Danger of Falling Behind Target",E9)))</formula>
    </cfRule>
    <cfRule type="containsText" dxfId="1779" priority="1857" operator="containsText" text="On Track to be Achieved">
      <formula>NOT(ISERROR(SEARCH("On Track to be Achieved",E9)))</formula>
    </cfRule>
    <cfRule type="containsText" dxfId="1778" priority="1858" operator="containsText" text="Fully Achieved">
      <formula>NOT(ISERROR(SEARCH("Fully Achieved",E9)))</formula>
    </cfRule>
    <cfRule type="containsText" dxfId="1777" priority="1859" operator="containsText" text="Update not Provided">
      <formula>NOT(ISERROR(SEARCH("Update not Provided",E9)))</formula>
    </cfRule>
    <cfRule type="containsText" dxfId="1776" priority="1860" operator="containsText" text="Not yet due">
      <formula>NOT(ISERROR(SEARCH("Not yet due",E9)))</formula>
    </cfRule>
    <cfRule type="containsText" dxfId="1775" priority="1861" operator="containsText" text="Completed Behind Schedule">
      <formula>NOT(ISERROR(SEARCH("Completed Behind Schedule",E9)))</formula>
    </cfRule>
    <cfRule type="containsText" dxfId="1774" priority="1862" operator="containsText" text="Off Target">
      <formula>NOT(ISERROR(SEARCH("Off Target",E9)))</formula>
    </cfRule>
    <cfRule type="containsText" dxfId="1773" priority="1863" operator="containsText" text="In Danger of Falling Behind Target">
      <formula>NOT(ISERROR(SEARCH("In Danger of Falling Behind Target",E9)))</formula>
    </cfRule>
    <cfRule type="containsText" dxfId="1772" priority="1864" operator="containsText" text="On Track to be Achieved">
      <formula>NOT(ISERROR(SEARCH("On Track to be Achieved",E9)))</formula>
    </cfRule>
    <cfRule type="containsText" dxfId="1771" priority="1865" operator="containsText" text="Fully Achieved">
      <formula>NOT(ISERROR(SEARCH("Fully Achieved",E9)))</formula>
    </cfRule>
    <cfRule type="containsText" dxfId="1770" priority="1866" operator="containsText" text="Fully Achieved">
      <formula>NOT(ISERROR(SEARCH("Fully Achieved",E9)))</formula>
    </cfRule>
    <cfRule type="containsText" dxfId="1769" priority="1867" operator="containsText" text="Fully Achieved">
      <formula>NOT(ISERROR(SEARCH("Fully Achieved",E9)))</formula>
    </cfRule>
    <cfRule type="containsText" dxfId="1768" priority="1868" operator="containsText" text="Deferred">
      <formula>NOT(ISERROR(SEARCH("Deferred",E9)))</formula>
    </cfRule>
    <cfRule type="containsText" dxfId="1767" priority="1869" operator="containsText" text="Deleted">
      <formula>NOT(ISERROR(SEARCH("Deleted",E9)))</formula>
    </cfRule>
    <cfRule type="containsText" dxfId="1766" priority="1870" operator="containsText" text="In Danger of Falling Behind Target">
      <formula>NOT(ISERROR(SEARCH("In Danger of Falling Behind Target",E9)))</formula>
    </cfRule>
    <cfRule type="containsText" dxfId="1765" priority="1871" operator="containsText" text="Not yet due">
      <formula>NOT(ISERROR(SEARCH("Not yet due",E9)))</formula>
    </cfRule>
    <cfRule type="containsText" dxfId="1764" priority="1872" operator="containsText" text="Update not Provided">
      <formula>NOT(ISERROR(SEARCH("Update not Provided",E9)))</formula>
    </cfRule>
  </conditionalFormatting>
  <conditionalFormatting sqref="E13:E19">
    <cfRule type="containsText" dxfId="1763" priority="1801" operator="containsText" text="On track to be achieved">
      <formula>NOT(ISERROR(SEARCH("On track to be achieved",E13)))</formula>
    </cfRule>
    <cfRule type="containsText" dxfId="1762" priority="1802" operator="containsText" text="Deferred">
      <formula>NOT(ISERROR(SEARCH("Deferred",E13)))</formula>
    </cfRule>
    <cfRule type="containsText" dxfId="1761" priority="1803" operator="containsText" text="Deleted">
      <formula>NOT(ISERROR(SEARCH("Deleted",E13)))</formula>
    </cfRule>
    <cfRule type="containsText" dxfId="1760" priority="1804" operator="containsText" text="In Danger of Falling Behind Target">
      <formula>NOT(ISERROR(SEARCH("In Danger of Falling Behind Target",E13)))</formula>
    </cfRule>
    <cfRule type="containsText" dxfId="1759" priority="1805" operator="containsText" text="Not yet due">
      <formula>NOT(ISERROR(SEARCH("Not yet due",E13)))</formula>
    </cfRule>
    <cfRule type="containsText" dxfId="1758" priority="1806" operator="containsText" text="Update not Provided">
      <formula>NOT(ISERROR(SEARCH("Update not Provided",E13)))</formula>
    </cfRule>
    <cfRule type="containsText" dxfId="1757" priority="1807" operator="containsText" text="Not yet due">
      <formula>NOT(ISERROR(SEARCH("Not yet due",E13)))</formula>
    </cfRule>
    <cfRule type="containsText" dxfId="1756" priority="1808" operator="containsText" text="Completed Behind Schedule">
      <formula>NOT(ISERROR(SEARCH("Completed Behind Schedule",E13)))</formula>
    </cfRule>
    <cfRule type="containsText" dxfId="1755" priority="1809" operator="containsText" text="Off Target">
      <formula>NOT(ISERROR(SEARCH("Off Target",E13)))</formula>
    </cfRule>
    <cfRule type="containsText" dxfId="1754" priority="1810" operator="containsText" text="On Track to be Achieved">
      <formula>NOT(ISERROR(SEARCH("On Track to be Achieved",E13)))</formula>
    </cfRule>
    <cfRule type="containsText" dxfId="1753" priority="1811" operator="containsText" text="Fully Achieved">
      <formula>NOT(ISERROR(SEARCH("Fully Achieved",E13)))</formula>
    </cfRule>
    <cfRule type="containsText" dxfId="1752" priority="1812" operator="containsText" text="Not yet due">
      <formula>NOT(ISERROR(SEARCH("Not yet due",E13)))</formula>
    </cfRule>
    <cfRule type="containsText" dxfId="1751" priority="1813" operator="containsText" text="Not Yet Due">
      <formula>NOT(ISERROR(SEARCH("Not Yet Due",E13)))</formula>
    </cfRule>
    <cfRule type="containsText" dxfId="1750" priority="1814" operator="containsText" text="Deferred">
      <formula>NOT(ISERROR(SEARCH("Deferred",E13)))</formula>
    </cfRule>
    <cfRule type="containsText" dxfId="1749" priority="1815" operator="containsText" text="Deleted">
      <formula>NOT(ISERROR(SEARCH("Deleted",E13)))</formula>
    </cfRule>
    <cfRule type="containsText" dxfId="1748" priority="1816" operator="containsText" text="In Danger of Falling Behind Target">
      <formula>NOT(ISERROR(SEARCH("In Danger of Falling Behind Target",E13)))</formula>
    </cfRule>
    <cfRule type="containsText" dxfId="1747" priority="1817" operator="containsText" text="Not yet due">
      <formula>NOT(ISERROR(SEARCH("Not yet due",E13)))</formula>
    </cfRule>
    <cfRule type="containsText" dxfId="1746" priority="1818" operator="containsText" text="Completed Behind Schedule">
      <formula>NOT(ISERROR(SEARCH("Completed Behind Schedule",E13)))</formula>
    </cfRule>
    <cfRule type="containsText" dxfId="1745" priority="1819" operator="containsText" text="Off Target">
      <formula>NOT(ISERROR(SEARCH("Off Target",E13)))</formula>
    </cfRule>
    <cfRule type="containsText" dxfId="1744" priority="1820" operator="containsText" text="In Danger of Falling Behind Target">
      <formula>NOT(ISERROR(SEARCH("In Danger of Falling Behind Target",E13)))</formula>
    </cfRule>
    <cfRule type="containsText" dxfId="1743" priority="1821" operator="containsText" text="On Track to be Achieved">
      <formula>NOT(ISERROR(SEARCH("On Track to be Achieved",E13)))</formula>
    </cfRule>
    <cfRule type="containsText" dxfId="1742" priority="1822" operator="containsText" text="Fully Achieved">
      <formula>NOT(ISERROR(SEARCH("Fully Achieved",E13)))</formula>
    </cfRule>
    <cfRule type="containsText" dxfId="1741" priority="1823" operator="containsText" text="Update not Provided">
      <formula>NOT(ISERROR(SEARCH("Update not Provided",E13)))</formula>
    </cfRule>
    <cfRule type="containsText" dxfId="1740" priority="1824" operator="containsText" text="Not yet due">
      <formula>NOT(ISERROR(SEARCH("Not yet due",E13)))</formula>
    </cfRule>
    <cfRule type="containsText" dxfId="1739" priority="1825" operator="containsText" text="Completed Behind Schedule">
      <formula>NOT(ISERROR(SEARCH("Completed Behind Schedule",E13)))</formula>
    </cfRule>
    <cfRule type="containsText" dxfId="1738" priority="1826" operator="containsText" text="Off Target">
      <formula>NOT(ISERROR(SEARCH("Off Target",E13)))</formula>
    </cfRule>
    <cfRule type="containsText" dxfId="1737" priority="1827" operator="containsText" text="In Danger of Falling Behind Target">
      <formula>NOT(ISERROR(SEARCH("In Danger of Falling Behind Target",E13)))</formula>
    </cfRule>
    <cfRule type="containsText" dxfId="1736" priority="1828" operator="containsText" text="On Track to be Achieved">
      <formula>NOT(ISERROR(SEARCH("On Track to be Achieved",E13)))</formula>
    </cfRule>
    <cfRule type="containsText" dxfId="1735" priority="1829" operator="containsText" text="Fully Achieved">
      <formula>NOT(ISERROR(SEARCH("Fully Achieved",E13)))</formula>
    </cfRule>
    <cfRule type="containsText" dxfId="1734" priority="1830" operator="containsText" text="Fully Achieved">
      <formula>NOT(ISERROR(SEARCH("Fully Achieved",E13)))</formula>
    </cfRule>
    <cfRule type="containsText" dxfId="1733" priority="1831" operator="containsText" text="Fully Achieved">
      <formula>NOT(ISERROR(SEARCH("Fully Achieved",E13)))</formula>
    </cfRule>
    <cfRule type="containsText" dxfId="1732" priority="1832" operator="containsText" text="Deferred">
      <formula>NOT(ISERROR(SEARCH("Deferred",E13)))</formula>
    </cfRule>
    <cfRule type="containsText" dxfId="1731" priority="1833" operator="containsText" text="Deleted">
      <formula>NOT(ISERROR(SEARCH("Deleted",E13)))</formula>
    </cfRule>
    <cfRule type="containsText" dxfId="1730" priority="1834" operator="containsText" text="In Danger of Falling Behind Target">
      <formula>NOT(ISERROR(SEARCH("In Danger of Falling Behind Target",E13)))</formula>
    </cfRule>
    <cfRule type="containsText" dxfId="1729" priority="1835" operator="containsText" text="Not yet due">
      <formula>NOT(ISERROR(SEARCH("Not yet due",E13)))</formula>
    </cfRule>
    <cfRule type="containsText" dxfId="1728" priority="1836" operator="containsText" text="Update not Provided">
      <formula>NOT(ISERROR(SEARCH("Update not Provided",E13)))</formula>
    </cfRule>
  </conditionalFormatting>
  <conditionalFormatting sqref="E22:E28">
    <cfRule type="containsText" dxfId="1727" priority="1765" operator="containsText" text="On track to be achieved">
      <formula>NOT(ISERROR(SEARCH("On track to be achieved",E22)))</formula>
    </cfRule>
    <cfRule type="containsText" dxfId="1726" priority="1766" operator="containsText" text="Deferred">
      <formula>NOT(ISERROR(SEARCH("Deferred",E22)))</formula>
    </cfRule>
    <cfRule type="containsText" dxfId="1725" priority="1767" operator="containsText" text="Deleted">
      <formula>NOT(ISERROR(SEARCH("Deleted",E22)))</formula>
    </cfRule>
    <cfRule type="containsText" dxfId="1724" priority="1768" operator="containsText" text="In Danger of Falling Behind Target">
      <formula>NOT(ISERROR(SEARCH("In Danger of Falling Behind Target",E22)))</formula>
    </cfRule>
    <cfRule type="containsText" dxfId="1723" priority="1769" operator="containsText" text="Not yet due">
      <formula>NOT(ISERROR(SEARCH("Not yet due",E22)))</formula>
    </cfRule>
    <cfRule type="containsText" dxfId="1722" priority="1770" operator="containsText" text="Update not Provided">
      <formula>NOT(ISERROR(SEARCH("Update not Provided",E22)))</formula>
    </cfRule>
    <cfRule type="containsText" dxfId="1721" priority="1771" operator="containsText" text="Not yet due">
      <formula>NOT(ISERROR(SEARCH("Not yet due",E22)))</formula>
    </cfRule>
    <cfRule type="containsText" dxfId="1720" priority="1772" operator="containsText" text="Completed Behind Schedule">
      <formula>NOT(ISERROR(SEARCH("Completed Behind Schedule",E22)))</formula>
    </cfRule>
    <cfRule type="containsText" dxfId="1719" priority="1773" operator="containsText" text="Off Target">
      <formula>NOT(ISERROR(SEARCH("Off Target",E22)))</formula>
    </cfRule>
    <cfRule type="containsText" dxfId="1718" priority="1774" operator="containsText" text="On Track to be Achieved">
      <formula>NOT(ISERROR(SEARCH("On Track to be Achieved",E22)))</formula>
    </cfRule>
    <cfRule type="containsText" dxfId="1717" priority="1775" operator="containsText" text="Fully Achieved">
      <formula>NOT(ISERROR(SEARCH("Fully Achieved",E22)))</formula>
    </cfRule>
    <cfRule type="containsText" dxfId="1716" priority="1776" operator="containsText" text="Not yet due">
      <formula>NOT(ISERROR(SEARCH("Not yet due",E22)))</formula>
    </cfRule>
    <cfRule type="containsText" dxfId="1715" priority="1777" operator="containsText" text="Not Yet Due">
      <formula>NOT(ISERROR(SEARCH("Not Yet Due",E22)))</formula>
    </cfRule>
    <cfRule type="containsText" dxfId="1714" priority="1778" operator="containsText" text="Deferred">
      <formula>NOT(ISERROR(SEARCH("Deferred",E22)))</formula>
    </cfRule>
    <cfRule type="containsText" dxfId="1713" priority="1779" operator="containsText" text="Deleted">
      <formula>NOT(ISERROR(SEARCH("Deleted",E22)))</formula>
    </cfRule>
    <cfRule type="containsText" dxfId="1712" priority="1780" operator="containsText" text="In Danger of Falling Behind Target">
      <formula>NOT(ISERROR(SEARCH("In Danger of Falling Behind Target",E22)))</formula>
    </cfRule>
    <cfRule type="containsText" dxfId="1711" priority="1781" operator="containsText" text="Not yet due">
      <formula>NOT(ISERROR(SEARCH("Not yet due",E22)))</formula>
    </cfRule>
    <cfRule type="containsText" dxfId="1710" priority="1782" operator="containsText" text="Completed Behind Schedule">
      <formula>NOT(ISERROR(SEARCH("Completed Behind Schedule",E22)))</formula>
    </cfRule>
    <cfRule type="containsText" dxfId="1709" priority="1783" operator="containsText" text="Off Target">
      <formula>NOT(ISERROR(SEARCH("Off Target",E22)))</formula>
    </cfRule>
    <cfRule type="containsText" dxfId="1708" priority="1784" operator="containsText" text="In Danger of Falling Behind Target">
      <formula>NOT(ISERROR(SEARCH("In Danger of Falling Behind Target",E22)))</formula>
    </cfRule>
    <cfRule type="containsText" dxfId="1707" priority="1785" operator="containsText" text="On Track to be Achieved">
      <formula>NOT(ISERROR(SEARCH("On Track to be Achieved",E22)))</formula>
    </cfRule>
    <cfRule type="containsText" dxfId="1706" priority="1786" operator="containsText" text="Fully Achieved">
      <formula>NOT(ISERROR(SEARCH("Fully Achieved",E22)))</formula>
    </cfRule>
    <cfRule type="containsText" dxfId="1705" priority="1787" operator="containsText" text="Update not Provided">
      <formula>NOT(ISERROR(SEARCH("Update not Provided",E22)))</formula>
    </cfRule>
    <cfRule type="containsText" dxfId="1704" priority="1788" operator="containsText" text="Not yet due">
      <formula>NOT(ISERROR(SEARCH("Not yet due",E22)))</formula>
    </cfRule>
    <cfRule type="containsText" dxfId="1703" priority="1789" operator="containsText" text="Completed Behind Schedule">
      <formula>NOT(ISERROR(SEARCH("Completed Behind Schedule",E22)))</formula>
    </cfRule>
    <cfRule type="containsText" dxfId="1702" priority="1790" operator="containsText" text="Off Target">
      <formula>NOT(ISERROR(SEARCH("Off Target",E22)))</formula>
    </cfRule>
    <cfRule type="containsText" dxfId="1701" priority="1791" operator="containsText" text="In Danger of Falling Behind Target">
      <formula>NOT(ISERROR(SEARCH("In Danger of Falling Behind Target",E22)))</formula>
    </cfRule>
    <cfRule type="containsText" dxfId="1700" priority="1792" operator="containsText" text="On Track to be Achieved">
      <formula>NOT(ISERROR(SEARCH("On Track to be Achieved",E22)))</formula>
    </cfRule>
    <cfRule type="containsText" dxfId="1699" priority="1793" operator="containsText" text="Fully Achieved">
      <formula>NOT(ISERROR(SEARCH("Fully Achieved",E22)))</formula>
    </cfRule>
    <cfRule type="containsText" dxfId="1698" priority="1794" operator="containsText" text="Fully Achieved">
      <formula>NOT(ISERROR(SEARCH("Fully Achieved",E22)))</formula>
    </cfRule>
    <cfRule type="containsText" dxfId="1697" priority="1795" operator="containsText" text="Fully Achieved">
      <formula>NOT(ISERROR(SEARCH("Fully Achieved",E22)))</formula>
    </cfRule>
    <cfRule type="containsText" dxfId="1696" priority="1796" operator="containsText" text="Deferred">
      <formula>NOT(ISERROR(SEARCH("Deferred",E22)))</formula>
    </cfRule>
    <cfRule type="containsText" dxfId="1695" priority="1797" operator="containsText" text="Deleted">
      <formula>NOT(ISERROR(SEARCH("Deleted",E22)))</formula>
    </cfRule>
    <cfRule type="containsText" dxfId="1694" priority="1798" operator="containsText" text="In Danger of Falling Behind Target">
      <formula>NOT(ISERROR(SEARCH("In Danger of Falling Behind Target",E22)))</formula>
    </cfRule>
    <cfRule type="containsText" dxfId="1693" priority="1799" operator="containsText" text="Not yet due">
      <formula>NOT(ISERROR(SEARCH("Not yet due",E22)))</formula>
    </cfRule>
    <cfRule type="containsText" dxfId="1692" priority="1800" operator="containsText" text="Update not Provided">
      <formula>NOT(ISERROR(SEARCH("Update not Provided",E22)))</formula>
    </cfRule>
  </conditionalFormatting>
  <conditionalFormatting sqref="E30:E31">
    <cfRule type="containsText" dxfId="1691" priority="1729" operator="containsText" text="On track to be achieved">
      <formula>NOT(ISERROR(SEARCH("On track to be achieved",E30)))</formula>
    </cfRule>
    <cfRule type="containsText" dxfId="1690" priority="1730" operator="containsText" text="Deferred">
      <formula>NOT(ISERROR(SEARCH("Deferred",E30)))</formula>
    </cfRule>
    <cfRule type="containsText" dxfId="1689" priority="1731" operator="containsText" text="Deleted">
      <formula>NOT(ISERROR(SEARCH("Deleted",E30)))</formula>
    </cfRule>
    <cfRule type="containsText" dxfId="1688" priority="1732" operator="containsText" text="In Danger of Falling Behind Target">
      <formula>NOT(ISERROR(SEARCH("In Danger of Falling Behind Target",E30)))</formula>
    </cfRule>
    <cfRule type="containsText" dxfId="1687" priority="1733" operator="containsText" text="Not yet due">
      <formula>NOT(ISERROR(SEARCH("Not yet due",E30)))</formula>
    </cfRule>
    <cfRule type="containsText" dxfId="1686" priority="1734" operator="containsText" text="Update not Provided">
      <formula>NOT(ISERROR(SEARCH("Update not Provided",E30)))</formula>
    </cfRule>
    <cfRule type="containsText" dxfId="1685" priority="1735" operator="containsText" text="Not yet due">
      <formula>NOT(ISERROR(SEARCH("Not yet due",E30)))</formula>
    </cfRule>
    <cfRule type="containsText" dxfId="1684" priority="1736" operator="containsText" text="Completed Behind Schedule">
      <formula>NOT(ISERROR(SEARCH("Completed Behind Schedule",E30)))</formula>
    </cfRule>
    <cfRule type="containsText" dxfId="1683" priority="1737" operator="containsText" text="Off Target">
      <formula>NOT(ISERROR(SEARCH("Off Target",E30)))</formula>
    </cfRule>
    <cfRule type="containsText" dxfId="1682" priority="1738" operator="containsText" text="On Track to be Achieved">
      <formula>NOT(ISERROR(SEARCH("On Track to be Achieved",E30)))</formula>
    </cfRule>
    <cfRule type="containsText" dxfId="1681" priority="1739" operator="containsText" text="Fully Achieved">
      <formula>NOT(ISERROR(SEARCH("Fully Achieved",E30)))</formula>
    </cfRule>
    <cfRule type="containsText" dxfId="1680" priority="1740" operator="containsText" text="Not yet due">
      <formula>NOT(ISERROR(SEARCH("Not yet due",E30)))</formula>
    </cfRule>
    <cfRule type="containsText" dxfId="1679" priority="1741" operator="containsText" text="Not Yet Due">
      <formula>NOT(ISERROR(SEARCH("Not Yet Due",E30)))</formula>
    </cfRule>
    <cfRule type="containsText" dxfId="1678" priority="1742" operator="containsText" text="Deferred">
      <formula>NOT(ISERROR(SEARCH("Deferred",E30)))</formula>
    </cfRule>
    <cfRule type="containsText" dxfId="1677" priority="1743" operator="containsText" text="Deleted">
      <formula>NOT(ISERROR(SEARCH("Deleted",E30)))</formula>
    </cfRule>
    <cfRule type="containsText" dxfId="1676" priority="1744" operator="containsText" text="In Danger of Falling Behind Target">
      <formula>NOT(ISERROR(SEARCH("In Danger of Falling Behind Target",E30)))</formula>
    </cfRule>
    <cfRule type="containsText" dxfId="1675" priority="1745" operator="containsText" text="Not yet due">
      <formula>NOT(ISERROR(SEARCH("Not yet due",E30)))</formula>
    </cfRule>
    <cfRule type="containsText" dxfId="1674" priority="1746" operator="containsText" text="Completed Behind Schedule">
      <formula>NOT(ISERROR(SEARCH("Completed Behind Schedule",E30)))</formula>
    </cfRule>
    <cfRule type="containsText" dxfId="1673" priority="1747" operator="containsText" text="Off Target">
      <formula>NOT(ISERROR(SEARCH("Off Target",E30)))</formula>
    </cfRule>
    <cfRule type="containsText" dxfId="1672" priority="1748" operator="containsText" text="In Danger of Falling Behind Target">
      <formula>NOT(ISERROR(SEARCH("In Danger of Falling Behind Target",E30)))</formula>
    </cfRule>
    <cfRule type="containsText" dxfId="1671" priority="1749" operator="containsText" text="On Track to be Achieved">
      <formula>NOT(ISERROR(SEARCH("On Track to be Achieved",E30)))</formula>
    </cfRule>
    <cfRule type="containsText" dxfId="1670" priority="1750" operator="containsText" text="Fully Achieved">
      <formula>NOT(ISERROR(SEARCH("Fully Achieved",E30)))</formula>
    </cfRule>
    <cfRule type="containsText" dxfId="1669" priority="1751" operator="containsText" text="Update not Provided">
      <formula>NOT(ISERROR(SEARCH("Update not Provided",E30)))</formula>
    </cfRule>
    <cfRule type="containsText" dxfId="1668" priority="1752" operator="containsText" text="Not yet due">
      <formula>NOT(ISERROR(SEARCH("Not yet due",E30)))</formula>
    </cfRule>
    <cfRule type="containsText" dxfId="1667" priority="1753" operator="containsText" text="Completed Behind Schedule">
      <formula>NOT(ISERROR(SEARCH("Completed Behind Schedule",E30)))</formula>
    </cfRule>
    <cfRule type="containsText" dxfId="1666" priority="1754" operator="containsText" text="Off Target">
      <formula>NOT(ISERROR(SEARCH("Off Target",E30)))</formula>
    </cfRule>
    <cfRule type="containsText" dxfId="1665" priority="1755" operator="containsText" text="In Danger of Falling Behind Target">
      <formula>NOT(ISERROR(SEARCH("In Danger of Falling Behind Target",E30)))</formula>
    </cfRule>
    <cfRule type="containsText" dxfId="1664" priority="1756" operator="containsText" text="On Track to be Achieved">
      <formula>NOT(ISERROR(SEARCH("On Track to be Achieved",E30)))</formula>
    </cfRule>
    <cfRule type="containsText" dxfId="1663" priority="1757" operator="containsText" text="Fully Achieved">
      <formula>NOT(ISERROR(SEARCH("Fully Achieved",E30)))</formula>
    </cfRule>
    <cfRule type="containsText" dxfId="1662" priority="1758" operator="containsText" text="Fully Achieved">
      <formula>NOT(ISERROR(SEARCH("Fully Achieved",E30)))</formula>
    </cfRule>
    <cfRule type="containsText" dxfId="1661" priority="1759" operator="containsText" text="Fully Achieved">
      <formula>NOT(ISERROR(SEARCH("Fully Achieved",E30)))</formula>
    </cfRule>
    <cfRule type="containsText" dxfId="1660" priority="1760" operator="containsText" text="Deferred">
      <formula>NOT(ISERROR(SEARCH("Deferred",E30)))</formula>
    </cfRule>
    <cfRule type="containsText" dxfId="1659" priority="1761" operator="containsText" text="Deleted">
      <formula>NOT(ISERROR(SEARCH("Deleted",E30)))</formula>
    </cfRule>
    <cfRule type="containsText" dxfId="1658" priority="1762" operator="containsText" text="In Danger of Falling Behind Target">
      <formula>NOT(ISERROR(SEARCH("In Danger of Falling Behind Target",E30)))</formula>
    </cfRule>
    <cfRule type="containsText" dxfId="1657" priority="1763" operator="containsText" text="Not yet due">
      <formula>NOT(ISERROR(SEARCH("Not yet due",E30)))</formula>
    </cfRule>
    <cfRule type="containsText" dxfId="1656" priority="1764" operator="containsText" text="Update not Provided">
      <formula>NOT(ISERROR(SEARCH("Update not Provided",E30)))</formula>
    </cfRule>
  </conditionalFormatting>
  <conditionalFormatting sqref="E32">
    <cfRule type="containsText" dxfId="1655" priority="1693" operator="containsText" text="On track to be achieved">
      <formula>NOT(ISERROR(SEARCH("On track to be achieved",E32)))</formula>
    </cfRule>
    <cfRule type="containsText" dxfId="1654" priority="1694" operator="containsText" text="Deferred">
      <formula>NOT(ISERROR(SEARCH("Deferred",E32)))</formula>
    </cfRule>
    <cfRule type="containsText" dxfId="1653" priority="1695" operator="containsText" text="Deleted">
      <formula>NOT(ISERROR(SEARCH("Deleted",E32)))</formula>
    </cfRule>
    <cfRule type="containsText" dxfId="1652" priority="1696" operator="containsText" text="In Danger of Falling Behind Target">
      <formula>NOT(ISERROR(SEARCH("In Danger of Falling Behind Target",E32)))</formula>
    </cfRule>
    <cfRule type="containsText" dxfId="1651" priority="1697" operator="containsText" text="Not yet due">
      <formula>NOT(ISERROR(SEARCH("Not yet due",E32)))</formula>
    </cfRule>
    <cfRule type="containsText" dxfId="1650" priority="1698" operator="containsText" text="Update not Provided">
      <formula>NOT(ISERROR(SEARCH("Update not Provided",E32)))</formula>
    </cfRule>
    <cfRule type="containsText" dxfId="1649" priority="1699" operator="containsText" text="Not yet due">
      <formula>NOT(ISERROR(SEARCH("Not yet due",E32)))</formula>
    </cfRule>
    <cfRule type="containsText" dxfId="1648" priority="1700" operator="containsText" text="Completed Behind Schedule">
      <formula>NOT(ISERROR(SEARCH("Completed Behind Schedule",E32)))</formula>
    </cfRule>
    <cfRule type="containsText" dxfId="1647" priority="1701" operator="containsText" text="Off Target">
      <formula>NOT(ISERROR(SEARCH("Off Target",E32)))</formula>
    </cfRule>
    <cfRule type="containsText" dxfId="1646" priority="1702" operator="containsText" text="On Track to be Achieved">
      <formula>NOT(ISERROR(SEARCH("On Track to be Achieved",E32)))</formula>
    </cfRule>
    <cfRule type="containsText" dxfId="1645" priority="1703" operator="containsText" text="Fully Achieved">
      <formula>NOT(ISERROR(SEARCH("Fully Achieved",E32)))</formula>
    </cfRule>
    <cfRule type="containsText" dxfId="1644" priority="1704" operator="containsText" text="Not yet due">
      <formula>NOT(ISERROR(SEARCH("Not yet due",E32)))</formula>
    </cfRule>
    <cfRule type="containsText" dxfId="1643" priority="1705" operator="containsText" text="Not Yet Due">
      <formula>NOT(ISERROR(SEARCH("Not Yet Due",E32)))</formula>
    </cfRule>
    <cfRule type="containsText" dxfId="1642" priority="1706" operator="containsText" text="Deferred">
      <formula>NOT(ISERROR(SEARCH("Deferred",E32)))</formula>
    </cfRule>
    <cfRule type="containsText" dxfId="1641" priority="1707" operator="containsText" text="Deleted">
      <formula>NOT(ISERROR(SEARCH("Deleted",E32)))</formula>
    </cfRule>
    <cfRule type="containsText" dxfId="1640" priority="1708" operator="containsText" text="In Danger of Falling Behind Target">
      <formula>NOT(ISERROR(SEARCH("In Danger of Falling Behind Target",E32)))</formula>
    </cfRule>
    <cfRule type="containsText" dxfId="1639" priority="1709" operator="containsText" text="Not yet due">
      <formula>NOT(ISERROR(SEARCH("Not yet due",E32)))</formula>
    </cfRule>
    <cfRule type="containsText" dxfId="1638" priority="1710" operator="containsText" text="Completed Behind Schedule">
      <formula>NOT(ISERROR(SEARCH("Completed Behind Schedule",E32)))</formula>
    </cfRule>
    <cfRule type="containsText" dxfId="1637" priority="1711" operator="containsText" text="Off Target">
      <formula>NOT(ISERROR(SEARCH("Off Target",E32)))</formula>
    </cfRule>
    <cfRule type="containsText" dxfId="1636" priority="1712" operator="containsText" text="In Danger of Falling Behind Target">
      <formula>NOT(ISERROR(SEARCH("In Danger of Falling Behind Target",E32)))</formula>
    </cfRule>
    <cfRule type="containsText" dxfId="1635" priority="1713" operator="containsText" text="On Track to be Achieved">
      <formula>NOT(ISERROR(SEARCH("On Track to be Achieved",E32)))</formula>
    </cfRule>
    <cfRule type="containsText" dxfId="1634" priority="1714" operator="containsText" text="Fully Achieved">
      <formula>NOT(ISERROR(SEARCH("Fully Achieved",E32)))</formula>
    </cfRule>
    <cfRule type="containsText" dxfId="1633" priority="1715" operator="containsText" text="Update not Provided">
      <formula>NOT(ISERROR(SEARCH("Update not Provided",E32)))</formula>
    </cfRule>
    <cfRule type="containsText" dxfId="1632" priority="1716" operator="containsText" text="Not yet due">
      <formula>NOT(ISERROR(SEARCH("Not yet due",E32)))</formula>
    </cfRule>
    <cfRule type="containsText" dxfId="1631" priority="1717" operator="containsText" text="Completed Behind Schedule">
      <formula>NOT(ISERROR(SEARCH("Completed Behind Schedule",E32)))</formula>
    </cfRule>
    <cfRule type="containsText" dxfId="1630" priority="1718" operator="containsText" text="Off Target">
      <formula>NOT(ISERROR(SEARCH("Off Target",E32)))</formula>
    </cfRule>
    <cfRule type="containsText" dxfId="1629" priority="1719" operator="containsText" text="In Danger of Falling Behind Target">
      <formula>NOT(ISERROR(SEARCH("In Danger of Falling Behind Target",E32)))</formula>
    </cfRule>
    <cfRule type="containsText" dxfId="1628" priority="1720" operator="containsText" text="On Track to be Achieved">
      <formula>NOT(ISERROR(SEARCH("On Track to be Achieved",E32)))</formula>
    </cfRule>
    <cfRule type="containsText" dxfId="1627" priority="1721" operator="containsText" text="Fully Achieved">
      <formula>NOT(ISERROR(SEARCH("Fully Achieved",E32)))</formula>
    </cfRule>
    <cfRule type="containsText" dxfId="1626" priority="1722" operator="containsText" text="Fully Achieved">
      <formula>NOT(ISERROR(SEARCH("Fully Achieved",E32)))</formula>
    </cfRule>
    <cfRule type="containsText" dxfId="1625" priority="1723" operator="containsText" text="Fully Achieved">
      <formula>NOT(ISERROR(SEARCH("Fully Achieved",E32)))</formula>
    </cfRule>
    <cfRule type="containsText" dxfId="1624" priority="1724" operator="containsText" text="Deferred">
      <formula>NOT(ISERROR(SEARCH("Deferred",E32)))</formula>
    </cfRule>
    <cfRule type="containsText" dxfId="1623" priority="1725" operator="containsText" text="Deleted">
      <formula>NOT(ISERROR(SEARCH("Deleted",E32)))</formula>
    </cfRule>
    <cfRule type="containsText" dxfId="1622" priority="1726" operator="containsText" text="In Danger of Falling Behind Target">
      <formula>NOT(ISERROR(SEARCH("In Danger of Falling Behind Target",E32)))</formula>
    </cfRule>
    <cfRule type="containsText" dxfId="1621" priority="1727" operator="containsText" text="Not yet due">
      <formula>NOT(ISERROR(SEARCH("Not yet due",E32)))</formula>
    </cfRule>
    <cfRule type="containsText" dxfId="1620" priority="1728" operator="containsText" text="Update not Provided">
      <formula>NOT(ISERROR(SEARCH("Update not Provided",E32)))</formula>
    </cfRule>
  </conditionalFormatting>
  <conditionalFormatting sqref="E34">
    <cfRule type="containsText" dxfId="1619" priority="1657" operator="containsText" text="On track to be achieved">
      <formula>NOT(ISERROR(SEARCH("On track to be achieved",E34)))</formula>
    </cfRule>
    <cfRule type="containsText" dxfId="1618" priority="1658" operator="containsText" text="Deferred">
      <formula>NOT(ISERROR(SEARCH("Deferred",E34)))</formula>
    </cfRule>
    <cfRule type="containsText" dxfId="1617" priority="1659" operator="containsText" text="Deleted">
      <formula>NOT(ISERROR(SEARCH("Deleted",E34)))</formula>
    </cfRule>
    <cfRule type="containsText" dxfId="1616" priority="1660" operator="containsText" text="In Danger of Falling Behind Target">
      <formula>NOT(ISERROR(SEARCH("In Danger of Falling Behind Target",E34)))</formula>
    </cfRule>
    <cfRule type="containsText" dxfId="1615" priority="1661" operator="containsText" text="Not yet due">
      <formula>NOT(ISERROR(SEARCH("Not yet due",E34)))</formula>
    </cfRule>
    <cfRule type="containsText" dxfId="1614" priority="1662" operator="containsText" text="Update not Provided">
      <formula>NOT(ISERROR(SEARCH("Update not Provided",E34)))</formula>
    </cfRule>
    <cfRule type="containsText" dxfId="1613" priority="1663" operator="containsText" text="Not yet due">
      <formula>NOT(ISERROR(SEARCH("Not yet due",E34)))</formula>
    </cfRule>
    <cfRule type="containsText" dxfId="1612" priority="1664" operator="containsText" text="Completed Behind Schedule">
      <formula>NOT(ISERROR(SEARCH("Completed Behind Schedule",E34)))</formula>
    </cfRule>
    <cfRule type="containsText" dxfId="1611" priority="1665" operator="containsText" text="Off Target">
      <formula>NOT(ISERROR(SEARCH("Off Target",E34)))</formula>
    </cfRule>
    <cfRule type="containsText" dxfId="1610" priority="1666" operator="containsText" text="On Track to be Achieved">
      <formula>NOT(ISERROR(SEARCH("On Track to be Achieved",E34)))</formula>
    </cfRule>
    <cfRule type="containsText" dxfId="1609" priority="1667" operator="containsText" text="Fully Achieved">
      <formula>NOT(ISERROR(SEARCH("Fully Achieved",E34)))</formula>
    </cfRule>
    <cfRule type="containsText" dxfId="1608" priority="1668" operator="containsText" text="Not yet due">
      <formula>NOT(ISERROR(SEARCH("Not yet due",E34)))</formula>
    </cfRule>
    <cfRule type="containsText" dxfId="1607" priority="1669" operator="containsText" text="Not Yet Due">
      <formula>NOT(ISERROR(SEARCH("Not Yet Due",E34)))</formula>
    </cfRule>
    <cfRule type="containsText" dxfId="1606" priority="1670" operator="containsText" text="Deferred">
      <formula>NOT(ISERROR(SEARCH("Deferred",E34)))</formula>
    </cfRule>
    <cfRule type="containsText" dxfId="1605" priority="1671" operator="containsText" text="Deleted">
      <formula>NOT(ISERROR(SEARCH("Deleted",E34)))</formula>
    </cfRule>
    <cfRule type="containsText" dxfId="1604" priority="1672" operator="containsText" text="In Danger of Falling Behind Target">
      <formula>NOT(ISERROR(SEARCH("In Danger of Falling Behind Target",E34)))</formula>
    </cfRule>
    <cfRule type="containsText" dxfId="1603" priority="1673" operator="containsText" text="Not yet due">
      <formula>NOT(ISERROR(SEARCH("Not yet due",E34)))</formula>
    </cfRule>
    <cfRule type="containsText" dxfId="1602" priority="1674" operator="containsText" text="Completed Behind Schedule">
      <formula>NOT(ISERROR(SEARCH("Completed Behind Schedule",E34)))</formula>
    </cfRule>
    <cfRule type="containsText" dxfId="1601" priority="1675" operator="containsText" text="Off Target">
      <formula>NOT(ISERROR(SEARCH("Off Target",E34)))</formula>
    </cfRule>
    <cfRule type="containsText" dxfId="1600" priority="1676" operator="containsText" text="In Danger of Falling Behind Target">
      <formula>NOT(ISERROR(SEARCH("In Danger of Falling Behind Target",E34)))</formula>
    </cfRule>
    <cfRule type="containsText" dxfId="1599" priority="1677" operator="containsText" text="On Track to be Achieved">
      <formula>NOT(ISERROR(SEARCH("On Track to be Achieved",E34)))</formula>
    </cfRule>
    <cfRule type="containsText" dxfId="1598" priority="1678" operator="containsText" text="Fully Achieved">
      <formula>NOT(ISERROR(SEARCH("Fully Achieved",E34)))</formula>
    </cfRule>
    <cfRule type="containsText" dxfId="1597" priority="1679" operator="containsText" text="Update not Provided">
      <formula>NOT(ISERROR(SEARCH("Update not Provided",E34)))</formula>
    </cfRule>
    <cfRule type="containsText" dxfId="1596" priority="1680" operator="containsText" text="Not yet due">
      <formula>NOT(ISERROR(SEARCH("Not yet due",E34)))</formula>
    </cfRule>
    <cfRule type="containsText" dxfId="1595" priority="1681" operator="containsText" text="Completed Behind Schedule">
      <formula>NOT(ISERROR(SEARCH("Completed Behind Schedule",E34)))</formula>
    </cfRule>
    <cfRule type="containsText" dxfId="1594" priority="1682" operator="containsText" text="Off Target">
      <formula>NOT(ISERROR(SEARCH("Off Target",E34)))</formula>
    </cfRule>
    <cfRule type="containsText" dxfId="1593" priority="1683" operator="containsText" text="In Danger of Falling Behind Target">
      <formula>NOT(ISERROR(SEARCH("In Danger of Falling Behind Target",E34)))</formula>
    </cfRule>
    <cfRule type="containsText" dxfId="1592" priority="1684" operator="containsText" text="On Track to be Achieved">
      <formula>NOT(ISERROR(SEARCH("On Track to be Achieved",E34)))</formula>
    </cfRule>
    <cfRule type="containsText" dxfId="1591" priority="1685" operator="containsText" text="Fully Achieved">
      <formula>NOT(ISERROR(SEARCH("Fully Achieved",E34)))</formula>
    </cfRule>
    <cfRule type="containsText" dxfId="1590" priority="1686" operator="containsText" text="Fully Achieved">
      <formula>NOT(ISERROR(SEARCH("Fully Achieved",E34)))</formula>
    </cfRule>
    <cfRule type="containsText" dxfId="1589" priority="1687" operator="containsText" text="Fully Achieved">
      <formula>NOT(ISERROR(SEARCH("Fully Achieved",E34)))</formula>
    </cfRule>
    <cfRule type="containsText" dxfId="1588" priority="1688" operator="containsText" text="Deferred">
      <formula>NOT(ISERROR(SEARCH("Deferred",E34)))</formula>
    </cfRule>
    <cfRule type="containsText" dxfId="1587" priority="1689" operator="containsText" text="Deleted">
      <formula>NOT(ISERROR(SEARCH("Deleted",E34)))</formula>
    </cfRule>
    <cfRule type="containsText" dxfId="1586" priority="1690" operator="containsText" text="In Danger of Falling Behind Target">
      <formula>NOT(ISERROR(SEARCH("In Danger of Falling Behind Target",E34)))</formula>
    </cfRule>
    <cfRule type="containsText" dxfId="1585" priority="1691" operator="containsText" text="Not yet due">
      <formula>NOT(ISERROR(SEARCH("Not yet due",E34)))</formula>
    </cfRule>
    <cfRule type="containsText" dxfId="1584" priority="1692" operator="containsText" text="Update not Provided">
      <formula>NOT(ISERROR(SEARCH("Update not Provided",E34)))</formula>
    </cfRule>
  </conditionalFormatting>
  <conditionalFormatting sqref="E35">
    <cfRule type="containsText" dxfId="1583" priority="1621" operator="containsText" text="On track to be achieved">
      <formula>NOT(ISERROR(SEARCH("On track to be achieved",E35)))</formula>
    </cfRule>
    <cfRule type="containsText" dxfId="1582" priority="1622" operator="containsText" text="Deferred">
      <formula>NOT(ISERROR(SEARCH("Deferred",E35)))</formula>
    </cfRule>
    <cfRule type="containsText" dxfId="1581" priority="1623" operator="containsText" text="Deleted">
      <formula>NOT(ISERROR(SEARCH("Deleted",E35)))</formula>
    </cfRule>
    <cfRule type="containsText" dxfId="1580" priority="1624" operator="containsText" text="In Danger of Falling Behind Target">
      <formula>NOT(ISERROR(SEARCH("In Danger of Falling Behind Target",E35)))</formula>
    </cfRule>
    <cfRule type="containsText" dxfId="1579" priority="1625" operator="containsText" text="Not yet due">
      <formula>NOT(ISERROR(SEARCH("Not yet due",E35)))</formula>
    </cfRule>
    <cfRule type="containsText" dxfId="1578" priority="1626" operator="containsText" text="Update not Provided">
      <formula>NOT(ISERROR(SEARCH("Update not Provided",E35)))</formula>
    </cfRule>
    <cfRule type="containsText" dxfId="1577" priority="1627" operator="containsText" text="Not yet due">
      <formula>NOT(ISERROR(SEARCH("Not yet due",E35)))</formula>
    </cfRule>
    <cfRule type="containsText" dxfId="1576" priority="1628" operator="containsText" text="Completed Behind Schedule">
      <formula>NOT(ISERROR(SEARCH("Completed Behind Schedule",E35)))</formula>
    </cfRule>
    <cfRule type="containsText" dxfId="1575" priority="1629" operator="containsText" text="Off Target">
      <formula>NOT(ISERROR(SEARCH("Off Target",E35)))</formula>
    </cfRule>
    <cfRule type="containsText" dxfId="1574" priority="1630" operator="containsText" text="On Track to be Achieved">
      <formula>NOT(ISERROR(SEARCH("On Track to be Achieved",E35)))</formula>
    </cfRule>
    <cfRule type="containsText" dxfId="1573" priority="1631" operator="containsText" text="Fully Achieved">
      <formula>NOT(ISERROR(SEARCH("Fully Achieved",E35)))</formula>
    </cfRule>
    <cfRule type="containsText" dxfId="1572" priority="1632" operator="containsText" text="Not yet due">
      <formula>NOT(ISERROR(SEARCH("Not yet due",E35)))</formula>
    </cfRule>
    <cfRule type="containsText" dxfId="1571" priority="1633" operator="containsText" text="Not Yet Due">
      <formula>NOT(ISERROR(SEARCH("Not Yet Due",E35)))</formula>
    </cfRule>
    <cfRule type="containsText" dxfId="1570" priority="1634" operator="containsText" text="Deferred">
      <formula>NOT(ISERROR(SEARCH("Deferred",E35)))</formula>
    </cfRule>
    <cfRule type="containsText" dxfId="1569" priority="1635" operator="containsText" text="Deleted">
      <formula>NOT(ISERROR(SEARCH("Deleted",E35)))</formula>
    </cfRule>
    <cfRule type="containsText" dxfId="1568" priority="1636" operator="containsText" text="In Danger of Falling Behind Target">
      <formula>NOT(ISERROR(SEARCH("In Danger of Falling Behind Target",E35)))</formula>
    </cfRule>
    <cfRule type="containsText" dxfId="1567" priority="1637" operator="containsText" text="Not yet due">
      <formula>NOT(ISERROR(SEARCH("Not yet due",E35)))</formula>
    </cfRule>
    <cfRule type="containsText" dxfId="1566" priority="1638" operator="containsText" text="Completed Behind Schedule">
      <formula>NOT(ISERROR(SEARCH("Completed Behind Schedule",E35)))</formula>
    </cfRule>
    <cfRule type="containsText" dxfId="1565" priority="1639" operator="containsText" text="Off Target">
      <formula>NOT(ISERROR(SEARCH("Off Target",E35)))</formula>
    </cfRule>
    <cfRule type="containsText" dxfId="1564" priority="1640" operator="containsText" text="In Danger of Falling Behind Target">
      <formula>NOT(ISERROR(SEARCH("In Danger of Falling Behind Target",E35)))</formula>
    </cfRule>
    <cfRule type="containsText" dxfId="1563" priority="1641" operator="containsText" text="On Track to be Achieved">
      <formula>NOT(ISERROR(SEARCH("On Track to be Achieved",E35)))</formula>
    </cfRule>
    <cfRule type="containsText" dxfId="1562" priority="1642" operator="containsText" text="Fully Achieved">
      <formula>NOT(ISERROR(SEARCH("Fully Achieved",E35)))</formula>
    </cfRule>
    <cfRule type="containsText" dxfId="1561" priority="1643" operator="containsText" text="Update not Provided">
      <formula>NOT(ISERROR(SEARCH("Update not Provided",E35)))</formula>
    </cfRule>
    <cfRule type="containsText" dxfId="1560" priority="1644" operator="containsText" text="Not yet due">
      <formula>NOT(ISERROR(SEARCH("Not yet due",E35)))</formula>
    </cfRule>
    <cfRule type="containsText" dxfId="1559" priority="1645" operator="containsText" text="Completed Behind Schedule">
      <formula>NOT(ISERROR(SEARCH("Completed Behind Schedule",E35)))</formula>
    </cfRule>
    <cfRule type="containsText" dxfId="1558" priority="1646" operator="containsText" text="Off Target">
      <formula>NOT(ISERROR(SEARCH("Off Target",E35)))</formula>
    </cfRule>
    <cfRule type="containsText" dxfId="1557" priority="1647" operator="containsText" text="In Danger of Falling Behind Target">
      <formula>NOT(ISERROR(SEARCH("In Danger of Falling Behind Target",E35)))</formula>
    </cfRule>
    <cfRule type="containsText" dxfId="1556" priority="1648" operator="containsText" text="On Track to be Achieved">
      <formula>NOT(ISERROR(SEARCH("On Track to be Achieved",E35)))</formula>
    </cfRule>
    <cfRule type="containsText" dxfId="1555" priority="1649" operator="containsText" text="Fully Achieved">
      <formula>NOT(ISERROR(SEARCH("Fully Achieved",E35)))</formula>
    </cfRule>
    <cfRule type="containsText" dxfId="1554" priority="1650" operator="containsText" text="Fully Achieved">
      <formula>NOT(ISERROR(SEARCH("Fully Achieved",E35)))</formula>
    </cfRule>
    <cfRule type="containsText" dxfId="1553" priority="1651" operator="containsText" text="Fully Achieved">
      <formula>NOT(ISERROR(SEARCH("Fully Achieved",E35)))</formula>
    </cfRule>
    <cfRule type="containsText" dxfId="1552" priority="1652" operator="containsText" text="Deferred">
      <formula>NOT(ISERROR(SEARCH("Deferred",E35)))</formula>
    </cfRule>
    <cfRule type="containsText" dxfId="1551" priority="1653" operator="containsText" text="Deleted">
      <formula>NOT(ISERROR(SEARCH("Deleted",E35)))</formula>
    </cfRule>
    <cfRule type="containsText" dxfId="1550" priority="1654" operator="containsText" text="In Danger of Falling Behind Target">
      <formula>NOT(ISERROR(SEARCH("In Danger of Falling Behind Target",E35)))</formula>
    </cfRule>
    <cfRule type="containsText" dxfId="1549" priority="1655" operator="containsText" text="Not yet due">
      <formula>NOT(ISERROR(SEARCH("Not yet due",E35)))</formula>
    </cfRule>
    <cfRule type="containsText" dxfId="1548" priority="1656" operator="containsText" text="Update not Provided">
      <formula>NOT(ISERROR(SEARCH("Update not Provided",E35)))</formula>
    </cfRule>
  </conditionalFormatting>
  <conditionalFormatting sqref="E37">
    <cfRule type="containsText" dxfId="1547" priority="1585" operator="containsText" text="On track to be achieved">
      <formula>NOT(ISERROR(SEARCH("On track to be achieved",E37)))</formula>
    </cfRule>
    <cfRule type="containsText" dxfId="1546" priority="1586" operator="containsText" text="Deferred">
      <formula>NOT(ISERROR(SEARCH("Deferred",E37)))</formula>
    </cfRule>
    <cfRule type="containsText" dxfId="1545" priority="1587" operator="containsText" text="Deleted">
      <formula>NOT(ISERROR(SEARCH("Deleted",E37)))</formula>
    </cfRule>
    <cfRule type="containsText" dxfId="1544" priority="1588" operator="containsText" text="In Danger of Falling Behind Target">
      <formula>NOT(ISERROR(SEARCH("In Danger of Falling Behind Target",E37)))</formula>
    </cfRule>
    <cfRule type="containsText" dxfId="1543" priority="1589" operator="containsText" text="Not yet due">
      <formula>NOT(ISERROR(SEARCH("Not yet due",E37)))</formula>
    </cfRule>
    <cfRule type="containsText" dxfId="1542" priority="1590" operator="containsText" text="Update not Provided">
      <formula>NOT(ISERROR(SEARCH("Update not Provided",E37)))</formula>
    </cfRule>
    <cfRule type="containsText" dxfId="1541" priority="1591" operator="containsText" text="Not yet due">
      <formula>NOT(ISERROR(SEARCH("Not yet due",E37)))</formula>
    </cfRule>
    <cfRule type="containsText" dxfId="1540" priority="1592" operator="containsText" text="Completed Behind Schedule">
      <formula>NOT(ISERROR(SEARCH("Completed Behind Schedule",E37)))</formula>
    </cfRule>
    <cfRule type="containsText" dxfId="1539" priority="1593" operator="containsText" text="Off Target">
      <formula>NOT(ISERROR(SEARCH("Off Target",E37)))</formula>
    </cfRule>
    <cfRule type="containsText" dxfId="1538" priority="1594" operator="containsText" text="On Track to be Achieved">
      <formula>NOT(ISERROR(SEARCH("On Track to be Achieved",E37)))</formula>
    </cfRule>
    <cfRule type="containsText" dxfId="1537" priority="1595" operator="containsText" text="Fully Achieved">
      <formula>NOT(ISERROR(SEARCH("Fully Achieved",E37)))</formula>
    </cfRule>
    <cfRule type="containsText" dxfId="1536" priority="1596" operator="containsText" text="Not yet due">
      <formula>NOT(ISERROR(SEARCH("Not yet due",E37)))</formula>
    </cfRule>
    <cfRule type="containsText" dxfId="1535" priority="1597" operator="containsText" text="Not Yet Due">
      <formula>NOT(ISERROR(SEARCH("Not Yet Due",E37)))</formula>
    </cfRule>
    <cfRule type="containsText" dxfId="1534" priority="1598" operator="containsText" text="Deferred">
      <formula>NOT(ISERROR(SEARCH("Deferred",E37)))</formula>
    </cfRule>
    <cfRule type="containsText" dxfId="1533" priority="1599" operator="containsText" text="Deleted">
      <formula>NOT(ISERROR(SEARCH("Deleted",E37)))</formula>
    </cfRule>
    <cfRule type="containsText" dxfId="1532" priority="1600" operator="containsText" text="In Danger of Falling Behind Target">
      <formula>NOT(ISERROR(SEARCH("In Danger of Falling Behind Target",E37)))</formula>
    </cfRule>
    <cfRule type="containsText" dxfId="1531" priority="1601" operator="containsText" text="Not yet due">
      <formula>NOT(ISERROR(SEARCH("Not yet due",E37)))</formula>
    </cfRule>
    <cfRule type="containsText" dxfId="1530" priority="1602" operator="containsText" text="Completed Behind Schedule">
      <formula>NOT(ISERROR(SEARCH("Completed Behind Schedule",E37)))</formula>
    </cfRule>
    <cfRule type="containsText" dxfId="1529" priority="1603" operator="containsText" text="Off Target">
      <formula>NOT(ISERROR(SEARCH("Off Target",E37)))</formula>
    </cfRule>
    <cfRule type="containsText" dxfId="1528" priority="1604" operator="containsText" text="In Danger of Falling Behind Target">
      <formula>NOT(ISERROR(SEARCH("In Danger of Falling Behind Target",E37)))</formula>
    </cfRule>
    <cfRule type="containsText" dxfId="1527" priority="1605" operator="containsText" text="On Track to be Achieved">
      <formula>NOT(ISERROR(SEARCH("On Track to be Achieved",E37)))</formula>
    </cfRule>
    <cfRule type="containsText" dxfId="1526" priority="1606" operator="containsText" text="Fully Achieved">
      <formula>NOT(ISERROR(SEARCH("Fully Achieved",E37)))</formula>
    </cfRule>
    <cfRule type="containsText" dxfId="1525" priority="1607" operator="containsText" text="Update not Provided">
      <formula>NOT(ISERROR(SEARCH("Update not Provided",E37)))</formula>
    </cfRule>
    <cfRule type="containsText" dxfId="1524" priority="1608" operator="containsText" text="Not yet due">
      <formula>NOT(ISERROR(SEARCH("Not yet due",E37)))</formula>
    </cfRule>
    <cfRule type="containsText" dxfId="1523" priority="1609" operator="containsText" text="Completed Behind Schedule">
      <formula>NOT(ISERROR(SEARCH("Completed Behind Schedule",E37)))</formula>
    </cfRule>
    <cfRule type="containsText" dxfId="1522" priority="1610" operator="containsText" text="Off Target">
      <formula>NOT(ISERROR(SEARCH("Off Target",E37)))</formula>
    </cfRule>
    <cfRule type="containsText" dxfId="1521" priority="1611" operator="containsText" text="In Danger of Falling Behind Target">
      <formula>NOT(ISERROR(SEARCH("In Danger of Falling Behind Target",E37)))</formula>
    </cfRule>
    <cfRule type="containsText" dxfId="1520" priority="1612" operator="containsText" text="On Track to be Achieved">
      <formula>NOT(ISERROR(SEARCH("On Track to be Achieved",E37)))</formula>
    </cfRule>
    <cfRule type="containsText" dxfId="1519" priority="1613" operator="containsText" text="Fully Achieved">
      <formula>NOT(ISERROR(SEARCH("Fully Achieved",E37)))</formula>
    </cfRule>
    <cfRule type="containsText" dxfId="1518" priority="1614" operator="containsText" text="Fully Achieved">
      <formula>NOT(ISERROR(SEARCH("Fully Achieved",E37)))</formula>
    </cfRule>
    <cfRule type="containsText" dxfId="1517" priority="1615" operator="containsText" text="Fully Achieved">
      <formula>NOT(ISERROR(SEARCH("Fully Achieved",E37)))</formula>
    </cfRule>
    <cfRule type="containsText" dxfId="1516" priority="1616" operator="containsText" text="Deferred">
      <formula>NOT(ISERROR(SEARCH("Deferred",E37)))</formula>
    </cfRule>
    <cfRule type="containsText" dxfId="1515" priority="1617" operator="containsText" text="Deleted">
      <formula>NOT(ISERROR(SEARCH("Deleted",E37)))</formula>
    </cfRule>
    <cfRule type="containsText" dxfId="1514" priority="1618" operator="containsText" text="In Danger of Falling Behind Target">
      <formula>NOT(ISERROR(SEARCH("In Danger of Falling Behind Target",E37)))</formula>
    </cfRule>
    <cfRule type="containsText" dxfId="1513" priority="1619" operator="containsText" text="Not yet due">
      <formula>NOT(ISERROR(SEARCH("Not yet due",E37)))</formula>
    </cfRule>
    <cfRule type="containsText" dxfId="1512" priority="1620" operator="containsText" text="Update not Provided">
      <formula>NOT(ISERROR(SEARCH("Update not Provided",E37)))</formula>
    </cfRule>
  </conditionalFormatting>
  <conditionalFormatting sqref="E39">
    <cfRule type="containsText" dxfId="1511" priority="1549" operator="containsText" text="On track to be achieved">
      <formula>NOT(ISERROR(SEARCH("On track to be achieved",E39)))</formula>
    </cfRule>
    <cfRule type="containsText" dxfId="1510" priority="1550" operator="containsText" text="Deferred">
      <formula>NOT(ISERROR(SEARCH("Deferred",E39)))</formula>
    </cfRule>
    <cfRule type="containsText" dxfId="1509" priority="1551" operator="containsText" text="Deleted">
      <formula>NOT(ISERROR(SEARCH("Deleted",E39)))</formula>
    </cfRule>
    <cfRule type="containsText" dxfId="1508" priority="1552" operator="containsText" text="In Danger of Falling Behind Target">
      <formula>NOT(ISERROR(SEARCH("In Danger of Falling Behind Target",E39)))</formula>
    </cfRule>
    <cfRule type="containsText" dxfId="1507" priority="1553" operator="containsText" text="Not yet due">
      <formula>NOT(ISERROR(SEARCH("Not yet due",E39)))</formula>
    </cfRule>
    <cfRule type="containsText" dxfId="1506" priority="1554" operator="containsText" text="Update not Provided">
      <formula>NOT(ISERROR(SEARCH("Update not Provided",E39)))</formula>
    </cfRule>
    <cfRule type="containsText" dxfId="1505" priority="1555" operator="containsText" text="Not yet due">
      <formula>NOT(ISERROR(SEARCH("Not yet due",E39)))</formula>
    </cfRule>
    <cfRule type="containsText" dxfId="1504" priority="1556" operator="containsText" text="Completed Behind Schedule">
      <formula>NOT(ISERROR(SEARCH("Completed Behind Schedule",E39)))</formula>
    </cfRule>
    <cfRule type="containsText" dxfId="1503" priority="1557" operator="containsText" text="Off Target">
      <formula>NOT(ISERROR(SEARCH("Off Target",E39)))</formula>
    </cfRule>
    <cfRule type="containsText" dxfId="1502" priority="1558" operator="containsText" text="On Track to be Achieved">
      <formula>NOT(ISERROR(SEARCH("On Track to be Achieved",E39)))</formula>
    </cfRule>
    <cfRule type="containsText" dxfId="1501" priority="1559" operator="containsText" text="Fully Achieved">
      <formula>NOT(ISERROR(SEARCH("Fully Achieved",E39)))</formula>
    </cfRule>
    <cfRule type="containsText" dxfId="1500" priority="1560" operator="containsText" text="Not yet due">
      <formula>NOT(ISERROR(SEARCH("Not yet due",E39)))</formula>
    </cfRule>
    <cfRule type="containsText" dxfId="1499" priority="1561" operator="containsText" text="Not Yet Due">
      <formula>NOT(ISERROR(SEARCH("Not Yet Due",E39)))</formula>
    </cfRule>
    <cfRule type="containsText" dxfId="1498" priority="1562" operator="containsText" text="Deferred">
      <formula>NOT(ISERROR(SEARCH("Deferred",E39)))</formula>
    </cfRule>
    <cfRule type="containsText" dxfId="1497" priority="1563" operator="containsText" text="Deleted">
      <formula>NOT(ISERROR(SEARCH("Deleted",E39)))</formula>
    </cfRule>
    <cfRule type="containsText" dxfId="1496" priority="1564" operator="containsText" text="In Danger of Falling Behind Target">
      <formula>NOT(ISERROR(SEARCH("In Danger of Falling Behind Target",E39)))</formula>
    </cfRule>
    <cfRule type="containsText" dxfId="1495" priority="1565" operator="containsText" text="Not yet due">
      <formula>NOT(ISERROR(SEARCH("Not yet due",E39)))</formula>
    </cfRule>
    <cfRule type="containsText" dxfId="1494" priority="1566" operator="containsText" text="Completed Behind Schedule">
      <formula>NOT(ISERROR(SEARCH("Completed Behind Schedule",E39)))</formula>
    </cfRule>
    <cfRule type="containsText" dxfId="1493" priority="1567" operator="containsText" text="Off Target">
      <formula>NOT(ISERROR(SEARCH("Off Target",E39)))</formula>
    </cfRule>
    <cfRule type="containsText" dxfId="1492" priority="1568" operator="containsText" text="In Danger of Falling Behind Target">
      <formula>NOT(ISERROR(SEARCH("In Danger of Falling Behind Target",E39)))</formula>
    </cfRule>
    <cfRule type="containsText" dxfId="1491" priority="1569" operator="containsText" text="On Track to be Achieved">
      <formula>NOT(ISERROR(SEARCH("On Track to be Achieved",E39)))</formula>
    </cfRule>
    <cfRule type="containsText" dxfId="1490" priority="1570" operator="containsText" text="Fully Achieved">
      <formula>NOT(ISERROR(SEARCH("Fully Achieved",E39)))</formula>
    </cfRule>
    <cfRule type="containsText" dxfId="1489" priority="1571" operator="containsText" text="Update not Provided">
      <formula>NOT(ISERROR(SEARCH("Update not Provided",E39)))</formula>
    </cfRule>
    <cfRule type="containsText" dxfId="1488" priority="1572" operator="containsText" text="Not yet due">
      <formula>NOT(ISERROR(SEARCH("Not yet due",E39)))</formula>
    </cfRule>
    <cfRule type="containsText" dxfId="1487" priority="1573" operator="containsText" text="Completed Behind Schedule">
      <formula>NOT(ISERROR(SEARCH("Completed Behind Schedule",E39)))</formula>
    </cfRule>
    <cfRule type="containsText" dxfId="1486" priority="1574" operator="containsText" text="Off Target">
      <formula>NOT(ISERROR(SEARCH("Off Target",E39)))</formula>
    </cfRule>
    <cfRule type="containsText" dxfId="1485" priority="1575" operator="containsText" text="In Danger of Falling Behind Target">
      <formula>NOT(ISERROR(SEARCH("In Danger of Falling Behind Target",E39)))</formula>
    </cfRule>
    <cfRule type="containsText" dxfId="1484" priority="1576" operator="containsText" text="On Track to be Achieved">
      <formula>NOT(ISERROR(SEARCH("On Track to be Achieved",E39)))</formula>
    </cfRule>
    <cfRule type="containsText" dxfId="1483" priority="1577" operator="containsText" text="Fully Achieved">
      <formula>NOT(ISERROR(SEARCH("Fully Achieved",E39)))</formula>
    </cfRule>
    <cfRule type="containsText" dxfId="1482" priority="1578" operator="containsText" text="Fully Achieved">
      <formula>NOT(ISERROR(SEARCH("Fully Achieved",E39)))</formula>
    </cfRule>
    <cfRule type="containsText" dxfId="1481" priority="1579" operator="containsText" text="Fully Achieved">
      <formula>NOT(ISERROR(SEARCH("Fully Achieved",E39)))</formula>
    </cfRule>
    <cfRule type="containsText" dxfId="1480" priority="1580" operator="containsText" text="Deferred">
      <formula>NOT(ISERROR(SEARCH("Deferred",E39)))</formula>
    </cfRule>
    <cfRule type="containsText" dxfId="1479" priority="1581" operator="containsText" text="Deleted">
      <formula>NOT(ISERROR(SEARCH("Deleted",E39)))</formula>
    </cfRule>
    <cfRule type="containsText" dxfId="1478" priority="1582" operator="containsText" text="In Danger of Falling Behind Target">
      <formula>NOT(ISERROR(SEARCH("In Danger of Falling Behind Target",E39)))</formula>
    </cfRule>
    <cfRule type="containsText" dxfId="1477" priority="1583" operator="containsText" text="Not yet due">
      <formula>NOT(ISERROR(SEARCH("Not yet due",E39)))</formula>
    </cfRule>
    <cfRule type="containsText" dxfId="1476" priority="1584" operator="containsText" text="Update not Provided">
      <formula>NOT(ISERROR(SEARCH("Update not Provided",E39)))</formula>
    </cfRule>
  </conditionalFormatting>
  <conditionalFormatting sqref="E41:E42">
    <cfRule type="containsText" dxfId="1475" priority="1513" operator="containsText" text="On track to be achieved">
      <formula>NOT(ISERROR(SEARCH("On track to be achieved",E41)))</formula>
    </cfRule>
    <cfRule type="containsText" dxfId="1474" priority="1514" operator="containsText" text="Deferred">
      <formula>NOT(ISERROR(SEARCH("Deferred",E41)))</formula>
    </cfRule>
    <cfRule type="containsText" dxfId="1473" priority="1515" operator="containsText" text="Deleted">
      <formula>NOT(ISERROR(SEARCH("Deleted",E41)))</formula>
    </cfRule>
    <cfRule type="containsText" dxfId="1472" priority="1516" operator="containsText" text="In Danger of Falling Behind Target">
      <formula>NOT(ISERROR(SEARCH("In Danger of Falling Behind Target",E41)))</formula>
    </cfRule>
    <cfRule type="containsText" dxfId="1471" priority="1517" operator="containsText" text="Not yet due">
      <formula>NOT(ISERROR(SEARCH("Not yet due",E41)))</formula>
    </cfRule>
    <cfRule type="containsText" dxfId="1470" priority="1518" operator="containsText" text="Update not Provided">
      <formula>NOT(ISERROR(SEARCH("Update not Provided",E41)))</formula>
    </cfRule>
    <cfRule type="containsText" dxfId="1469" priority="1519" operator="containsText" text="Not yet due">
      <formula>NOT(ISERROR(SEARCH("Not yet due",E41)))</formula>
    </cfRule>
    <cfRule type="containsText" dxfId="1468" priority="1520" operator="containsText" text="Completed Behind Schedule">
      <formula>NOT(ISERROR(SEARCH("Completed Behind Schedule",E41)))</formula>
    </cfRule>
    <cfRule type="containsText" dxfId="1467" priority="1521" operator="containsText" text="Off Target">
      <formula>NOT(ISERROR(SEARCH("Off Target",E41)))</formula>
    </cfRule>
    <cfRule type="containsText" dxfId="1466" priority="1522" operator="containsText" text="On Track to be Achieved">
      <formula>NOT(ISERROR(SEARCH("On Track to be Achieved",E41)))</formula>
    </cfRule>
    <cfRule type="containsText" dxfId="1465" priority="1523" operator="containsText" text="Fully Achieved">
      <formula>NOT(ISERROR(SEARCH("Fully Achieved",E41)))</formula>
    </cfRule>
    <cfRule type="containsText" dxfId="1464" priority="1524" operator="containsText" text="Not yet due">
      <formula>NOT(ISERROR(SEARCH("Not yet due",E41)))</formula>
    </cfRule>
    <cfRule type="containsText" dxfId="1463" priority="1525" operator="containsText" text="Not Yet Due">
      <formula>NOT(ISERROR(SEARCH("Not Yet Due",E41)))</formula>
    </cfRule>
    <cfRule type="containsText" dxfId="1462" priority="1526" operator="containsText" text="Deferred">
      <formula>NOT(ISERROR(SEARCH("Deferred",E41)))</formula>
    </cfRule>
    <cfRule type="containsText" dxfId="1461" priority="1527" operator="containsText" text="Deleted">
      <formula>NOT(ISERROR(SEARCH("Deleted",E41)))</formula>
    </cfRule>
    <cfRule type="containsText" dxfId="1460" priority="1528" operator="containsText" text="In Danger of Falling Behind Target">
      <formula>NOT(ISERROR(SEARCH("In Danger of Falling Behind Target",E41)))</formula>
    </cfRule>
    <cfRule type="containsText" dxfId="1459" priority="1529" operator="containsText" text="Not yet due">
      <formula>NOT(ISERROR(SEARCH("Not yet due",E41)))</formula>
    </cfRule>
    <cfRule type="containsText" dxfId="1458" priority="1530" operator="containsText" text="Completed Behind Schedule">
      <formula>NOT(ISERROR(SEARCH("Completed Behind Schedule",E41)))</formula>
    </cfRule>
    <cfRule type="containsText" dxfId="1457" priority="1531" operator="containsText" text="Off Target">
      <formula>NOT(ISERROR(SEARCH("Off Target",E41)))</formula>
    </cfRule>
    <cfRule type="containsText" dxfId="1456" priority="1532" operator="containsText" text="In Danger of Falling Behind Target">
      <formula>NOT(ISERROR(SEARCH("In Danger of Falling Behind Target",E41)))</formula>
    </cfRule>
    <cfRule type="containsText" dxfId="1455" priority="1533" operator="containsText" text="On Track to be Achieved">
      <formula>NOT(ISERROR(SEARCH("On Track to be Achieved",E41)))</formula>
    </cfRule>
    <cfRule type="containsText" dxfId="1454" priority="1534" operator="containsText" text="Fully Achieved">
      <formula>NOT(ISERROR(SEARCH("Fully Achieved",E41)))</formula>
    </cfRule>
    <cfRule type="containsText" dxfId="1453" priority="1535" operator="containsText" text="Update not Provided">
      <formula>NOT(ISERROR(SEARCH("Update not Provided",E41)))</formula>
    </cfRule>
    <cfRule type="containsText" dxfId="1452" priority="1536" operator="containsText" text="Not yet due">
      <formula>NOT(ISERROR(SEARCH("Not yet due",E41)))</formula>
    </cfRule>
    <cfRule type="containsText" dxfId="1451" priority="1537" operator="containsText" text="Completed Behind Schedule">
      <formula>NOT(ISERROR(SEARCH("Completed Behind Schedule",E41)))</formula>
    </cfRule>
    <cfRule type="containsText" dxfId="1450" priority="1538" operator="containsText" text="Off Target">
      <formula>NOT(ISERROR(SEARCH("Off Target",E41)))</formula>
    </cfRule>
    <cfRule type="containsText" dxfId="1449" priority="1539" operator="containsText" text="In Danger of Falling Behind Target">
      <formula>NOT(ISERROR(SEARCH("In Danger of Falling Behind Target",E41)))</formula>
    </cfRule>
    <cfRule type="containsText" dxfId="1448" priority="1540" operator="containsText" text="On Track to be Achieved">
      <formula>NOT(ISERROR(SEARCH("On Track to be Achieved",E41)))</formula>
    </cfRule>
    <cfRule type="containsText" dxfId="1447" priority="1541" operator="containsText" text="Fully Achieved">
      <formula>NOT(ISERROR(SEARCH("Fully Achieved",E41)))</formula>
    </cfRule>
    <cfRule type="containsText" dxfId="1446" priority="1542" operator="containsText" text="Fully Achieved">
      <formula>NOT(ISERROR(SEARCH("Fully Achieved",E41)))</formula>
    </cfRule>
    <cfRule type="containsText" dxfId="1445" priority="1543" operator="containsText" text="Fully Achieved">
      <formula>NOT(ISERROR(SEARCH("Fully Achieved",E41)))</formula>
    </cfRule>
    <cfRule type="containsText" dxfId="1444" priority="1544" operator="containsText" text="Deferred">
      <formula>NOT(ISERROR(SEARCH("Deferred",E41)))</formula>
    </cfRule>
    <cfRule type="containsText" dxfId="1443" priority="1545" operator="containsText" text="Deleted">
      <formula>NOT(ISERROR(SEARCH("Deleted",E41)))</formula>
    </cfRule>
    <cfRule type="containsText" dxfId="1442" priority="1546" operator="containsText" text="In Danger of Falling Behind Target">
      <formula>NOT(ISERROR(SEARCH("In Danger of Falling Behind Target",E41)))</formula>
    </cfRule>
    <cfRule type="containsText" dxfId="1441" priority="1547" operator="containsText" text="Not yet due">
      <formula>NOT(ISERROR(SEARCH("Not yet due",E41)))</formula>
    </cfRule>
    <cfRule type="containsText" dxfId="1440" priority="1548" operator="containsText" text="Update not Provided">
      <formula>NOT(ISERROR(SEARCH("Update not Provided",E41)))</formula>
    </cfRule>
  </conditionalFormatting>
  <conditionalFormatting sqref="E46:E47">
    <cfRule type="containsText" dxfId="1439" priority="1477" operator="containsText" text="On track to be achieved">
      <formula>NOT(ISERROR(SEARCH("On track to be achieved",E46)))</formula>
    </cfRule>
    <cfRule type="containsText" dxfId="1438" priority="1478" operator="containsText" text="Deferred">
      <formula>NOT(ISERROR(SEARCH("Deferred",E46)))</formula>
    </cfRule>
    <cfRule type="containsText" dxfId="1437" priority="1479" operator="containsText" text="Deleted">
      <formula>NOT(ISERROR(SEARCH("Deleted",E46)))</formula>
    </cfRule>
    <cfRule type="containsText" dxfId="1436" priority="1480" operator="containsText" text="In Danger of Falling Behind Target">
      <formula>NOT(ISERROR(SEARCH("In Danger of Falling Behind Target",E46)))</formula>
    </cfRule>
    <cfRule type="containsText" dxfId="1435" priority="1481" operator="containsText" text="Not yet due">
      <formula>NOT(ISERROR(SEARCH("Not yet due",E46)))</formula>
    </cfRule>
    <cfRule type="containsText" dxfId="1434" priority="1482" operator="containsText" text="Update not Provided">
      <formula>NOT(ISERROR(SEARCH("Update not Provided",E46)))</formula>
    </cfRule>
    <cfRule type="containsText" dxfId="1433" priority="1483" operator="containsText" text="Not yet due">
      <formula>NOT(ISERROR(SEARCH("Not yet due",E46)))</formula>
    </cfRule>
    <cfRule type="containsText" dxfId="1432" priority="1484" operator="containsText" text="Completed Behind Schedule">
      <formula>NOT(ISERROR(SEARCH("Completed Behind Schedule",E46)))</formula>
    </cfRule>
    <cfRule type="containsText" dxfId="1431" priority="1485" operator="containsText" text="Off Target">
      <formula>NOT(ISERROR(SEARCH("Off Target",E46)))</formula>
    </cfRule>
    <cfRule type="containsText" dxfId="1430" priority="1486" operator="containsText" text="On Track to be Achieved">
      <formula>NOT(ISERROR(SEARCH("On Track to be Achieved",E46)))</formula>
    </cfRule>
    <cfRule type="containsText" dxfId="1429" priority="1487" operator="containsText" text="Fully Achieved">
      <formula>NOT(ISERROR(SEARCH("Fully Achieved",E46)))</formula>
    </cfRule>
    <cfRule type="containsText" dxfId="1428" priority="1488" operator="containsText" text="Not yet due">
      <formula>NOT(ISERROR(SEARCH("Not yet due",E46)))</formula>
    </cfRule>
    <cfRule type="containsText" dxfId="1427" priority="1489" operator="containsText" text="Not Yet Due">
      <formula>NOT(ISERROR(SEARCH("Not Yet Due",E46)))</formula>
    </cfRule>
    <cfRule type="containsText" dxfId="1426" priority="1490" operator="containsText" text="Deferred">
      <formula>NOT(ISERROR(SEARCH("Deferred",E46)))</formula>
    </cfRule>
    <cfRule type="containsText" dxfId="1425" priority="1491" operator="containsText" text="Deleted">
      <formula>NOT(ISERROR(SEARCH("Deleted",E46)))</formula>
    </cfRule>
    <cfRule type="containsText" dxfId="1424" priority="1492" operator="containsText" text="In Danger of Falling Behind Target">
      <formula>NOT(ISERROR(SEARCH("In Danger of Falling Behind Target",E46)))</formula>
    </cfRule>
    <cfRule type="containsText" dxfId="1423" priority="1493" operator="containsText" text="Not yet due">
      <formula>NOT(ISERROR(SEARCH("Not yet due",E46)))</formula>
    </cfRule>
    <cfRule type="containsText" dxfId="1422" priority="1494" operator="containsText" text="Completed Behind Schedule">
      <formula>NOT(ISERROR(SEARCH("Completed Behind Schedule",E46)))</formula>
    </cfRule>
    <cfRule type="containsText" dxfId="1421" priority="1495" operator="containsText" text="Off Target">
      <formula>NOT(ISERROR(SEARCH("Off Target",E46)))</formula>
    </cfRule>
    <cfRule type="containsText" dxfId="1420" priority="1496" operator="containsText" text="In Danger of Falling Behind Target">
      <formula>NOT(ISERROR(SEARCH("In Danger of Falling Behind Target",E46)))</formula>
    </cfRule>
    <cfRule type="containsText" dxfId="1419" priority="1497" operator="containsText" text="On Track to be Achieved">
      <formula>NOT(ISERROR(SEARCH("On Track to be Achieved",E46)))</formula>
    </cfRule>
    <cfRule type="containsText" dxfId="1418" priority="1498" operator="containsText" text="Fully Achieved">
      <formula>NOT(ISERROR(SEARCH("Fully Achieved",E46)))</formula>
    </cfRule>
    <cfRule type="containsText" dxfId="1417" priority="1499" operator="containsText" text="Update not Provided">
      <formula>NOT(ISERROR(SEARCH("Update not Provided",E46)))</formula>
    </cfRule>
    <cfRule type="containsText" dxfId="1416" priority="1500" operator="containsText" text="Not yet due">
      <formula>NOT(ISERROR(SEARCH("Not yet due",E46)))</formula>
    </cfRule>
    <cfRule type="containsText" dxfId="1415" priority="1501" operator="containsText" text="Completed Behind Schedule">
      <formula>NOT(ISERROR(SEARCH("Completed Behind Schedule",E46)))</formula>
    </cfRule>
    <cfRule type="containsText" dxfId="1414" priority="1502" operator="containsText" text="Off Target">
      <formula>NOT(ISERROR(SEARCH("Off Target",E46)))</formula>
    </cfRule>
    <cfRule type="containsText" dxfId="1413" priority="1503" operator="containsText" text="In Danger of Falling Behind Target">
      <formula>NOT(ISERROR(SEARCH("In Danger of Falling Behind Target",E46)))</formula>
    </cfRule>
    <cfRule type="containsText" dxfId="1412" priority="1504" operator="containsText" text="On Track to be Achieved">
      <formula>NOT(ISERROR(SEARCH("On Track to be Achieved",E46)))</formula>
    </cfRule>
    <cfRule type="containsText" dxfId="1411" priority="1505" operator="containsText" text="Fully Achieved">
      <formula>NOT(ISERROR(SEARCH("Fully Achieved",E46)))</formula>
    </cfRule>
    <cfRule type="containsText" dxfId="1410" priority="1506" operator="containsText" text="Fully Achieved">
      <formula>NOT(ISERROR(SEARCH("Fully Achieved",E46)))</formula>
    </cfRule>
    <cfRule type="containsText" dxfId="1409" priority="1507" operator="containsText" text="Fully Achieved">
      <formula>NOT(ISERROR(SEARCH("Fully Achieved",E46)))</formula>
    </cfRule>
    <cfRule type="containsText" dxfId="1408" priority="1508" operator="containsText" text="Deferred">
      <formula>NOT(ISERROR(SEARCH("Deferred",E46)))</formula>
    </cfRule>
    <cfRule type="containsText" dxfId="1407" priority="1509" operator="containsText" text="Deleted">
      <formula>NOT(ISERROR(SEARCH("Deleted",E46)))</formula>
    </cfRule>
    <cfRule type="containsText" dxfId="1406" priority="1510" operator="containsText" text="In Danger of Falling Behind Target">
      <formula>NOT(ISERROR(SEARCH("In Danger of Falling Behind Target",E46)))</formula>
    </cfRule>
    <cfRule type="containsText" dxfId="1405" priority="1511" operator="containsText" text="Not yet due">
      <formula>NOT(ISERROR(SEARCH("Not yet due",E46)))</formula>
    </cfRule>
    <cfRule type="containsText" dxfId="1404" priority="1512" operator="containsText" text="Update not Provided">
      <formula>NOT(ISERROR(SEARCH("Update not Provided",E46)))</formula>
    </cfRule>
  </conditionalFormatting>
  <conditionalFormatting sqref="E48:E51">
    <cfRule type="containsText" dxfId="1403" priority="1441" operator="containsText" text="On track to be achieved">
      <formula>NOT(ISERROR(SEARCH("On track to be achieved",E48)))</formula>
    </cfRule>
    <cfRule type="containsText" dxfId="1402" priority="1442" operator="containsText" text="Deferred">
      <formula>NOT(ISERROR(SEARCH("Deferred",E48)))</formula>
    </cfRule>
    <cfRule type="containsText" dxfId="1401" priority="1443" operator="containsText" text="Deleted">
      <formula>NOT(ISERROR(SEARCH("Deleted",E48)))</formula>
    </cfRule>
    <cfRule type="containsText" dxfId="1400" priority="1444" operator="containsText" text="In Danger of Falling Behind Target">
      <formula>NOT(ISERROR(SEARCH("In Danger of Falling Behind Target",E48)))</formula>
    </cfRule>
    <cfRule type="containsText" dxfId="1399" priority="1445" operator="containsText" text="Not yet due">
      <formula>NOT(ISERROR(SEARCH("Not yet due",E48)))</formula>
    </cfRule>
    <cfRule type="containsText" dxfId="1398" priority="1446" operator="containsText" text="Update not Provided">
      <formula>NOT(ISERROR(SEARCH("Update not Provided",E48)))</formula>
    </cfRule>
    <cfRule type="containsText" dxfId="1397" priority="1447" operator="containsText" text="Not yet due">
      <formula>NOT(ISERROR(SEARCH("Not yet due",E48)))</formula>
    </cfRule>
    <cfRule type="containsText" dxfId="1396" priority="1448" operator="containsText" text="Completed Behind Schedule">
      <formula>NOT(ISERROR(SEARCH("Completed Behind Schedule",E48)))</formula>
    </cfRule>
    <cfRule type="containsText" dxfId="1395" priority="1449" operator="containsText" text="Off Target">
      <formula>NOT(ISERROR(SEARCH("Off Target",E48)))</formula>
    </cfRule>
    <cfRule type="containsText" dxfId="1394" priority="1450" operator="containsText" text="On Track to be Achieved">
      <formula>NOT(ISERROR(SEARCH("On Track to be Achieved",E48)))</formula>
    </cfRule>
    <cfRule type="containsText" dxfId="1393" priority="1451" operator="containsText" text="Fully Achieved">
      <formula>NOT(ISERROR(SEARCH("Fully Achieved",E48)))</formula>
    </cfRule>
    <cfRule type="containsText" dxfId="1392" priority="1452" operator="containsText" text="Not yet due">
      <formula>NOT(ISERROR(SEARCH("Not yet due",E48)))</formula>
    </cfRule>
    <cfRule type="containsText" dxfId="1391" priority="1453" operator="containsText" text="Not Yet Due">
      <formula>NOT(ISERROR(SEARCH("Not Yet Due",E48)))</formula>
    </cfRule>
    <cfRule type="containsText" dxfId="1390" priority="1454" operator="containsText" text="Deferred">
      <formula>NOT(ISERROR(SEARCH("Deferred",E48)))</formula>
    </cfRule>
    <cfRule type="containsText" dxfId="1389" priority="1455" operator="containsText" text="Deleted">
      <formula>NOT(ISERROR(SEARCH("Deleted",E48)))</formula>
    </cfRule>
    <cfRule type="containsText" dxfId="1388" priority="1456" operator="containsText" text="In Danger of Falling Behind Target">
      <formula>NOT(ISERROR(SEARCH("In Danger of Falling Behind Target",E48)))</formula>
    </cfRule>
    <cfRule type="containsText" dxfId="1387" priority="1457" operator="containsText" text="Not yet due">
      <formula>NOT(ISERROR(SEARCH("Not yet due",E48)))</formula>
    </cfRule>
    <cfRule type="containsText" dxfId="1386" priority="1458" operator="containsText" text="Completed Behind Schedule">
      <formula>NOT(ISERROR(SEARCH("Completed Behind Schedule",E48)))</formula>
    </cfRule>
    <cfRule type="containsText" dxfId="1385" priority="1459" operator="containsText" text="Off Target">
      <formula>NOT(ISERROR(SEARCH("Off Target",E48)))</formula>
    </cfRule>
    <cfRule type="containsText" dxfId="1384" priority="1460" operator="containsText" text="In Danger of Falling Behind Target">
      <formula>NOT(ISERROR(SEARCH("In Danger of Falling Behind Target",E48)))</formula>
    </cfRule>
    <cfRule type="containsText" dxfId="1383" priority="1461" operator="containsText" text="On Track to be Achieved">
      <formula>NOT(ISERROR(SEARCH("On Track to be Achieved",E48)))</formula>
    </cfRule>
    <cfRule type="containsText" dxfId="1382" priority="1462" operator="containsText" text="Fully Achieved">
      <formula>NOT(ISERROR(SEARCH("Fully Achieved",E48)))</formula>
    </cfRule>
    <cfRule type="containsText" dxfId="1381" priority="1463" operator="containsText" text="Update not Provided">
      <formula>NOT(ISERROR(SEARCH("Update not Provided",E48)))</formula>
    </cfRule>
    <cfRule type="containsText" dxfId="1380" priority="1464" operator="containsText" text="Not yet due">
      <formula>NOT(ISERROR(SEARCH("Not yet due",E48)))</formula>
    </cfRule>
    <cfRule type="containsText" dxfId="1379" priority="1465" operator="containsText" text="Completed Behind Schedule">
      <formula>NOT(ISERROR(SEARCH("Completed Behind Schedule",E48)))</formula>
    </cfRule>
    <cfRule type="containsText" dxfId="1378" priority="1466" operator="containsText" text="Off Target">
      <formula>NOT(ISERROR(SEARCH("Off Target",E48)))</formula>
    </cfRule>
    <cfRule type="containsText" dxfId="1377" priority="1467" operator="containsText" text="In Danger of Falling Behind Target">
      <formula>NOT(ISERROR(SEARCH("In Danger of Falling Behind Target",E48)))</formula>
    </cfRule>
    <cfRule type="containsText" dxfId="1376" priority="1468" operator="containsText" text="On Track to be Achieved">
      <formula>NOT(ISERROR(SEARCH("On Track to be Achieved",E48)))</formula>
    </cfRule>
    <cfRule type="containsText" dxfId="1375" priority="1469" operator="containsText" text="Fully Achieved">
      <formula>NOT(ISERROR(SEARCH("Fully Achieved",E48)))</formula>
    </cfRule>
    <cfRule type="containsText" dxfId="1374" priority="1470" operator="containsText" text="Fully Achieved">
      <formula>NOT(ISERROR(SEARCH("Fully Achieved",E48)))</formula>
    </cfRule>
    <cfRule type="containsText" dxfId="1373" priority="1471" operator="containsText" text="Fully Achieved">
      <formula>NOT(ISERROR(SEARCH("Fully Achieved",E48)))</formula>
    </cfRule>
    <cfRule type="containsText" dxfId="1372" priority="1472" operator="containsText" text="Deferred">
      <formula>NOT(ISERROR(SEARCH("Deferred",E48)))</formula>
    </cfRule>
    <cfRule type="containsText" dxfId="1371" priority="1473" operator="containsText" text="Deleted">
      <formula>NOT(ISERROR(SEARCH("Deleted",E48)))</formula>
    </cfRule>
    <cfRule type="containsText" dxfId="1370" priority="1474" operator="containsText" text="In Danger of Falling Behind Target">
      <formula>NOT(ISERROR(SEARCH("In Danger of Falling Behind Target",E48)))</formula>
    </cfRule>
    <cfRule type="containsText" dxfId="1369" priority="1475" operator="containsText" text="Not yet due">
      <formula>NOT(ISERROR(SEARCH("Not yet due",E48)))</formula>
    </cfRule>
    <cfRule type="containsText" dxfId="1368" priority="1476" operator="containsText" text="Update not Provided">
      <formula>NOT(ISERROR(SEARCH("Update not Provided",E48)))</formula>
    </cfRule>
  </conditionalFormatting>
  <conditionalFormatting sqref="E54">
    <cfRule type="containsText" dxfId="1367" priority="1405" operator="containsText" text="On track to be achieved">
      <formula>NOT(ISERROR(SEARCH("On track to be achieved",E54)))</formula>
    </cfRule>
    <cfRule type="containsText" dxfId="1366" priority="1406" operator="containsText" text="Deferred">
      <formula>NOT(ISERROR(SEARCH("Deferred",E54)))</formula>
    </cfRule>
    <cfRule type="containsText" dxfId="1365" priority="1407" operator="containsText" text="Deleted">
      <formula>NOT(ISERROR(SEARCH("Deleted",E54)))</formula>
    </cfRule>
    <cfRule type="containsText" dxfId="1364" priority="1408" operator="containsText" text="In Danger of Falling Behind Target">
      <formula>NOT(ISERROR(SEARCH("In Danger of Falling Behind Target",E54)))</formula>
    </cfRule>
    <cfRule type="containsText" dxfId="1363" priority="1409" operator="containsText" text="Not yet due">
      <formula>NOT(ISERROR(SEARCH("Not yet due",E54)))</formula>
    </cfRule>
    <cfRule type="containsText" dxfId="1362" priority="1410" operator="containsText" text="Update not Provided">
      <formula>NOT(ISERROR(SEARCH("Update not Provided",E54)))</formula>
    </cfRule>
    <cfRule type="containsText" dxfId="1361" priority="1411" operator="containsText" text="Not yet due">
      <formula>NOT(ISERROR(SEARCH("Not yet due",E54)))</formula>
    </cfRule>
    <cfRule type="containsText" dxfId="1360" priority="1412" operator="containsText" text="Completed Behind Schedule">
      <formula>NOT(ISERROR(SEARCH("Completed Behind Schedule",E54)))</formula>
    </cfRule>
    <cfRule type="containsText" dxfId="1359" priority="1413" operator="containsText" text="Off Target">
      <formula>NOT(ISERROR(SEARCH("Off Target",E54)))</formula>
    </cfRule>
    <cfRule type="containsText" dxfId="1358" priority="1414" operator="containsText" text="On Track to be Achieved">
      <formula>NOT(ISERROR(SEARCH("On Track to be Achieved",E54)))</formula>
    </cfRule>
    <cfRule type="containsText" dxfId="1357" priority="1415" operator="containsText" text="Fully Achieved">
      <formula>NOT(ISERROR(SEARCH("Fully Achieved",E54)))</formula>
    </cfRule>
    <cfRule type="containsText" dxfId="1356" priority="1416" operator="containsText" text="Not yet due">
      <formula>NOT(ISERROR(SEARCH("Not yet due",E54)))</formula>
    </cfRule>
    <cfRule type="containsText" dxfId="1355" priority="1417" operator="containsText" text="Not Yet Due">
      <formula>NOT(ISERROR(SEARCH("Not Yet Due",E54)))</formula>
    </cfRule>
    <cfRule type="containsText" dxfId="1354" priority="1418" operator="containsText" text="Deferred">
      <formula>NOT(ISERROR(SEARCH("Deferred",E54)))</formula>
    </cfRule>
    <cfRule type="containsText" dxfId="1353" priority="1419" operator="containsText" text="Deleted">
      <formula>NOT(ISERROR(SEARCH("Deleted",E54)))</formula>
    </cfRule>
    <cfRule type="containsText" dxfId="1352" priority="1420" operator="containsText" text="In Danger of Falling Behind Target">
      <formula>NOT(ISERROR(SEARCH("In Danger of Falling Behind Target",E54)))</formula>
    </cfRule>
    <cfRule type="containsText" dxfId="1351" priority="1421" operator="containsText" text="Not yet due">
      <formula>NOT(ISERROR(SEARCH("Not yet due",E54)))</formula>
    </cfRule>
    <cfRule type="containsText" dxfId="1350" priority="1422" operator="containsText" text="Completed Behind Schedule">
      <formula>NOT(ISERROR(SEARCH("Completed Behind Schedule",E54)))</formula>
    </cfRule>
    <cfRule type="containsText" dxfId="1349" priority="1423" operator="containsText" text="Off Target">
      <formula>NOT(ISERROR(SEARCH("Off Target",E54)))</formula>
    </cfRule>
    <cfRule type="containsText" dxfId="1348" priority="1424" operator="containsText" text="In Danger of Falling Behind Target">
      <formula>NOT(ISERROR(SEARCH("In Danger of Falling Behind Target",E54)))</formula>
    </cfRule>
    <cfRule type="containsText" dxfId="1347" priority="1425" operator="containsText" text="On Track to be Achieved">
      <formula>NOT(ISERROR(SEARCH("On Track to be Achieved",E54)))</formula>
    </cfRule>
    <cfRule type="containsText" dxfId="1346" priority="1426" operator="containsText" text="Fully Achieved">
      <formula>NOT(ISERROR(SEARCH("Fully Achieved",E54)))</formula>
    </cfRule>
    <cfRule type="containsText" dxfId="1345" priority="1427" operator="containsText" text="Update not Provided">
      <formula>NOT(ISERROR(SEARCH("Update not Provided",E54)))</formula>
    </cfRule>
    <cfRule type="containsText" dxfId="1344" priority="1428" operator="containsText" text="Not yet due">
      <formula>NOT(ISERROR(SEARCH("Not yet due",E54)))</formula>
    </cfRule>
    <cfRule type="containsText" dxfId="1343" priority="1429" operator="containsText" text="Completed Behind Schedule">
      <formula>NOT(ISERROR(SEARCH("Completed Behind Schedule",E54)))</formula>
    </cfRule>
    <cfRule type="containsText" dxfId="1342" priority="1430" operator="containsText" text="Off Target">
      <formula>NOT(ISERROR(SEARCH("Off Target",E54)))</formula>
    </cfRule>
    <cfRule type="containsText" dxfId="1341" priority="1431" operator="containsText" text="In Danger of Falling Behind Target">
      <formula>NOT(ISERROR(SEARCH("In Danger of Falling Behind Target",E54)))</formula>
    </cfRule>
    <cfRule type="containsText" dxfId="1340" priority="1432" operator="containsText" text="On Track to be Achieved">
      <formula>NOT(ISERROR(SEARCH("On Track to be Achieved",E54)))</formula>
    </cfRule>
    <cfRule type="containsText" dxfId="1339" priority="1433" operator="containsText" text="Fully Achieved">
      <formula>NOT(ISERROR(SEARCH("Fully Achieved",E54)))</formula>
    </cfRule>
    <cfRule type="containsText" dxfId="1338" priority="1434" operator="containsText" text="Fully Achieved">
      <formula>NOT(ISERROR(SEARCH("Fully Achieved",E54)))</formula>
    </cfRule>
    <cfRule type="containsText" dxfId="1337" priority="1435" operator="containsText" text="Fully Achieved">
      <formula>NOT(ISERROR(SEARCH("Fully Achieved",E54)))</formula>
    </cfRule>
    <cfRule type="containsText" dxfId="1336" priority="1436" operator="containsText" text="Deferred">
      <formula>NOT(ISERROR(SEARCH("Deferred",E54)))</formula>
    </cfRule>
    <cfRule type="containsText" dxfId="1335" priority="1437" operator="containsText" text="Deleted">
      <formula>NOT(ISERROR(SEARCH("Deleted",E54)))</formula>
    </cfRule>
    <cfRule type="containsText" dxfId="1334" priority="1438" operator="containsText" text="In Danger of Falling Behind Target">
      <formula>NOT(ISERROR(SEARCH("In Danger of Falling Behind Target",E54)))</formula>
    </cfRule>
    <cfRule type="containsText" dxfId="1333" priority="1439" operator="containsText" text="Not yet due">
      <formula>NOT(ISERROR(SEARCH("Not yet due",E54)))</formula>
    </cfRule>
    <cfRule type="containsText" dxfId="1332" priority="1440" operator="containsText" text="Update not Provided">
      <formula>NOT(ISERROR(SEARCH("Update not Provided",E54)))</formula>
    </cfRule>
  </conditionalFormatting>
  <conditionalFormatting sqref="E56:E57">
    <cfRule type="containsText" dxfId="1331" priority="1369" operator="containsText" text="On track to be achieved">
      <formula>NOT(ISERROR(SEARCH("On track to be achieved",E56)))</formula>
    </cfRule>
    <cfRule type="containsText" dxfId="1330" priority="1370" operator="containsText" text="Deferred">
      <formula>NOT(ISERROR(SEARCH("Deferred",E56)))</formula>
    </cfRule>
    <cfRule type="containsText" dxfId="1329" priority="1371" operator="containsText" text="Deleted">
      <formula>NOT(ISERROR(SEARCH("Deleted",E56)))</formula>
    </cfRule>
    <cfRule type="containsText" dxfId="1328" priority="1372" operator="containsText" text="In Danger of Falling Behind Target">
      <formula>NOT(ISERROR(SEARCH("In Danger of Falling Behind Target",E56)))</formula>
    </cfRule>
    <cfRule type="containsText" dxfId="1327" priority="1373" operator="containsText" text="Not yet due">
      <formula>NOT(ISERROR(SEARCH("Not yet due",E56)))</formula>
    </cfRule>
    <cfRule type="containsText" dxfId="1326" priority="1374" operator="containsText" text="Update not Provided">
      <formula>NOT(ISERROR(SEARCH("Update not Provided",E56)))</formula>
    </cfRule>
    <cfRule type="containsText" dxfId="1325" priority="1375" operator="containsText" text="Not yet due">
      <formula>NOT(ISERROR(SEARCH("Not yet due",E56)))</formula>
    </cfRule>
    <cfRule type="containsText" dxfId="1324" priority="1376" operator="containsText" text="Completed Behind Schedule">
      <formula>NOT(ISERROR(SEARCH("Completed Behind Schedule",E56)))</formula>
    </cfRule>
    <cfRule type="containsText" dxfId="1323" priority="1377" operator="containsText" text="Off Target">
      <formula>NOT(ISERROR(SEARCH("Off Target",E56)))</formula>
    </cfRule>
    <cfRule type="containsText" dxfId="1322" priority="1378" operator="containsText" text="On Track to be Achieved">
      <formula>NOT(ISERROR(SEARCH("On Track to be Achieved",E56)))</formula>
    </cfRule>
    <cfRule type="containsText" dxfId="1321" priority="1379" operator="containsText" text="Fully Achieved">
      <formula>NOT(ISERROR(SEARCH("Fully Achieved",E56)))</formula>
    </cfRule>
    <cfRule type="containsText" dxfId="1320" priority="1380" operator="containsText" text="Not yet due">
      <formula>NOT(ISERROR(SEARCH("Not yet due",E56)))</formula>
    </cfRule>
    <cfRule type="containsText" dxfId="1319" priority="1381" operator="containsText" text="Not Yet Due">
      <formula>NOT(ISERROR(SEARCH("Not Yet Due",E56)))</formula>
    </cfRule>
    <cfRule type="containsText" dxfId="1318" priority="1382" operator="containsText" text="Deferred">
      <formula>NOT(ISERROR(SEARCH("Deferred",E56)))</formula>
    </cfRule>
    <cfRule type="containsText" dxfId="1317" priority="1383" operator="containsText" text="Deleted">
      <formula>NOT(ISERROR(SEARCH("Deleted",E56)))</formula>
    </cfRule>
    <cfRule type="containsText" dxfId="1316" priority="1384" operator="containsText" text="In Danger of Falling Behind Target">
      <formula>NOT(ISERROR(SEARCH("In Danger of Falling Behind Target",E56)))</formula>
    </cfRule>
    <cfRule type="containsText" dxfId="1315" priority="1385" operator="containsText" text="Not yet due">
      <formula>NOT(ISERROR(SEARCH("Not yet due",E56)))</formula>
    </cfRule>
    <cfRule type="containsText" dxfId="1314" priority="1386" operator="containsText" text="Completed Behind Schedule">
      <formula>NOT(ISERROR(SEARCH("Completed Behind Schedule",E56)))</formula>
    </cfRule>
    <cfRule type="containsText" dxfId="1313" priority="1387" operator="containsText" text="Off Target">
      <formula>NOT(ISERROR(SEARCH("Off Target",E56)))</formula>
    </cfRule>
    <cfRule type="containsText" dxfId="1312" priority="1388" operator="containsText" text="In Danger of Falling Behind Target">
      <formula>NOT(ISERROR(SEARCH("In Danger of Falling Behind Target",E56)))</formula>
    </cfRule>
    <cfRule type="containsText" dxfId="1311" priority="1389" operator="containsText" text="On Track to be Achieved">
      <formula>NOT(ISERROR(SEARCH("On Track to be Achieved",E56)))</formula>
    </cfRule>
    <cfRule type="containsText" dxfId="1310" priority="1390" operator="containsText" text="Fully Achieved">
      <formula>NOT(ISERROR(SEARCH("Fully Achieved",E56)))</formula>
    </cfRule>
    <cfRule type="containsText" dxfId="1309" priority="1391" operator="containsText" text="Update not Provided">
      <formula>NOT(ISERROR(SEARCH("Update not Provided",E56)))</formula>
    </cfRule>
    <cfRule type="containsText" dxfId="1308" priority="1392" operator="containsText" text="Not yet due">
      <formula>NOT(ISERROR(SEARCH("Not yet due",E56)))</formula>
    </cfRule>
    <cfRule type="containsText" dxfId="1307" priority="1393" operator="containsText" text="Completed Behind Schedule">
      <formula>NOT(ISERROR(SEARCH("Completed Behind Schedule",E56)))</formula>
    </cfRule>
    <cfRule type="containsText" dxfId="1306" priority="1394" operator="containsText" text="Off Target">
      <formula>NOT(ISERROR(SEARCH("Off Target",E56)))</formula>
    </cfRule>
    <cfRule type="containsText" dxfId="1305" priority="1395" operator="containsText" text="In Danger of Falling Behind Target">
      <formula>NOT(ISERROR(SEARCH("In Danger of Falling Behind Target",E56)))</formula>
    </cfRule>
    <cfRule type="containsText" dxfId="1304" priority="1396" operator="containsText" text="On Track to be Achieved">
      <formula>NOT(ISERROR(SEARCH("On Track to be Achieved",E56)))</formula>
    </cfRule>
    <cfRule type="containsText" dxfId="1303" priority="1397" operator="containsText" text="Fully Achieved">
      <formula>NOT(ISERROR(SEARCH("Fully Achieved",E56)))</formula>
    </cfRule>
    <cfRule type="containsText" dxfId="1302" priority="1398" operator="containsText" text="Fully Achieved">
      <formula>NOT(ISERROR(SEARCH("Fully Achieved",E56)))</formula>
    </cfRule>
    <cfRule type="containsText" dxfId="1301" priority="1399" operator="containsText" text="Fully Achieved">
      <formula>NOT(ISERROR(SEARCH("Fully Achieved",E56)))</formula>
    </cfRule>
    <cfRule type="containsText" dxfId="1300" priority="1400" operator="containsText" text="Deferred">
      <formula>NOT(ISERROR(SEARCH("Deferred",E56)))</formula>
    </cfRule>
    <cfRule type="containsText" dxfId="1299" priority="1401" operator="containsText" text="Deleted">
      <formula>NOT(ISERROR(SEARCH("Deleted",E56)))</formula>
    </cfRule>
    <cfRule type="containsText" dxfId="1298" priority="1402" operator="containsText" text="In Danger of Falling Behind Target">
      <formula>NOT(ISERROR(SEARCH("In Danger of Falling Behind Target",E56)))</formula>
    </cfRule>
    <cfRule type="containsText" dxfId="1297" priority="1403" operator="containsText" text="Not yet due">
      <formula>NOT(ISERROR(SEARCH("Not yet due",E56)))</formula>
    </cfRule>
    <cfRule type="containsText" dxfId="1296" priority="1404" operator="containsText" text="Update not Provided">
      <formula>NOT(ISERROR(SEARCH("Update not Provided",E56)))</formula>
    </cfRule>
  </conditionalFormatting>
  <conditionalFormatting sqref="E59">
    <cfRule type="containsText" dxfId="1295" priority="1333" operator="containsText" text="On track to be achieved">
      <formula>NOT(ISERROR(SEARCH("On track to be achieved",E59)))</formula>
    </cfRule>
    <cfRule type="containsText" dxfId="1294" priority="1334" operator="containsText" text="Deferred">
      <formula>NOT(ISERROR(SEARCH("Deferred",E59)))</formula>
    </cfRule>
    <cfRule type="containsText" dxfId="1293" priority="1335" operator="containsText" text="Deleted">
      <formula>NOT(ISERROR(SEARCH("Deleted",E59)))</formula>
    </cfRule>
    <cfRule type="containsText" dxfId="1292" priority="1336" operator="containsText" text="In Danger of Falling Behind Target">
      <formula>NOT(ISERROR(SEARCH("In Danger of Falling Behind Target",E59)))</formula>
    </cfRule>
    <cfRule type="containsText" dxfId="1291" priority="1337" operator="containsText" text="Not yet due">
      <formula>NOT(ISERROR(SEARCH("Not yet due",E59)))</formula>
    </cfRule>
    <cfRule type="containsText" dxfId="1290" priority="1338" operator="containsText" text="Update not Provided">
      <formula>NOT(ISERROR(SEARCH("Update not Provided",E59)))</formula>
    </cfRule>
    <cfRule type="containsText" dxfId="1289" priority="1339" operator="containsText" text="Not yet due">
      <formula>NOT(ISERROR(SEARCH("Not yet due",E59)))</formula>
    </cfRule>
    <cfRule type="containsText" dxfId="1288" priority="1340" operator="containsText" text="Completed Behind Schedule">
      <formula>NOT(ISERROR(SEARCH("Completed Behind Schedule",E59)))</formula>
    </cfRule>
    <cfRule type="containsText" dxfId="1287" priority="1341" operator="containsText" text="Off Target">
      <formula>NOT(ISERROR(SEARCH("Off Target",E59)))</formula>
    </cfRule>
    <cfRule type="containsText" dxfId="1286" priority="1342" operator="containsText" text="On Track to be Achieved">
      <formula>NOT(ISERROR(SEARCH("On Track to be Achieved",E59)))</formula>
    </cfRule>
    <cfRule type="containsText" dxfId="1285" priority="1343" operator="containsText" text="Fully Achieved">
      <formula>NOT(ISERROR(SEARCH("Fully Achieved",E59)))</formula>
    </cfRule>
    <cfRule type="containsText" dxfId="1284" priority="1344" operator="containsText" text="Not yet due">
      <formula>NOT(ISERROR(SEARCH("Not yet due",E59)))</formula>
    </cfRule>
    <cfRule type="containsText" dxfId="1283" priority="1345" operator="containsText" text="Not Yet Due">
      <formula>NOT(ISERROR(SEARCH("Not Yet Due",E59)))</formula>
    </cfRule>
    <cfRule type="containsText" dxfId="1282" priority="1346" operator="containsText" text="Deferred">
      <formula>NOT(ISERROR(SEARCH("Deferred",E59)))</formula>
    </cfRule>
    <cfRule type="containsText" dxfId="1281" priority="1347" operator="containsText" text="Deleted">
      <formula>NOT(ISERROR(SEARCH("Deleted",E59)))</formula>
    </cfRule>
    <cfRule type="containsText" dxfId="1280" priority="1348" operator="containsText" text="In Danger of Falling Behind Target">
      <formula>NOT(ISERROR(SEARCH("In Danger of Falling Behind Target",E59)))</formula>
    </cfRule>
    <cfRule type="containsText" dxfId="1279" priority="1349" operator="containsText" text="Not yet due">
      <formula>NOT(ISERROR(SEARCH("Not yet due",E59)))</formula>
    </cfRule>
    <cfRule type="containsText" dxfId="1278" priority="1350" operator="containsText" text="Completed Behind Schedule">
      <formula>NOT(ISERROR(SEARCH("Completed Behind Schedule",E59)))</formula>
    </cfRule>
    <cfRule type="containsText" dxfId="1277" priority="1351" operator="containsText" text="Off Target">
      <formula>NOT(ISERROR(SEARCH("Off Target",E59)))</formula>
    </cfRule>
    <cfRule type="containsText" dxfId="1276" priority="1352" operator="containsText" text="In Danger of Falling Behind Target">
      <formula>NOT(ISERROR(SEARCH("In Danger of Falling Behind Target",E59)))</formula>
    </cfRule>
    <cfRule type="containsText" dxfId="1275" priority="1353" operator="containsText" text="On Track to be Achieved">
      <formula>NOT(ISERROR(SEARCH("On Track to be Achieved",E59)))</formula>
    </cfRule>
    <cfRule type="containsText" dxfId="1274" priority="1354" operator="containsText" text="Fully Achieved">
      <formula>NOT(ISERROR(SEARCH("Fully Achieved",E59)))</formula>
    </cfRule>
    <cfRule type="containsText" dxfId="1273" priority="1355" operator="containsText" text="Update not Provided">
      <formula>NOT(ISERROR(SEARCH("Update not Provided",E59)))</formula>
    </cfRule>
    <cfRule type="containsText" dxfId="1272" priority="1356" operator="containsText" text="Not yet due">
      <formula>NOT(ISERROR(SEARCH("Not yet due",E59)))</formula>
    </cfRule>
    <cfRule type="containsText" dxfId="1271" priority="1357" operator="containsText" text="Completed Behind Schedule">
      <formula>NOT(ISERROR(SEARCH("Completed Behind Schedule",E59)))</formula>
    </cfRule>
    <cfRule type="containsText" dxfId="1270" priority="1358" operator="containsText" text="Off Target">
      <formula>NOT(ISERROR(SEARCH("Off Target",E59)))</formula>
    </cfRule>
    <cfRule type="containsText" dxfId="1269" priority="1359" operator="containsText" text="In Danger of Falling Behind Target">
      <formula>NOT(ISERROR(SEARCH("In Danger of Falling Behind Target",E59)))</formula>
    </cfRule>
    <cfRule type="containsText" dxfId="1268" priority="1360" operator="containsText" text="On Track to be Achieved">
      <formula>NOT(ISERROR(SEARCH("On Track to be Achieved",E59)))</formula>
    </cfRule>
    <cfRule type="containsText" dxfId="1267" priority="1361" operator="containsText" text="Fully Achieved">
      <formula>NOT(ISERROR(SEARCH("Fully Achieved",E59)))</formula>
    </cfRule>
    <cfRule type="containsText" dxfId="1266" priority="1362" operator="containsText" text="Fully Achieved">
      <formula>NOT(ISERROR(SEARCH("Fully Achieved",E59)))</formula>
    </cfRule>
    <cfRule type="containsText" dxfId="1265" priority="1363" operator="containsText" text="Fully Achieved">
      <formula>NOT(ISERROR(SEARCH("Fully Achieved",E59)))</formula>
    </cfRule>
    <cfRule type="containsText" dxfId="1264" priority="1364" operator="containsText" text="Deferred">
      <formula>NOT(ISERROR(SEARCH("Deferred",E59)))</formula>
    </cfRule>
    <cfRule type="containsText" dxfId="1263" priority="1365" operator="containsText" text="Deleted">
      <formula>NOT(ISERROR(SEARCH("Deleted",E59)))</formula>
    </cfRule>
    <cfRule type="containsText" dxfId="1262" priority="1366" operator="containsText" text="In Danger of Falling Behind Target">
      <formula>NOT(ISERROR(SEARCH("In Danger of Falling Behind Target",E59)))</formula>
    </cfRule>
    <cfRule type="containsText" dxfId="1261" priority="1367" operator="containsText" text="Not yet due">
      <formula>NOT(ISERROR(SEARCH("Not yet due",E59)))</formula>
    </cfRule>
    <cfRule type="containsText" dxfId="1260" priority="1368" operator="containsText" text="Update not Provided">
      <formula>NOT(ISERROR(SEARCH("Update not Provided",E59)))</formula>
    </cfRule>
  </conditionalFormatting>
  <conditionalFormatting sqref="E61">
    <cfRule type="containsText" dxfId="1259" priority="1297" operator="containsText" text="On track to be achieved">
      <formula>NOT(ISERROR(SEARCH("On track to be achieved",E61)))</formula>
    </cfRule>
    <cfRule type="containsText" dxfId="1258" priority="1298" operator="containsText" text="Deferred">
      <formula>NOT(ISERROR(SEARCH("Deferred",E61)))</formula>
    </cfRule>
    <cfRule type="containsText" dxfId="1257" priority="1299" operator="containsText" text="Deleted">
      <formula>NOT(ISERROR(SEARCH("Deleted",E61)))</formula>
    </cfRule>
    <cfRule type="containsText" dxfId="1256" priority="1300" operator="containsText" text="In Danger of Falling Behind Target">
      <formula>NOT(ISERROR(SEARCH("In Danger of Falling Behind Target",E61)))</formula>
    </cfRule>
    <cfRule type="containsText" dxfId="1255" priority="1301" operator="containsText" text="Not yet due">
      <formula>NOT(ISERROR(SEARCH("Not yet due",E61)))</formula>
    </cfRule>
    <cfRule type="containsText" dxfId="1254" priority="1302" operator="containsText" text="Update not Provided">
      <formula>NOT(ISERROR(SEARCH("Update not Provided",E61)))</formula>
    </cfRule>
    <cfRule type="containsText" dxfId="1253" priority="1303" operator="containsText" text="Not yet due">
      <formula>NOT(ISERROR(SEARCH("Not yet due",E61)))</formula>
    </cfRule>
    <cfRule type="containsText" dxfId="1252" priority="1304" operator="containsText" text="Completed Behind Schedule">
      <formula>NOT(ISERROR(SEARCH("Completed Behind Schedule",E61)))</formula>
    </cfRule>
    <cfRule type="containsText" dxfId="1251" priority="1305" operator="containsText" text="Off Target">
      <formula>NOT(ISERROR(SEARCH("Off Target",E61)))</formula>
    </cfRule>
    <cfRule type="containsText" dxfId="1250" priority="1306" operator="containsText" text="On Track to be Achieved">
      <formula>NOT(ISERROR(SEARCH("On Track to be Achieved",E61)))</formula>
    </cfRule>
    <cfRule type="containsText" dxfId="1249" priority="1307" operator="containsText" text="Fully Achieved">
      <formula>NOT(ISERROR(SEARCH("Fully Achieved",E61)))</formula>
    </cfRule>
    <cfRule type="containsText" dxfId="1248" priority="1308" operator="containsText" text="Not yet due">
      <formula>NOT(ISERROR(SEARCH("Not yet due",E61)))</formula>
    </cfRule>
    <cfRule type="containsText" dxfId="1247" priority="1309" operator="containsText" text="Not Yet Due">
      <formula>NOT(ISERROR(SEARCH("Not Yet Due",E61)))</formula>
    </cfRule>
    <cfRule type="containsText" dxfId="1246" priority="1310" operator="containsText" text="Deferred">
      <formula>NOT(ISERROR(SEARCH("Deferred",E61)))</formula>
    </cfRule>
    <cfRule type="containsText" dxfId="1245" priority="1311" operator="containsText" text="Deleted">
      <formula>NOT(ISERROR(SEARCH("Deleted",E61)))</formula>
    </cfRule>
    <cfRule type="containsText" dxfId="1244" priority="1312" operator="containsText" text="In Danger of Falling Behind Target">
      <formula>NOT(ISERROR(SEARCH("In Danger of Falling Behind Target",E61)))</formula>
    </cfRule>
    <cfRule type="containsText" dxfId="1243" priority="1313" operator="containsText" text="Not yet due">
      <formula>NOT(ISERROR(SEARCH("Not yet due",E61)))</formula>
    </cfRule>
    <cfRule type="containsText" dxfId="1242" priority="1314" operator="containsText" text="Completed Behind Schedule">
      <formula>NOT(ISERROR(SEARCH("Completed Behind Schedule",E61)))</formula>
    </cfRule>
    <cfRule type="containsText" dxfId="1241" priority="1315" operator="containsText" text="Off Target">
      <formula>NOT(ISERROR(SEARCH("Off Target",E61)))</formula>
    </cfRule>
    <cfRule type="containsText" dxfId="1240" priority="1316" operator="containsText" text="In Danger of Falling Behind Target">
      <formula>NOT(ISERROR(SEARCH("In Danger of Falling Behind Target",E61)))</formula>
    </cfRule>
    <cfRule type="containsText" dxfId="1239" priority="1317" operator="containsText" text="On Track to be Achieved">
      <formula>NOT(ISERROR(SEARCH("On Track to be Achieved",E61)))</formula>
    </cfRule>
    <cfRule type="containsText" dxfId="1238" priority="1318" operator="containsText" text="Fully Achieved">
      <formula>NOT(ISERROR(SEARCH("Fully Achieved",E61)))</formula>
    </cfRule>
    <cfRule type="containsText" dxfId="1237" priority="1319" operator="containsText" text="Update not Provided">
      <formula>NOT(ISERROR(SEARCH("Update not Provided",E61)))</formula>
    </cfRule>
    <cfRule type="containsText" dxfId="1236" priority="1320" operator="containsText" text="Not yet due">
      <formula>NOT(ISERROR(SEARCH("Not yet due",E61)))</formula>
    </cfRule>
    <cfRule type="containsText" dxfId="1235" priority="1321" operator="containsText" text="Completed Behind Schedule">
      <formula>NOT(ISERROR(SEARCH("Completed Behind Schedule",E61)))</formula>
    </cfRule>
    <cfRule type="containsText" dxfId="1234" priority="1322" operator="containsText" text="Off Target">
      <formula>NOT(ISERROR(SEARCH("Off Target",E61)))</formula>
    </cfRule>
    <cfRule type="containsText" dxfId="1233" priority="1323" operator="containsText" text="In Danger of Falling Behind Target">
      <formula>NOT(ISERROR(SEARCH("In Danger of Falling Behind Target",E61)))</formula>
    </cfRule>
    <cfRule type="containsText" dxfId="1232" priority="1324" operator="containsText" text="On Track to be Achieved">
      <formula>NOT(ISERROR(SEARCH("On Track to be Achieved",E61)))</formula>
    </cfRule>
    <cfRule type="containsText" dxfId="1231" priority="1325" operator="containsText" text="Fully Achieved">
      <formula>NOT(ISERROR(SEARCH("Fully Achieved",E61)))</formula>
    </cfRule>
    <cfRule type="containsText" dxfId="1230" priority="1326" operator="containsText" text="Fully Achieved">
      <formula>NOT(ISERROR(SEARCH("Fully Achieved",E61)))</formula>
    </cfRule>
    <cfRule type="containsText" dxfId="1229" priority="1327" operator="containsText" text="Fully Achieved">
      <formula>NOT(ISERROR(SEARCH("Fully Achieved",E61)))</formula>
    </cfRule>
    <cfRule type="containsText" dxfId="1228" priority="1328" operator="containsText" text="Deferred">
      <formula>NOT(ISERROR(SEARCH("Deferred",E61)))</formula>
    </cfRule>
    <cfRule type="containsText" dxfId="1227" priority="1329" operator="containsText" text="Deleted">
      <formula>NOT(ISERROR(SEARCH("Deleted",E61)))</formula>
    </cfRule>
    <cfRule type="containsText" dxfId="1226" priority="1330" operator="containsText" text="In Danger of Falling Behind Target">
      <formula>NOT(ISERROR(SEARCH("In Danger of Falling Behind Target",E61)))</formula>
    </cfRule>
    <cfRule type="containsText" dxfId="1225" priority="1331" operator="containsText" text="Not yet due">
      <formula>NOT(ISERROR(SEARCH("Not yet due",E61)))</formula>
    </cfRule>
    <cfRule type="containsText" dxfId="1224" priority="1332" operator="containsText" text="Update not Provided">
      <formula>NOT(ISERROR(SEARCH("Update not Provided",E61)))</formula>
    </cfRule>
  </conditionalFormatting>
  <conditionalFormatting sqref="E64:E73">
    <cfRule type="containsText" dxfId="1223" priority="1261" operator="containsText" text="On track to be achieved">
      <formula>NOT(ISERROR(SEARCH("On track to be achieved",E64)))</formula>
    </cfRule>
    <cfRule type="containsText" dxfId="1222" priority="1262" operator="containsText" text="Deferred">
      <formula>NOT(ISERROR(SEARCH("Deferred",E64)))</formula>
    </cfRule>
    <cfRule type="containsText" dxfId="1221" priority="1263" operator="containsText" text="Deleted">
      <formula>NOT(ISERROR(SEARCH("Deleted",E64)))</formula>
    </cfRule>
    <cfRule type="containsText" dxfId="1220" priority="1264" operator="containsText" text="In Danger of Falling Behind Target">
      <formula>NOT(ISERROR(SEARCH("In Danger of Falling Behind Target",E64)))</formula>
    </cfRule>
    <cfRule type="containsText" dxfId="1219" priority="1265" operator="containsText" text="Not yet due">
      <formula>NOT(ISERROR(SEARCH("Not yet due",E64)))</formula>
    </cfRule>
    <cfRule type="containsText" dxfId="1218" priority="1266" operator="containsText" text="Update not Provided">
      <formula>NOT(ISERROR(SEARCH("Update not Provided",E64)))</formula>
    </cfRule>
    <cfRule type="containsText" dxfId="1217" priority="1267" operator="containsText" text="Not yet due">
      <formula>NOT(ISERROR(SEARCH("Not yet due",E64)))</formula>
    </cfRule>
    <cfRule type="containsText" dxfId="1216" priority="1268" operator="containsText" text="Completed Behind Schedule">
      <formula>NOT(ISERROR(SEARCH("Completed Behind Schedule",E64)))</formula>
    </cfRule>
    <cfRule type="containsText" dxfId="1215" priority="1269" operator="containsText" text="Off Target">
      <formula>NOT(ISERROR(SEARCH("Off Target",E64)))</formula>
    </cfRule>
    <cfRule type="containsText" dxfId="1214" priority="1270" operator="containsText" text="On Track to be Achieved">
      <formula>NOT(ISERROR(SEARCH("On Track to be Achieved",E64)))</formula>
    </cfRule>
    <cfRule type="containsText" dxfId="1213" priority="1271" operator="containsText" text="Fully Achieved">
      <formula>NOT(ISERROR(SEARCH("Fully Achieved",E64)))</formula>
    </cfRule>
    <cfRule type="containsText" dxfId="1212" priority="1272" operator="containsText" text="Not yet due">
      <formula>NOT(ISERROR(SEARCH("Not yet due",E64)))</formula>
    </cfRule>
    <cfRule type="containsText" dxfId="1211" priority="1273" operator="containsText" text="Not Yet Due">
      <formula>NOT(ISERROR(SEARCH("Not Yet Due",E64)))</formula>
    </cfRule>
    <cfRule type="containsText" dxfId="1210" priority="1274" operator="containsText" text="Deferred">
      <formula>NOT(ISERROR(SEARCH("Deferred",E64)))</formula>
    </cfRule>
    <cfRule type="containsText" dxfId="1209" priority="1275" operator="containsText" text="Deleted">
      <formula>NOT(ISERROR(SEARCH("Deleted",E64)))</formula>
    </cfRule>
    <cfRule type="containsText" dxfId="1208" priority="1276" operator="containsText" text="In Danger of Falling Behind Target">
      <formula>NOT(ISERROR(SEARCH("In Danger of Falling Behind Target",E64)))</formula>
    </cfRule>
    <cfRule type="containsText" dxfId="1207" priority="1277" operator="containsText" text="Not yet due">
      <formula>NOT(ISERROR(SEARCH("Not yet due",E64)))</formula>
    </cfRule>
    <cfRule type="containsText" dxfId="1206" priority="1278" operator="containsText" text="Completed Behind Schedule">
      <formula>NOT(ISERROR(SEARCH("Completed Behind Schedule",E64)))</formula>
    </cfRule>
    <cfRule type="containsText" dxfId="1205" priority="1279" operator="containsText" text="Off Target">
      <formula>NOT(ISERROR(SEARCH("Off Target",E64)))</formula>
    </cfRule>
    <cfRule type="containsText" dxfId="1204" priority="1280" operator="containsText" text="In Danger of Falling Behind Target">
      <formula>NOT(ISERROR(SEARCH("In Danger of Falling Behind Target",E64)))</formula>
    </cfRule>
    <cfRule type="containsText" dxfId="1203" priority="1281" operator="containsText" text="On Track to be Achieved">
      <formula>NOT(ISERROR(SEARCH("On Track to be Achieved",E64)))</formula>
    </cfRule>
    <cfRule type="containsText" dxfId="1202" priority="1282" operator="containsText" text="Fully Achieved">
      <formula>NOT(ISERROR(SEARCH("Fully Achieved",E64)))</formula>
    </cfRule>
    <cfRule type="containsText" dxfId="1201" priority="1283" operator="containsText" text="Update not Provided">
      <formula>NOT(ISERROR(SEARCH("Update not Provided",E64)))</formula>
    </cfRule>
    <cfRule type="containsText" dxfId="1200" priority="1284" operator="containsText" text="Not yet due">
      <formula>NOT(ISERROR(SEARCH("Not yet due",E64)))</formula>
    </cfRule>
    <cfRule type="containsText" dxfId="1199" priority="1285" operator="containsText" text="Completed Behind Schedule">
      <formula>NOT(ISERROR(SEARCH("Completed Behind Schedule",E64)))</formula>
    </cfRule>
    <cfRule type="containsText" dxfId="1198" priority="1286" operator="containsText" text="Off Target">
      <formula>NOT(ISERROR(SEARCH("Off Target",E64)))</formula>
    </cfRule>
    <cfRule type="containsText" dxfId="1197" priority="1287" operator="containsText" text="In Danger of Falling Behind Target">
      <formula>NOT(ISERROR(SEARCH("In Danger of Falling Behind Target",E64)))</formula>
    </cfRule>
    <cfRule type="containsText" dxfId="1196" priority="1288" operator="containsText" text="On Track to be Achieved">
      <formula>NOT(ISERROR(SEARCH("On Track to be Achieved",E64)))</formula>
    </cfRule>
    <cfRule type="containsText" dxfId="1195" priority="1289" operator="containsText" text="Fully Achieved">
      <formula>NOT(ISERROR(SEARCH("Fully Achieved",E64)))</formula>
    </cfRule>
    <cfRule type="containsText" dxfId="1194" priority="1290" operator="containsText" text="Fully Achieved">
      <formula>NOT(ISERROR(SEARCH("Fully Achieved",E64)))</formula>
    </cfRule>
    <cfRule type="containsText" dxfId="1193" priority="1291" operator="containsText" text="Fully Achieved">
      <formula>NOT(ISERROR(SEARCH("Fully Achieved",E64)))</formula>
    </cfRule>
    <cfRule type="containsText" dxfId="1192" priority="1292" operator="containsText" text="Deferred">
      <formula>NOT(ISERROR(SEARCH("Deferred",E64)))</formula>
    </cfRule>
    <cfRule type="containsText" dxfId="1191" priority="1293" operator="containsText" text="Deleted">
      <formula>NOT(ISERROR(SEARCH("Deleted",E64)))</formula>
    </cfRule>
    <cfRule type="containsText" dxfId="1190" priority="1294" operator="containsText" text="In Danger of Falling Behind Target">
      <formula>NOT(ISERROR(SEARCH("In Danger of Falling Behind Target",E64)))</formula>
    </cfRule>
    <cfRule type="containsText" dxfId="1189" priority="1295" operator="containsText" text="Not yet due">
      <formula>NOT(ISERROR(SEARCH("Not yet due",E64)))</formula>
    </cfRule>
    <cfRule type="containsText" dxfId="1188" priority="1296" operator="containsText" text="Update not Provided">
      <formula>NOT(ISERROR(SEARCH("Update not Provided",E64)))</formula>
    </cfRule>
  </conditionalFormatting>
  <conditionalFormatting sqref="E75:E76">
    <cfRule type="containsText" dxfId="1187" priority="1225" operator="containsText" text="On track to be achieved">
      <formula>NOT(ISERROR(SEARCH("On track to be achieved",E75)))</formula>
    </cfRule>
    <cfRule type="containsText" dxfId="1186" priority="1226" operator="containsText" text="Deferred">
      <formula>NOT(ISERROR(SEARCH("Deferred",E75)))</formula>
    </cfRule>
    <cfRule type="containsText" dxfId="1185" priority="1227" operator="containsText" text="Deleted">
      <formula>NOT(ISERROR(SEARCH("Deleted",E75)))</formula>
    </cfRule>
    <cfRule type="containsText" dxfId="1184" priority="1228" operator="containsText" text="In Danger of Falling Behind Target">
      <formula>NOT(ISERROR(SEARCH("In Danger of Falling Behind Target",E75)))</formula>
    </cfRule>
    <cfRule type="containsText" dxfId="1183" priority="1229" operator="containsText" text="Not yet due">
      <formula>NOT(ISERROR(SEARCH("Not yet due",E75)))</formula>
    </cfRule>
    <cfRule type="containsText" dxfId="1182" priority="1230" operator="containsText" text="Update not Provided">
      <formula>NOT(ISERROR(SEARCH("Update not Provided",E75)))</formula>
    </cfRule>
    <cfRule type="containsText" dxfId="1181" priority="1231" operator="containsText" text="Not yet due">
      <formula>NOT(ISERROR(SEARCH("Not yet due",E75)))</formula>
    </cfRule>
    <cfRule type="containsText" dxfId="1180" priority="1232" operator="containsText" text="Completed Behind Schedule">
      <formula>NOT(ISERROR(SEARCH("Completed Behind Schedule",E75)))</formula>
    </cfRule>
    <cfRule type="containsText" dxfId="1179" priority="1233" operator="containsText" text="Off Target">
      <formula>NOT(ISERROR(SEARCH("Off Target",E75)))</formula>
    </cfRule>
    <cfRule type="containsText" dxfId="1178" priority="1234" operator="containsText" text="On Track to be Achieved">
      <formula>NOT(ISERROR(SEARCH("On Track to be Achieved",E75)))</formula>
    </cfRule>
    <cfRule type="containsText" dxfId="1177" priority="1235" operator="containsText" text="Fully Achieved">
      <formula>NOT(ISERROR(SEARCH("Fully Achieved",E75)))</formula>
    </cfRule>
    <cfRule type="containsText" dxfId="1176" priority="1236" operator="containsText" text="Not yet due">
      <formula>NOT(ISERROR(SEARCH("Not yet due",E75)))</formula>
    </cfRule>
    <cfRule type="containsText" dxfId="1175" priority="1237" operator="containsText" text="Not Yet Due">
      <formula>NOT(ISERROR(SEARCH("Not Yet Due",E75)))</formula>
    </cfRule>
    <cfRule type="containsText" dxfId="1174" priority="1238" operator="containsText" text="Deferred">
      <formula>NOT(ISERROR(SEARCH("Deferred",E75)))</formula>
    </cfRule>
    <cfRule type="containsText" dxfId="1173" priority="1239" operator="containsText" text="Deleted">
      <formula>NOT(ISERROR(SEARCH("Deleted",E75)))</formula>
    </cfRule>
    <cfRule type="containsText" dxfId="1172" priority="1240" operator="containsText" text="In Danger of Falling Behind Target">
      <formula>NOT(ISERROR(SEARCH("In Danger of Falling Behind Target",E75)))</formula>
    </cfRule>
    <cfRule type="containsText" dxfId="1171" priority="1241" operator="containsText" text="Not yet due">
      <formula>NOT(ISERROR(SEARCH("Not yet due",E75)))</formula>
    </cfRule>
    <cfRule type="containsText" dxfId="1170" priority="1242" operator="containsText" text="Completed Behind Schedule">
      <formula>NOT(ISERROR(SEARCH("Completed Behind Schedule",E75)))</formula>
    </cfRule>
    <cfRule type="containsText" dxfId="1169" priority="1243" operator="containsText" text="Off Target">
      <formula>NOT(ISERROR(SEARCH("Off Target",E75)))</formula>
    </cfRule>
    <cfRule type="containsText" dxfId="1168" priority="1244" operator="containsText" text="In Danger of Falling Behind Target">
      <formula>NOT(ISERROR(SEARCH("In Danger of Falling Behind Target",E75)))</formula>
    </cfRule>
    <cfRule type="containsText" dxfId="1167" priority="1245" operator="containsText" text="On Track to be Achieved">
      <formula>NOT(ISERROR(SEARCH("On Track to be Achieved",E75)))</formula>
    </cfRule>
    <cfRule type="containsText" dxfId="1166" priority="1246" operator="containsText" text="Fully Achieved">
      <formula>NOT(ISERROR(SEARCH("Fully Achieved",E75)))</formula>
    </cfRule>
    <cfRule type="containsText" dxfId="1165" priority="1247" operator="containsText" text="Update not Provided">
      <formula>NOT(ISERROR(SEARCH("Update not Provided",E75)))</formula>
    </cfRule>
    <cfRule type="containsText" dxfId="1164" priority="1248" operator="containsText" text="Not yet due">
      <formula>NOT(ISERROR(SEARCH("Not yet due",E75)))</formula>
    </cfRule>
    <cfRule type="containsText" dxfId="1163" priority="1249" operator="containsText" text="Completed Behind Schedule">
      <formula>NOT(ISERROR(SEARCH("Completed Behind Schedule",E75)))</formula>
    </cfRule>
    <cfRule type="containsText" dxfId="1162" priority="1250" operator="containsText" text="Off Target">
      <formula>NOT(ISERROR(SEARCH("Off Target",E75)))</formula>
    </cfRule>
    <cfRule type="containsText" dxfId="1161" priority="1251" operator="containsText" text="In Danger of Falling Behind Target">
      <formula>NOT(ISERROR(SEARCH("In Danger of Falling Behind Target",E75)))</formula>
    </cfRule>
    <cfRule type="containsText" dxfId="1160" priority="1252" operator="containsText" text="On Track to be Achieved">
      <formula>NOT(ISERROR(SEARCH("On Track to be Achieved",E75)))</formula>
    </cfRule>
    <cfRule type="containsText" dxfId="1159" priority="1253" operator="containsText" text="Fully Achieved">
      <formula>NOT(ISERROR(SEARCH("Fully Achieved",E75)))</formula>
    </cfRule>
    <cfRule type="containsText" dxfId="1158" priority="1254" operator="containsText" text="Fully Achieved">
      <formula>NOT(ISERROR(SEARCH("Fully Achieved",E75)))</formula>
    </cfRule>
    <cfRule type="containsText" dxfId="1157" priority="1255" operator="containsText" text="Fully Achieved">
      <formula>NOT(ISERROR(SEARCH("Fully Achieved",E75)))</formula>
    </cfRule>
    <cfRule type="containsText" dxfId="1156" priority="1256" operator="containsText" text="Deferred">
      <formula>NOT(ISERROR(SEARCH("Deferred",E75)))</formula>
    </cfRule>
    <cfRule type="containsText" dxfId="1155" priority="1257" operator="containsText" text="Deleted">
      <formula>NOT(ISERROR(SEARCH("Deleted",E75)))</formula>
    </cfRule>
    <cfRule type="containsText" dxfId="1154" priority="1258" operator="containsText" text="In Danger of Falling Behind Target">
      <formula>NOT(ISERROR(SEARCH("In Danger of Falling Behind Target",E75)))</formula>
    </cfRule>
    <cfRule type="containsText" dxfId="1153" priority="1259" operator="containsText" text="Not yet due">
      <formula>NOT(ISERROR(SEARCH("Not yet due",E75)))</formula>
    </cfRule>
    <cfRule type="containsText" dxfId="1152" priority="1260" operator="containsText" text="Update not Provided">
      <formula>NOT(ISERROR(SEARCH("Update not Provided",E75)))</formula>
    </cfRule>
  </conditionalFormatting>
  <conditionalFormatting sqref="E78:E79">
    <cfRule type="containsText" dxfId="1151" priority="1189" operator="containsText" text="On track to be achieved">
      <formula>NOT(ISERROR(SEARCH("On track to be achieved",E78)))</formula>
    </cfRule>
    <cfRule type="containsText" dxfId="1150" priority="1190" operator="containsText" text="Deferred">
      <formula>NOT(ISERROR(SEARCH("Deferred",E78)))</formula>
    </cfRule>
    <cfRule type="containsText" dxfId="1149" priority="1191" operator="containsText" text="Deleted">
      <formula>NOT(ISERROR(SEARCH("Deleted",E78)))</formula>
    </cfRule>
    <cfRule type="containsText" dxfId="1148" priority="1192" operator="containsText" text="In Danger of Falling Behind Target">
      <formula>NOT(ISERROR(SEARCH("In Danger of Falling Behind Target",E78)))</formula>
    </cfRule>
    <cfRule type="containsText" dxfId="1147" priority="1193" operator="containsText" text="Not yet due">
      <formula>NOT(ISERROR(SEARCH("Not yet due",E78)))</formula>
    </cfRule>
    <cfRule type="containsText" dxfId="1146" priority="1194" operator="containsText" text="Update not Provided">
      <formula>NOT(ISERROR(SEARCH("Update not Provided",E78)))</formula>
    </cfRule>
    <cfRule type="containsText" dxfId="1145" priority="1195" operator="containsText" text="Not yet due">
      <formula>NOT(ISERROR(SEARCH("Not yet due",E78)))</formula>
    </cfRule>
    <cfRule type="containsText" dxfId="1144" priority="1196" operator="containsText" text="Completed Behind Schedule">
      <formula>NOT(ISERROR(SEARCH("Completed Behind Schedule",E78)))</formula>
    </cfRule>
    <cfRule type="containsText" dxfId="1143" priority="1197" operator="containsText" text="Off Target">
      <formula>NOT(ISERROR(SEARCH("Off Target",E78)))</formula>
    </cfRule>
    <cfRule type="containsText" dxfId="1142" priority="1198" operator="containsText" text="On Track to be Achieved">
      <formula>NOT(ISERROR(SEARCH("On Track to be Achieved",E78)))</formula>
    </cfRule>
    <cfRule type="containsText" dxfId="1141" priority="1199" operator="containsText" text="Fully Achieved">
      <formula>NOT(ISERROR(SEARCH("Fully Achieved",E78)))</formula>
    </cfRule>
    <cfRule type="containsText" dxfId="1140" priority="1200" operator="containsText" text="Not yet due">
      <formula>NOT(ISERROR(SEARCH("Not yet due",E78)))</formula>
    </cfRule>
    <cfRule type="containsText" dxfId="1139" priority="1201" operator="containsText" text="Not Yet Due">
      <formula>NOT(ISERROR(SEARCH("Not Yet Due",E78)))</formula>
    </cfRule>
    <cfRule type="containsText" dxfId="1138" priority="1202" operator="containsText" text="Deferred">
      <formula>NOT(ISERROR(SEARCH("Deferred",E78)))</formula>
    </cfRule>
    <cfRule type="containsText" dxfId="1137" priority="1203" operator="containsText" text="Deleted">
      <formula>NOT(ISERROR(SEARCH("Deleted",E78)))</formula>
    </cfRule>
    <cfRule type="containsText" dxfId="1136" priority="1204" operator="containsText" text="In Danger of Falling Behind Target">
      <formula>NOT(ISERROR(SEARCH("In Danger of Falling Behind Target",E78)))</formula>
    </cfRule>
    <cfRule type="containsText" dxfId="1135" priority="1205" operator="containsText" text="Not yet due">
      <formula>NOT(ISERROR(SEARCH("Not yet due",E78)))</formula>
    </cfRule>
    <cfRule type="containsText" dxfId="1134" priority="1206" operator="containsText" text="Completed Behind Schedule">
      <formula>NOT(ISERROR(SEARCH("Completed Behind Schedule",E78)))</formula>
    </cfRule>
    <cfRule type="containsText" dxfId="1133" priority="1207" operator="containsText" text="Off Target">
      <formula>NOT(ISERROR(SEARCH("Off Target",E78)))</formula>
    </cfRule>
    <cfRule type="containsText" dxfId="1132" priority="1208" operator="containsText" text="In Danger of Falling Behind Target">
      <formula>NOT(ISERROR(SEARCH("In Danger of Falling Behind Target",E78)))</formula>
    </cfRule>
    <cfRule type="containsText" dxfId="1131" priority="1209" operator="containsText" text="On Track to be Achieved">
      <formula>NOT(ISERROR(SEARCH("On Track to be Achieved",E78)))</formula>
    </cfRule>
    <cfRule type="containsText" dxfId="1130" priority="1210" operator="containsText" text="Fully Achieved">
      <formula>NOT(ISERROR(SEARCH("Fully Achieved",E78)))</formula>
    </cfRule>
    <cfRule type="containsText" dxfId="1129" priority="1211" operator="containsText" text="Update not Provided">
      <formula>NOT(ISERROR(SEARCH("Update not Provided",E78)))</formula>
    </cfRule>
    <cfRule type="containsText" dxfId="1128" priority="1212" operator="containsText" text="Not yet due">
      <formula>NOT(ISERROR(SEARCH("Not yet due",E78)))</formula>
    </cfRule>
    <cfRule type="containsText" dxfId="1127" priority="1213" operator="containsText" text="Completed Behind Schedule">
      <formula>NOT(ISERROR(SEARCH("Completed Behind Schedule",E78)))</formula>
    </cfRule>
    <cfRule type="containsText" dxfId="1126" priority="1214" operator="containsText" text="Off Target">
      <formula>NOT(ISERROR(SEARCH("Off Target",E78)))</formula>
    </cfRule>
    <cfRule type="containsText" dxfId="1125" priority="1215" operator="containsText" text="In Danger of Falling Behind Target">
      <formula>NOT(ISERROR(SEARCH("In Danger of Falling Behind Target",E78)))</formula>
    </cfRule>
    <cfRule type="containsText" dxfId="1124" priority="1216" operator="containsText" text="On Track to be Achieved">
      <formula>NOT(ISERROR(SEARCH("On Track to be Achieved",E78)))</formula>
    </cfRule>
    <cfRule type="containsText" dxfId="1123" priority="1217" operator="containsText" text="Fully Achieved">
      <formula>NOT(ISERROR(SEARCH("Fully Achieved",E78)))</formula>
    </cfRule>
    <cfRule type="containsText" dxfId="1122" priority="1218" operator="containsText" text="Fully Achieved">
      <formula>NOT(ISERROR(SEARCH("Fully Achieved",E78)))</formula>
    </cfRule>
    <cfRule type="containsText" dxfId="1121" priority="1219" operator="containsText" text="Fully Achieved">
      <formula>NOT(ISERROR(SEARCH("Fully Achieved",E78)))</formula>
    </cfRule>
    <cfRule type="containsText" dxfId="1120" priority="1220" operator="containsText" text="Deferred">
      <formula>NOT(ISERROR(SEARCH("Deferred",E78)))</formula>
    </cfRule>
    <cfRule type="containsText" dxfId="1119" priority="1221" operator="containsText" text="Deleted">
      <formula>NOT(ISERROR(SEARCH("Deleted",E78)))</formula>
    </cfRule>
    <cfRule type="containsText" dxfId="1118" priority="1222" operator="containsText" text="In Danger of Falling Behind Target">
      <formula>NOT(ISERROR(SEARCH("In Danger of Falling Behind Target",E78)))</formula>
    </cfRule>
    <cfRule type="containsText" dxfId="1117" priority="1223" operator="containsText" text="Not yet due">
      <formula>NOT(ISERROR(SEARCH("Not yet due",E78)))</formula>
    </cfRule>
    <cfRule type="containsText" dxfId="1116" priority="1224" operator="containsText" text="Update not Provided">
      <formula>NOT(ISERROR(SEARCH("Update not Provided",E78)))</formula>
    </cfRule>
  </conditionalFormatting>
  <conditionalFormatting sqref="E83:E84">
    <cfRule type="containsText" dxfId="1115" priority="1153" operator="containsText" text="On track to be achieved">
      <formula>NOT(ISERROR(SEARCH("On track to be achieved",E83)))</formula>
    </cfRule>
    <cfRule type="containsText" dxfId="1114" priority="1154" operator="containsText" text="Deferred">
      <formula>NOT(ISERROR(SEARCH("Deferred",E83)))</formula>
    </cfRule>
    <cfRule type="containsText" dxfId="1113" priority="1155" operator="containsText" text="Deleted">
      <formula>NOT(ISERROR(SEARCH("Deleted",E83)))</formula>
    </cfRule>
    <cfRule type="containsText" dxfId="1112" priority="1156" operator="containsText" text="In Danger of Falling Behind Target">
      <formula>NOT(ISERROR(SEARCH("In Danger of Falling Behind Target",E83)))</formula>
    </cfRule>
    <cfRule type="containsText" dxfId="1111" priority="1157" operator="containsText" text="Not yet due">
      <formula>NOT(ISERROR(SEARCH("Not yet due",E83)))</formula>
    </cfRule>
    <cfRule type="containsText" dxfId="1110" priority="1158" operator="containsText" text="Update not Provided">
      <formula>NOT(ISERROR(SEARCH("Update not Provided",E83)))</formula>
    </cfRule>
    <cfRule type="containsText" dxfId="1109" priority="1159" operator="containsText" text="Not yet due">
      <formula>NOT(ISERROR(SEARCH("Not yet due",E83)))</formula>
    </cfRule>
    <cfRule type="containsText" dxfId="1108" priority="1160" operator="containsText" text="Completed Behind Schedule">
      <formula>NOT(ISERROR(SEARCH("Completed Behind Schedule",E83)))</formula>
    </cfRule>
    <cfRule type="containsText" dxfId="1107" priority="1161" operator="containsText" text="Off Target">
      <formula>NOT(ISERROR(SEARCH("Off Target",E83)))</formula>
    </cfRule>
    <cfRule type="containsText" dxfId="1106" priority="1162" operator="containsText" text="On Track to be Achieved">
      <formula>NOT(ISERROR(SEARCH("On Track to be Achieved",E83)))</formula>
    </cfRule>
    <cfRule type="containsText" dxfId="1105" priority="1163" operator="containsText" text="Fully Achieved">
      <formula>NOT(ISERROR(SEARCH("Fully Achieved",E83)))</formula>
    </cfRule>
    <cfRule type="containsText" dxfId="1104" priority="1164" operator="containsText" text="Not yet due">
      <formula>NOT(ISERROR(SEARCH("Not yet due",E83)))</formula>
    </cfRule>
    <cfRule type="containsText" dxfId="1103" priority="1165" operator="containsText" text="Not Yet Due">
      <formula>NOT(ISERROR(SEARCH("Not Yet Due",E83)))</formula>
    </cfRule>
    <cfRule type="containsText" dxfId="1102" priority="1166" operator="containsText" text="Deferred">
      <formula>NOT(ISERROR(SEARCH("Deferred",E83)))</formula>
    </cfRule>
    <cfRule type="containsText" dxfId="1101" priority="1167" operator="containsText" text="Deleted">
      <formula>NOT(ISERROR(SEARCH("Deleted",E83)))</formula>
    </cfRule>
    <cfRule type="containsText" dxfId="1100" priority="1168" operator="containsText" text="In Danger of Falling Behind Target">
      <formula>NOT(ISERROR(SEARCH("In Danger of Falling Behind Target",E83)))</formula>
    </cfRule>
    <cfRule type="containsText" dxfId="1099" priority="1169" operator="containsText" text="Not yet due">
      <formula>NOT(ISERROR(SEARCH("Not yet due",E83)))</formula>
    </cfRule>
    <cfRule type="containsText" dxfId="1098" priority="1170" operator="containsText" text="Completed Behind Schedule">
      <formula>NOT(ISERROR(SEARCH("Completed Behind Schedule",E83)))</formula>
    </cfRule>
    <cfRule type="containsText" dxfId="1097" priority="1171" operator="containsText" text="Off Target">
      <formula>NOT(ISERROR(SEARCH("Off Target",E83)))</formula>
    </cfRule>
    <cfRule type="containsText" dxfId="1096" priority="1172" operator="containsText" text="In Danger of Falling Behind Target">
      <formula>NOT(ISERROR(SEARCH("In Danger of Falling Behind Target",E83)))</formula>
    </cfRule>
    <cfRule type="containsText" dxfId="1095" priority="1173" operator="containsText" text="On Track to be Achieved">
      <formula>NOT(ISERROR(SEARCH("On Track to be Achieved",E83)))</formula>
    </cfRule>
    <cfRule type="containsText" dxfId="1094" priority="1174" operator="containsText" text="Fully Achieved">
      <formula>NOT(ISERROR(SEARCH("Fully Achieved",E83)))</formula>
    </cfRule>
    <cfRule type="containsText" dxfId="1093" priority="1175" operator="containsText" text="Update not Provided">
      <formula>NOT(ISERROR(SEARCH("Update not Provided",E83)))</formula>
    </cfRule>
    <cfRule type="containsText" dxfId="1092" priority="1176" operator="containsText" text="Not yet due">
      <formula>NOT(ISERROR(SEARCH("Not yet due",E83)))</formula>
    </cfRule>
    <cfRule type="containsText" dxfId="1091" priority="1177" operator="containsText" text="Completed Behind Schedule">
      <formula>NOT(ISERROR(SEARCH("Completed Behind Schedule",E83)))</formula>
    </cfRule>
    <cfRule type="containsText" dxfId="1090" priority="1178" operator="containsText" text="Off Target">
      <formula>NOT(ISERROR(SEARCH("Off Target",E83)))</formula>
    </cfRule>
    <cfRule type="containsText" dxfId="1089" priority="1179" operator="containsText" text="In Danger of Falling Behind Target">
      <formula>NOT(ISERROR(SEARCH("In Danger of Falling Behind Target",E83)))</formula>
    </cfRule>
    <cfRule type="containsText" dxfId="1088" priority="1180" operator="containsText" text="On Track to be Achieved">
      <formula>NOT(ISERROR(SEARCH("On Track to be Achieved",E83)))</formula>
    </cfRule>
    <cfRule type="containsText" dxfId="1087" priority="1181" operator="containsText" text="Fully Achieved">
      <formula>NOT(ISERROR(SEARCH("Fully Achieved",E83)))</formula>
    </cfRule>
    <cfRule type="containsText" dxfId="1086" priority="1182" operator="containsText" text="Fully Achieved">
      <formula>NOT(ISERROR(SEARCH("Fully Achieved",E83)))</formula>
    </cfRule>
    <cfRule type="containsText" dxfId="1085" priority="1183" operator="containsText" text="Fully Achieved">
      <formula>NOT(ISERROR(SEARCH("Fully Achieved",E83)))</formula>
    </cfRule>
    <cfRule type="containsText" dxfId="1084" priority="1184" operator="containsText" text="Deferred">
      <formula>NOT(ISERROR(SEARCH("Deferred",E83)))</formula>
    </cfRule>
    <cfRule type="containsText" dxfId="1083" priority="1185" operator="containsText" text="Deleted">
      <formula>NOT(ISERROR(SEARCH("Deleted",E83)))</formula>
    </cfRule>
    <cfRule type="containsText" dxfId="1082" priority="1186" operator="containsText" text="In Danger of Falling Behind Target">
      <formula>NOT(ISERROR(SEARCH("In Danger of Falling Behind Target",E83)))</formula>
    </cfRule>
    <cfRule type="containsText" dxfId="1081" priority="1187" operator="containsText" text="Not yet due">
      <formula>NOT(ISERROR(SEARCH("Not yet due",E83)))</formula>
    </cfRule>
    <cfRule type="containsText" dxfId="1080" priority="1188" operator="containsText" text="Update not Provided">
      <formula>NOT(ISERROR(SEARCH("Update not Provided",E83)))</formula>
    </cfRule>
  </conditionalFormatting>
  <conditionalFormatting sqref="E86">
    <cfRule type="containsText" dxfId="1079" priority="1117" operator="containsText" text="On track to be achieved">
      <formula>NOT(ISERROR(SEARCH("On track to be achieved",E86)))</formula>
    </cfRule>
    <cfRule type="containsText" dxfId="1078" priority="1118" operator="containsText" text="Deferred">
      <formula>NOT(ISERROR(SEARCH("Deferred",E86)))</formula>
    </cfRule>
    <cfRule type="containsText" dxfId="1077" priority="1119" operator="containsText" text="Deleted">
      <formula>NOT(ISERROR(SEARCH("Deleted",E86)))</formula>
    </cfRule>
    <cfRule type="containsText" dxfId="1076" priority="1120" operator="containsText" text="In Danger of Falling Behind Target">
      <formula>NOT(ISERROR(SEARCH("In Danger of Falling Behind Target",E86)))</formula>
    </cfRule>
    <cfRule type="containsText" dxfId="1075" priority="1121" operator="containsText" text="Not yet due">
      <formula>NOT(ISERROR(SEARCH("Not yet due",E86)))</formula>
    </cfRule>
    <cfRule type="containsText" dxfId="1074" priority="1122" operator="containsText" text="Update not Provided">
      <formula>NOT(ISERROR(SEARCH("Update not Provided",E86)))</formula>
    </cfRule>
    <cfRule type="containsText" dxfId="1073" priority="1123" operator="containsText" text="Not yet due">
      <formula>NOT(ISERROR(SEARCH("Not yet due",E86)))</formula>
    </cfRule>
    <cfRule type="containsText" dxfId="1072" priority="1124" operator="containsText" text="Completed Behind Schedule">
      <formula>NOT(ISERROR(SEARCH("Completed Behind Schedule",E86)))</formula>
    </cfRule>
    <cfRule type="containsText" dxfId="1071" priority="1125" operator="containsText" text="Off Target">
      <formula>NOT(ISERROR(SEARCH("Off Target",E86)))</formula>
    </cfRule>
    <cfRule type="containsText" dxfId="1070" priority="1126" operator="containsText" text="On Track to be Achieved">
      <formula>NOT(ISERROR(SEARCH("On Track to be Achieved",E86)))</formula>
    </cfRule>
    <cfRule type="containsText" dxfId="1069" priority="1127" operator="containsText" text="Fully Achieved">
      <formula>NOT(ISERROR(SEARCH("Fully Achieved",E86)))</formula>
    </cfRule>
    <cfRule type="containsText" dxfId="1068" priority="1128" operator="containsText" text="Not yet due">
      <formula>NOT(ISERROR(SEARCH("Not yet due",E86)))</formula>
    </cfRule>
    <cfRule type="containsText" dxfId="1067" priority="1129" operator="containsText" text="Not Yet Due">
      <formula>NOT(ISERROR(SEARCH("Not Yet Due",E86)))</formula>
    </cfRule>
    <cfRule type="containsText" dxfId="1066" priority="1130" operator="containsText" text="Deferred">
      <formula>NOT(ISERROR(SEARCH("Deferred",E86)))</formula>
    </cfRule>
    <cfRule type="containsText" dxfId="1065" priority="1131" operator="containsText" text="Deleted">
      <formula>NOT(ISERROR(SEARCH("Deleted",E86)))</formula>
    </cfRule>
    <cfRule type="containsText" dxfId="1064" priority="1132" operator="containsText" text="In Danger of Falling Behind Target">
      <formula>NOT(ISERROR(SEARCH("In Danger of Falling Behind Target",E86)))</formula>
    </cfRule>
    <cfRule type="containsText" dxfId="1063" priority="1133" operator="containsText" text="Not yet due">
      <formula>NOT(ISERROR(SEARCH("Not yet due",E86)))</formula>
    </cfRule>
    <cfRule type="containsText" dxfId="1062" priority="1134" operator="containsText" text="Completed Behind Schedule">
      <formula>NOT(ISERROR(SEARCH("Completed Behind Schedule",E86)))</formula>
    </cfRule>
    <cfRule type="containsText" dxfId="1061" priority="1135" operator="containsText" text="Off Target">
      <formula>NOT(ISERROR(SEARCH("Off Target",E86)))</formula>
    </cfRule>
    <cfRule type="containsText" dxfId="1060" priority="1136" operator="containsText" text="In Danger of Falling Behind Target">
      <formula>NOT(ISERROR(SEARCH("In Danger of Falling Behind Target",E86)))</formula>
    </cfRule>
    <cfRule type="containsText" dxfId="1059" priority="1137" operator="containsText" text="On Track to be Achieved">
      <formula>NOT(ISERROR(SEARCH("On Track to be Achieved",E86)))</formula>
    </cfRule>
    <cfRule type="containsText" dxfId="1058" priority="1138" operator="containsText" text="Fully Achieved">
      <formula>NOT(ISERROR(SEARCH("Fully Achieved",E86)))</formula>
    </cfRule>
    <cfRule type="containsText" dxfId="1057" priority="1139" operator="containsText" text="Update not Provided">
      <formula>NOT(ISERROR(SEARCH("Update not Provided",E86)))</formula>
    </cfRule>
    <cfRule type="containsText" dxfId="1056" priority="1140" operator="containsText" text="Not yet due">
      <formula>NOT(ISERROR(SEARCH("Not yet due",E86)))</formula>
    </cfRule>
    <cfRule type="containsText" dxfId="1055" priority="1141" operator="containsText" text="Completed Behind Schedule">
      <formula>NOT(ISERROR(SEARCH("Completed Behind Schedule",E86)))</formula>
    </cfRule>
    <cfRule type="containsText" dxfId="1054" priority="1142" operator="containsText" text="Off Target">
      <formula>NOT(ISERROR(SEARCH("Off Target",E86)))</formula>
    </cfRule>
    <cfRule type="containsText" dxfId="1053" priority="1143" operator="containsText" text="In Danger of Falling Behind Target">
      <formula>NOT(ISERROR(SEARCH("In Danger of Falling Behind Target",E86)))</formula>
    </cfRule>
    <cfRule type="containsText" dxfId="1052" priority="1144" operator="containsText" text="On Track to be Achieved">
      <formula>NOT(ISERROR(SEARCH("On Track to be Achieved",E86)))</formula>
    </cfRule>
    <cfRule type="containsText" dxfId="1051" priority="1145" operator="containsText" text="Fully Achieved">
      <formula>NOT(ISERROR(SEARCH("Fully Achieved",E86)))</formula>
    </cfRule>
    <cfRule type="containsText" dxfId="1050" priority="1146" operator="containsText" text="Fully Achieved">
      <formula>NOT(ISERROR(SEARCH("Fully Achieved",E86)))</formula>
    </cfRule>
    <cfRule type="containsText" dxfId="1049" priority="1147" operator="containsText" text="Fully Achieved">
      <formula>NOT(ISERROR(SEARCH("Fully Achieved",E86)))</formula>
    </cfRule>
    <cfRule type="containsText" dxfId="1048" priority="1148" operator="containsText" text="Deferred">
      <formula>NOT(ISERROR(SEARCH("Deferred",E86)))</formula>
    </cfRule>
    <cfRule type="containsText" dxfId="1047" priority="1149" operator="containsText" text="Deleted">
      <formula>NOT(ISERROR(SEARCH("Deleted",E86)))</formula>
    </cfRule>
    <cfRule type="containsText" dxfId="1046" priority="1150" operator="containsText" text="In Danger of Falling Behind Target">
      <formula>NOT(ISERROR(SEARCH("In Danger of Falling Behind Target",E86)))</formula>
    </cfRule>
    <cfRule type="containsText" dxfId="1045" priority="1151" operator="containsText" text="Not yet due">
      <formula>NOT(ISERROR(SEARCH("Not yet due",E86)))</formula>
    </cfRule>
    <cfRule type="containsText" dxfId="1044" priority="1152" operator="containsText" text="Update not Provided">
      <formula>NOT(ISERROR(SEARCH("Update not Provided",E86)))</formula>
    </cfRule>
  </conditionalFormatting>
  <conditionalFormatting sqref="E92">
    <cfRule type="containsText" dxfId="1043" priority="1081" operator="containsText" text="On track to be achieved">
      <formula>NOT(ISERROR(SEARCH("On track to be achieved",E92)))</formula>
    </cfRule>
    <cfRule type="containsText" dxfId="1042" priority="1082" operator="containsText" text="Deferred">
      <formula>NOT(ISERROR(SEARCH("Deferred",E92)))</formula>
    </cfRule>
    <cfRule type="containsText" dxfId="1041" priority="1083" operator="containsText" text="Deleted">
      <formula>NOT(ISERROR(SEARCH("Deleted",E92)))</formula>
    </cfRule>
    <cfRule type="containsText" dxfId="1040" priority="1084" operator="containsText" text="In Danger of Falling Behind Target">
      <formula>NOT(ISERROR(SEARCH("In Danger of Falling Behind Target",E92)))</formula>
    </cfRule>
    <cfRule type="containsText" dxfId="1039" priority="1085" operator="containsText" text="Not yet due">
      <formula>NOT(ISERROR(SEARCH("Not yet due",E92)))</formula>
    </cfRule>
    <cfRule type="containsText" dxfId="1038" priority="1086" operator="containsText" text="Update not Provided">
      <formula>NOT(ISERROR(SEARCH("Update not Provided",E92)))</formula>
    </cfRule>
    <cfRule type="containsText" dxfId="1037" priority="1087" operator="containsText" text="Not yet due">
      <formula>NOT(ISERROR(SEARCH("Not yet due",E92)))</formula>
    </cfRule>
    <cfRule type="containsText" dxfId="1036" priority="1088" operator="containsText" text="Completed Behind Schedule">
      <formula>NOT(ISERROR(SEARCH("Completed Behind Schedule",E92)))</formula>
    </cfRule>
    <cfRule type="containsText" dxfId="1035" priority="1089" operator="containsText" text="Off Target">
      <formula>NOT(ISERROR(SEARCH("Off Target",E92)))</formula>
    </cfRule>
    <cfRule type="containsText" dxfId="1034" priority="1090" operator="containsText" text="On Track to be Achieved">
      <formula>NOT(ISERROR(SEARCH("On Track to be Achieved",E92)))</formula>
    </cfRule>
    <cfRule type="containsText" dxfId="1033" priority="1091" operator="containsText" text="Fully Achieved">
      <formula>NOT(ISERROR(SEARCH("Fully Achieved",E92)))</formula>
    </cfRule>
    <cfRule type="containsText" dxfId="1032" priority="1092" operator="containsText" text="Not yet due">
      <formula>NOT(ISERROR(SEARCH("Not yet due",E92)))</formula>
    </cfRule>
    <cfRule type="containsText" dxfId="1031" priority="1093" operator="containsText" text="Not Yet Due">
      <formula>NOT(ISERROR(SEARCH("Not Yet Due",E92)))</formula>
    </cfRule>
    <cfRule type="containsText" dxfId="1030" priority="1094" operator="containsText" text="Deferred">
      <formula>NOT(ISERROR(SEARCH("Deferred",E92)))</formula>
    </cfRule>
    <cfRule type="containsText" dxfId="1029" priority="1095" operator="containsText" text="Deleted">
      <formula>NOT(ISERROR(SEARCH("Deleted",E92)))</formula>
    </cfRule>
    <cfRule type="containsText" dxfId="1028" priority="1096" operator="containsText" text="In Danger of Falling Behind Target">
      <formula>NOT(ISERROR(SEARCH("In Danger of Falling Behind Target",E92)))</formula>
    </cfRule>
    <cfRule type="containsText" dxfId="1027" priority="1097" operator="containsText" text="Not yet due">
      <formula>NOT(ISERROR(SEARCH("Not yet due",E92)))</formula>
    </cfRule>
    <cfRule type="containsText" dxfId="1026" priority="1098" operator="containsText" text="Completed Behind Schedule">
      <formula>NOT(ISERROR(SEARCH("Completed Behind Schedule",E92)))</formula>
    </cfRule>
    <cfRule type="containsText" dxfId="1025" priority="1099" operator="containsText" text="Off Target">
      <formula>NOT(ISERROR(SEARCH("Off Target",E92)))</formula>
    </cfRule>
    <cfRule type="containsText" dxfId="1024" priority="1100" operator="containsText" text="In Danger of Falling Behind Target">
      <formula>NOT(ISERROR(SEARCH("In Danger of Falling Behind Target",E92)))</formula>
    </cfRule>
    <cfRule type="containsText" dxfId="1023" priority="1101" operator="containsText" text="On Track to be Achieved">
      <formula>NOT(ISERROR(SEARCH("On Track to be Achieved",E92)))</formula>
    </cfRule>
    <cfRule type="containsText" dxfId="1022" priority="1102" operator="containsText" text="Fully Achieved">
      <formula>NOT(ISERROR(SEARCH("Fully Achieved",E92)))</formula>
    </cfRule>
    <cfRule type="containsText" dxfId="1021" priority="1103" operator="containsText" text="Update not Provided">
      <formula>NOT(ISERROR(SEARCH("Update not Provided",E92)))</formula>
    </cfRule>
    <cfRule type="containsText" dxfId="1020" priority="1104" operator="containsText" text="Not yet due">
      <formula>NOT(ISERROR(SEARCH("Not yet due",E92)))</formula>
    </cfRule>
    <cfRule type="containsText" dxfId="1019" priority="1105" operator="containsText" text="Completed Behind Schedule">
      <formula>NOT(ISERROR(SEARCH("Completed Behind Schedule",E92)))</formula>
    </cfRule>
    <cfRule type="containsText" dxfId="1018" priority="1106" operator="containsText" text="Off Target">
      <formula>NOT(ISERROR(SEARCH("Off Target",E92)))</formula>
    </cfRule>
    <cfRule type="containsText" dxfId="1017" priority="1107" operator="containsText" text="In Danger of Falling Behind Target">
      <formula>NOT(ISERROR(SEARCH("In Danger of Falling Behind Target",E92)))</formula>
    </cfRule>
    <cfRule type="containsText" dxfId="1016" priority="1108" operator="containsText" text="On Track to be Achieved">
      <formula>NOT(ISERROR(SEARCH("On Track to be Achieved",E92)))</formula>
    </cfRule>
    <cfRule type="containsText" dxfId="1015" priority="1109" operator="containsText" text="Fully Achieved">
      <formula>NOT(ISERROR(SEARCH("Fully Achieved",E92)))</formula>
    </cfRule>
    <cfRule type="containsText" dxfId="1014" priority="1110" operator="containsText" text="Fully Achieved">
      <formula>NOT(ISERROR(SEARCH("Fully Achieved",E92)))</formula>
    </cfRule>
    <cfRule type="containsText" dxfId="1013" priority="1111" operator="containsText" text="Fully Achieved">
      <formula>NOT(ISERROR(SEARCH("Fully Achieved",E92)))</formula>
    </cfRule>
    <cfRule type="containsText" dxfId="1012" priority="1112" operator="containsText" text="Deferred">
      <formula>NOT(ISERROR(SEARCH("Deferred",E92)))</formula>
    </cfRule>
    <cfRule type="containsText" dxfId="1011" priority="1113" operator="containsText" text="Deleted">
      <formula>NOT(ISERROR(SEARCH("Deleted",E92)))</formula>
    </cfRule>
    <cfRule type="containsText" dxfId="1010" priority="1114" operator="containsText" text="In Danger of Falling Behind Target">
      <formula>NOT(ISERROR(SEARCH("In Danger of Falling Behind Target",E92)))</formula>
    </cfRule>
    <cfRule type="containsText" dxfId="1009" priority="1115" operator="containsText" text="Not yet due">
      <formula>NOT(ISERROR(SEARCH("Not yet due",E92)))</formula>
    </cfRule>
    <cfRule type="containsText" dxfId="1008" priority="1116" operator="containsText" text="Update not Provided">
      <formula>NOT(ISERROR(SEARCH("Update not Provided",E92)))</formula>
    </cfRule>
  </conditionalFormatting>
  <conditionalFormatting sqref="E94">
    <cfRule type="containsText" dxfId="1007" priority="1045" operator="containsText" text="On track to be achieved">
      <formula>NOT(ISERROR(SEARCH("On track to be achieved",E94)))</formula>
    </cfRule>
    <cfRule type="containsText" dxfId="1006" priority="1046" operator="containsText" text="Deferred">
      <formula>NOT(ISERROR(SEARCH("Deferred",E94)))</formula>
    </cfRule>
    <cfRule type="containsText" dxfId="1005" priority="1047" operator="containsText" text="Deleted">
      <formula>NOT(ISERROR(SEARCH("Deleted",E94)))</formula>
    </cfRule>
    <cfRule type="containsText" dxfId="1004" priority="1048" operator="containsText" text="In Danger of Falling Behind Target">
      <formula>NOT(ISERROR(SEARCH("In Danger of Falling Behind Target",E94)))</formula>
    </cfRule>
    <cfRule type="containsText" dxfId="1003" priority="1049" operator="containsText" text="Not yet due">
      <formula>NOT(ISERROR(SEARCH("Not yet due",E94)))</formula>
    </cfRule>
    <cfRule type="containsText" dxfId="1002" priority="1050" operator="containsText" text="Update not Provided">
      <formula>NOT(ISERROR(SEARCH("Update not Provided",E94)))</formula>
    </cfRule>
    <cfRule type="containsText" dxfId="1001" priority="1051" operator="containsText" text="Not yet due">
      <formula>NOT(ISERROR(SEARCH("Not yet due",E94)))</formula>
    </cfRule>
    <cfRule type="containsText" dxfId="1000" priority="1052" operator="containsText" text="Completed Behind Schedule">
      <formula>NOT(ISERROR(SEARCH("Completed Behind Schedule",E94)))</formula>
    </cfRule>
    <cfRule type="containsText" dxfId="999" priority="1053" operator="containsText" text="Off Target">
      <formula>NOT(ISERROR(SEARCH("Off Target",E94)))</formula>
    </cfRule>
    <cfRule type="containsText" dxfId="998" priority="1054" operator="containsText" text="On Track to be Achieved">
      <formula>NOT(ISERROR(SEARCH("On Track to be Achieved",E94)))</formula>
    </cfRule>
    <cfRule type="containsText" dxfId="997" priority="1055" operator="containsText" text="Fully Achieved">
      <formula>NOT(ISERROR(SEARCH("Fully Achieved",E94)))</formula>
    </cfRule>
    <cfRule type="containsText" dxfId="996" priority="1056" operator="containsText" text="Not yet due">
      <formula>NOT(ISERROR(SEARCH("Not yet due",E94)))</formula>
    </cfRule>
    <cfRule type="containsText" dxfId="995" priority="1057" operator="containsText" text="Not Yet Due">
      <formula>NOT(ISERROR(SEARCH("Not Yet Due",E94)))</formula>
    </cfRule>
    <cfRule type="containsText" dxfId="994" priority="1058" operator="containsText" text="Deferred">
      <formula>NOT(ISERROR(SEARCH("Deferred",E94)))</formula>
    </cfRule>
    <cfRule type="containsText" dxfId="993" priority="1059" operator="containsText" text="Deleted">
      <formula>NOT(ISERROR(SEARCH("Deleted",E94)))</formula>
    </cfRule>
    <cfRule type="containsText" dxfId="992" priority="1060" operator="containsText" text="In Danger of Falling Behind Target">
      <formula>NOT(ISERROR(SEARCH("In Danger of Falling Behind Target",E94)))</formula>
    </cfRule>
    <cfRule type="containsText" dxfId="991" priority="1061" operator="containsText" text="Not yet due">
      <formula>NOT(ISERROR(SEARCH("Not yet due",E94)))</formula>
    </cfRule>
    <cfRule type="containsText" dxfId="990" priority="1062" operator="containsText" text="Completed Behind Schedule">
      <formula>NOT(ISERROR(SEARCH("Completed Behind Schedule",E94)))</formula>
    </cfRule>
    <cfRule type="containsText" dxfId="989" priority="1063" operator="containsText" text="Off Target">
      <formula>NOT(ISERROR(SEARCH("Off Target",E94)))</formula>
    </cfRule>
    <cfRule type="containsText" dxfId="988" priority="1064" operator="containsText" text="In Danger of Falling Behind Target">
      <formula>NOT(ISERROR(SEARCH("In Danger of Falling Behind Target",E94)))</formula>
    </cfRule>
    <cfRule type="containsText" dxfId="987" priority="1065" operator="containsText" text="On Track to be Achieved">
      <formula>NOT(ISERROR(SEARCH("On Track to be Achieved",E94)))</formula>
    </cfRule>
    <cfRule type="containsText" dxfId="986" priority="1066" operator="containsText" text="Fully Achieved">
      <formula>NOT(ISERROR(SEARCH("Fully Achieved",E94)))</formula>
    </cfRule>
    <cfRule type="containsText" dxfId="985" priority="1067" operator="containsText" text="Update not Provided">
      <formula>NOT(ISERROR(SEARCH("Update not Provided",E94)))</formula>
    </cfRule>
    <cfRule type="containsText" dxfId="984" priority="1068" operator="containsText" text="Not yet due">
      <formula>NOT(ISERROR(SEARCH("Not yet due",E94)))</formula>
    </cfRule>
    <cfRule type="containsText" dxfId="983" priority="1069" operator="containsText" text="Completed Behind Schedule">
      <formula>NOT(ISERROR(SEARCH("Completed Behind Schedule",E94)))</formula>
    </cfRule>
    <cfRule type="containsText" dxfId="982" priority="1070" operator="containsText" text="Off Target">
      <formula>NOT(ISERROR(SEARCH("Off Target",E94)))</formula>
    </cfRule>
    <cfRule type="containsText" dxfId="981" priority="1071" operator="containsText" text="In Danger of Falling Behind Target">
      <formula>NOT(ISERROR(SEARCH("In Danger of Falling Behind Target",E94)))</formula>
    </cfRule>
    <cfRule type="containsText" dxfId="980" priority="1072" operator="containsText" text="On Track to be Achieved">
      <formula>NOT(ISERROR(SEARCH("On Track to be Achieved",E94)))</formula>
    </cfRule>
    <cfRule type="containsText" dxfId="979" priority="1073" operator="containsText" text="Fully Achieved">
      <formula>NOT(ISERROR(SEARCH("Fully Achieved",E94)))</formula>
    </cfRule>
    <cfRule type="containsText" dxfId="978" priority="1074" operator="containsText" text="Fully Achieved">
      <formula>NOT(ISERROR(SEARCH("Fully Achieved",E94)))</formula>
    </cfRule>
    <cfRule type="containsText" dxfId="977" priority="1075" operator="containsText" text="Fully Achieved">
      <formula>NOT(ISERROR(SEARCH("Fully Achieved",E94)))</formula>
    </cfRule>
    <cfRule type="containsText" dxfId="976" priority="1076" operator="containsText" text="Deferred">
      <formula>NOT(ISERROR(SEARCH("Deferred",E94)))</formula>
    </cfRule>
    <cfRule type="containsText" dxfId="975" priority="1077" operator="containsText" text="Deleted">
      <formula>NOT(ISERROR(SEARCH("Deleted",E94)))</formula>
    </cfRule>
    <cfRule type="containsText" dxfId="974" priority="1078" operator="containsText" text="In Danger of Falling Behind Target">
      <formula>NOT(ISERROR(SEARCH("In Danger of Falling Behind Target",E94)))</formula>
    </cfRule>
    <cfRule type="containsText" dxfId="973" priority="1079" operator="containsText" text="Not yet due">
      <formula>NOT(ISERROR(SEARCH("Not yet due",E94)))</formula>
    </cfRule>
    <cfRule type="containsText" dxfId="972" priority="1080" operator="containsText" text="Update not Provided">
      <formula>NOT(ISERROR(SEARCH("Update not Provided",E94)))</formula>
    </cfRule>
  </conditionalFormatting>
  <conditionalFormatting sqref="E99:E100">
    <cfRule type="containsText" dxfId="971" priority="1009" operator="containsText" text="On track to be achieved">
      <formula>NOT(ISERROR(SEARCH("On track to be achieved",E99)))</formula>
    </cfRule>
    <cfRule type="containsText" dxfId="970" priority="1010" operator="containsText" text="Deferred">
      <formula>NOT(ISERROR(SEARCH("Deferred",E99)))</formula>
    </cfRule>
    <cfRule type="containsText" dxfId="969" priority="1011" operator="containsText" text="Deleted">
      <formula>NOT(ISERROR(SEARCH("Deleted",E99)))</formula>
    </cfRule>
    <cfRule type="containsText" dxfId="968" priority="1012" operator="containsText" text="In Danger of Falling Behind Target">
      <formula>NOT(ISERROR(SEARCH("In Danger of Falling Behind Target",E99)))</formula>
    </cfRule>
    <cfRule type="containsText" dxfId="967" priority="1013" operator="containsText" text="Not yet due">
      <formula>NOT(ISERROR(SEARCH("Not yet due",E99)))</formula>
    </cfRule>
    <cfRule type="containsText" dxfId="966" priority="1014" operator="containsText" text="Update not Provided">
      <formula>NOT(ISERROR(SEARCH("Update not Provided",E99)))</formula>
    </cfRule>
    <cfRule type="containsText" dxfId="965" priority="1015" operator="containsText" text="Not yet due">
      <formula>NOT(ISERROR(SEARCH("Not yet due",E99)))</formula>
    </cfRule>
    <cfRule type="containsText" dxfId="964" priority="1016" operator="containsText" text="Completed Behind Schedule">
      <formula>NOT(ISERROR(SEARCH("Completed Behind Schedule",E99)))</formula>
    </cfRule>
    <cfRule type="containsText" dxfId="963" priority="1017" operator="containsText" text="Off Target">
      <formula>NOT(ISERROR(SEARCH("Off Target",E99)))</formula>
    </cfRule>
    <cfRule type="containsText" dxfId="962" priority="1018" operator="containsText" text="On Track to be Achieved">
      <formula>NOT(ISERROR(SEARCH("On Track to be Achieved",E99)))</formula>
    </cfRule>
    <cfRule type="containsText" dxfId="961" priority="1019" operator="containsText" text="Fully Achieved">
      <formula>NOT(ISERROR(SEARCH("Fully Achieved",E99)))</formula>
    </cfRule>
    <cfRule type="containsText" dxfId="960" priority="1020" operator="containsText" text="Not yet due">
      <formula>NOT(ISERROR(SEARCH("Not yet due",E99)))</formula>
    </cfRule>
    <cfRule type="containsText" dxfId="959" priority="1021" operator="containsText" text="Not Yet Due">
      <formula>NOT(ISERROR(SEARCH("Not Yet Due",E99)))</formula>
    </cfRule>
    <cfRule type="containsText" dxfId="958" priority="1022" operator="containsText" text="Deferred">
      <formula>NOT(ISERROR(SEARCH("Deferred",E99)))</formula>
    </cfRule>
    <cfRule type="containsText" dxfId="957" priority="1023" operator="containsText" text="Deleted">
      <formula>NOT(ISERROR(SEARCH("Deleted",E99)))</formula>
    </cfRule>
    <cfRule type="containsText" dxfId="956" priority="1024" operator="containsText" text="In Danger of Falling Behind Target">
      <formula>NOT(ISERROR(SEARCH("In Danger of Falling Behind Target",E99)))</formula>
    </cfRule>
    <cfRule type="containsText" dxfId="955" priority="1025" operator="containsText" text="Not yet due">
      <formula>NOT(ISERROR(SEARCH("Not yet due",E99)))</formula>
    </cfRule>
    <cfRule type="containsText" dxfId="954" priority="1026" operator="containsText" text="Completed Behind Schedule">
      <formula>NOT(ISERROR(SEARCH("Completed Behind Schedule",E99)))</formula>
    </cfRule>
    <cfRule type="containsText" dxfId="953" priority="1027" operator="containsText" text="Off Target">
      <formula>NOT(ISERROR(SEARCH("Off Target",E99)))</formula>
    </cfRule>
    <cfRule type="containsText" dxfId="952" priority="1028" operator="containsText" text="In Danger of Falling Behind Target">
      <formula>NOT(ISERROR(SEARCH("In Danger of Falling Behind Target",E99)))</formula>
    </cfRule>
    <cfRule type="containsText" dxfId="951" priority="1029" operator="containsText" text="On Track to be Achieved">
      <formula>NOT(ISERROR(SEARCH("On Track to be Achieved",E99)))</formula>
    </cfRule>
    <cfRule type="containsText" dxfId="950" priority="1030" operator="containsText" text="Fully Achieved">
      <formula>NOT(ISERROR(SEARCH("Fully Achieved",E99)))</formula>
    </cfRule>
    <cfRule type="containsText" dxfId="949" priority="1031" operator="containsText" text="Update not Provided">
      <formula>NOT(ISERROR(SEARCH("Update not Provided",E99)))</formula>
    </cfRule>
    <cfRule type="containsText" dxfId="948" priority="1032" operator="containsText" text="Not yet due">
      <formula>NOT(ISERROR(SEARCH("Not yet due",E99)))</formula>
    </cfRule>
    <cfRule type="containsText" dxfId="947" priority="1033" operator="containsText" text="Completed Behind Schedule">
      <formula>NOT(ISERROR(SEARCH("Completed Behind Schedule",E99)))</formula>
    </cfRule>
    <cfRule type="containsText" dxfId="946" priority="1034" operator="containsText" text="Off Target">
      <formula>NOT(ISERROR(SEARCH("Off Target",E99)))</formula>
    </cfRule>
    <cfRule type="containsText" dxfId="945" priority="1035" operator="containsText" text="In Danger of Falling Behind Target">
      <formula>NOT(ISERROR(SEARCH("In Danger of Falling Behind Target",E99)))</formula>
    </cfRule>
    <cfRule type="containsText" dxfId="944" priority="1036" operator="containsText" text="On Track to be Achieved">
      <formula>NOT(ISERROR(SEARCH("On Track to be Achieved",E99)))</formula>
    </cfRule>
    <cfRule type="containsText" dxfId="943" priority="1037" operator="containsText" text="Fully Achieved">
      <formula>NOT(ISERROR(SEARCH("Fully Achieved",E99)))</formula>
    </cfRule>
    <cfRule type="containsText" dxfId="942" priority="1038" operator="containsText" text="Fully Achieved">
      <formula>NOT(ISERROR(SEARCH("Fully Achieved",E99)))</formula>
    </cfRule>
    <cfRule type="containsText" dxfId="941" priority="1039" operator="containsText" text="Fully Achieved">
      <formula>NOT(ISERROR(SEARCH("Fully Achieved",E99)))</formula>
    </cfRule>
    <cfRule type="containsText" dxfId="940" priority="1040" operator="containsText" text="Deferred">
      <formula>NOT(ISERROR(SEARCH("Deferred",E99)))</formula>
    </cfRule>
    <cfRule type="containsText" dxfId="939" priority="1041" operator="containsText" text="Deleted">
      <formula>NOT(ISERROR(SEARCH("Deleted",E99)))</formula>
    </cfRule>
    <cfRule type="containsText" dxfId="938" priority="1042" operator="containsText" text="In Danger of Falling Behind Target">
      <formula>NOT(ISERROR(SEARCH("In Danger of Falling Behind Target",E99)))</formula>
    </cfRule>
    <cfRule type="containsText" dxfId="937" priority="1043" operator="containsText" text="Not yet due">
      <formula>NOT(ISERROR(SEARCH("Not yet due",E99)))</formula>
    </cfRule>
    <cfRule type="containsText" dxfId="936" priority="1044" operator="containsText" text="Update not Provided">
      <formula>NOT(ISERROR(SEARCH("Update not Provided",E99)))</formula>
    </cfRule>
  </conditionalFormatting>
  <conditionalFormatting sqref="E102:E104">
    <cfRule type="containsText" dxfId="935" priority="973" operator="containsText" text="On track to be achieved">
      <formula>NOT(ISERROR(SEARCH("On track to be achieved",E102)))</formula>
    </cfRule>
    <cfRule type="containsText" dxfId="934" priority="974" operator="containsText" text="Deferred">
      <formula>NOT(ISERROR(SEARCH("Deferred",E102)))</formula>
    </cfRule>
    <cfRule type="containsText" dxfId="933" priority="975" operator="containsText" text="Deleted">
      <formula>NOT(ISERROR(SEARCH("Deleted",E102)))</formula>
    </cfRule>
    <cfRule type="containsText" dxfId="932" priority="976" operator="containsText" text="In Danger of Falling Behind Target">
      <formula>NOT(ISERROR(SEARCH("In Danger of Falling Behind Target",E102)))</formula>
    </cfRule>
    <cfRule type="containsText" dxfId="931" priority="977" operator="containsText" text="Not yet due">
      <formula>NOT(ISERROR(SEARCH("Not yet due",E102)))</formula>
    </cfRule>
    <cfRule type="containsText" dxfId="930" priority="978" operator="containsText" text="Update not Provided">
      <formula>NOT(ISERROR(SEARCH("Update not Provided",E102)))</formula>
    </cfRule>
    <cfRule type="containsText" dxfId="929" priority="979" operator="containsText" text="Not yet due">
      <formula>NOT(ISERROR(SEARCH("Not yet due",E102)))</formula>
    </cfRule>
    <cfRule type="containsText" dxfId="928" priority="980" operator="containsText" text="Completed Behind Schedule">
      <formula>NOT(ISERROR(SEARCH("Completed Behind Schedule",E102)))</formula>
    </cfRule>
    <cfRule type="containsText" dxfId="927" priority="981" operator="containsText" text="Off Target">
      <formula>NOT(ISERROR(SEARCH("Off Target",E102)))</formula>
    </cfRule>
    <cfRule type="containsText" dxfId="926" priority="982" operator="containsText" text="On Track to be Achieved">
      <formula>NOT(ISERROR(SEARCH("On Track to be Achieved",E102)))</formula>
    </cfRule>
    <cfRule type="containsText" dxfId="925" priority="983" operator="containsText" text="Fully Achieved">
      <formula>NOT(ISERROR(SEARCH("Fully Achieved",E102)))</formula>
    </cfRule>
    <cfRule type="containsText" dxfId="924" priority="984" operator="containsText" text="Not yet due">
      <formula>NOT(ISERROR(SEARCH("Not yet due",E102)))</formula>
    </cfRule>
    <cfRule type="containsText" dxfId="923" priority="985" operator="containsText" text="Not Yet Due">
      <formula>NOT(ISERROR(SEARCH("Not Yet Due",E102)))</formula>
    </cfRule>
    <cfRule type="containsText" dxfId="922" priority="986" operator="containsText" text="Deferred">
      <formula>NOT(ISERROR(SEARCH("Deferred",E102)))</formula>
    </cfRule>
    <cfRule type="containsText" dxfId="921" priority="987" operator="containsText" text="Deleted">
      <formula>NOT(ISERROR(SEARCH("Deleted",E102)))</formula>
    </cfRule>
    <cfRule type="containsText" dxfId="920" priority="988" operator="containsText" text="In Danger of Falling Behind Target">
      <formula>NOT(ISERROR(SEARCH("In Danger of Falling Behind Target",E102)))</formula>
    </cfRule>
    <cfRule type="containsText" dxfId="919" priority="989" operator="containsText" text="Not yet due">
      <formula>NOT(ISERROR(SEARCH("Not yet due",E102)))</formula>
    </cfRule>
    <cfRule type="containsText" dxfId="918" priority="990" operator="containsText" text="Completed Behind Schedule">
      <formula>NOT(ISERROR(SEARCH("Completed Behind Schedule",E102)))</formula>
    </cfRule>
    <cfRule type="containsText" dxfId="917" priority="991" operator="containsText" text="Off Target">
      <formula>NOT(ISERROR(SEARCH("Off Target",E102)))</formula>
    </cfRule>
    <cfRule type="containsText" dxfId="916" priority="992" operator="containsText" text="In Danger of Falling Behind Target">
      <formula>NOT(ISERROR(SEARCH("In Danger of Falling Behind Target",E102)))</formula>
    </cfRule>
    <cfRule type="containsText" dxfId="915" priority="993" operator="containsText" text="On Track to be Achieved">
      <formula>NOT(ISERROR(SEARCH("On Track to be Achieved",E102)))</formula>
    </cfRule>
    <cfRule type="containsText" dxfId="914" priority="994" operator="containsText" text="Fully Achieved">
      <formula>NOT(ISERROR(SEARCH("Fully Achieved",E102)))</formula>
    </cfRule>
    <cfRule type="containsText" dxfId="913" priority="995" operator="containsText" text="Update not Provided">
      <formula>NOT(ISERROR(SEARCH("Update not Provided",E102)))</formula>
    </cfRule>
    <cfRule type="containsText" dxfId="912" priority="996" operator="containsText" text="Not yet due">
      <formula>NOT(ISERROR(SEARCH("Not yet due",E102)))</formula>
    </cfRule>
    <cfRule type="containsText" dxfId="911" priority="997" operator="containsText" text="Completed Behind Schedule">
      <formula>NOT(ISERROR(SEARCH("Completed Behind Schedule",E102)))</formula>
    </cfRule>
    <cfRule type="containsText" dxfId="910" priority="998" operator="containsText" text="Off Target">
      <formula>NOT(ISERROR(SEARCH("Off Target",E102)))</formula>
    </cfRule>
    <cfRule type="containsText" dxfId="909" priority="999" operator="containsText" text="In Danger of Falling Behind Target">
      <formula>NOT(ISERROR(SEARCH("In Danger of Falling Behind Target",E102)))</formula>
    </cfRule>
    <cfRule type="containsText" dxfId="908" priority="1000" operator="containsText" text="On Track to be Achieved">
      <formula>NOT(ISERROR(SEARCH("On Track to be Achieved",E102)))</formula>
    </cfRule>
    <cfRule type="containsText" dxfId="907" priority="1001" operator="containsText" text="Fully Achieved">
      <formula>NOT(ISERROR(SEARCH("Fully Achieved",E102)))</formula>
    </cfRule>
    <cfRule type="containsText" dxfId="906" priority="1002" operator="containsText" text="Fully Achieved">
      <formula>NOT(ISERROR(SEARCH("Fully Achieved",E102)))</formula>
    </cfRule>
    <cfRule type="containsText" dxfId="905" priority="1003" operator="containsText" text="Fully Achieved">
      <formula>NOT(ISERROR(SEARCH("Fully Achieved",E102)))</formula>
    </cfRule>
    <cfRule type="containsText" dxfId="904" priority="1004" operator="containsText" text="Deferred">
      <formula>NOT(ISERROR(SEARCH("Deferred",E102)))</formula>
    </cfRule>
    <cfRule type="containsText" dxfId="903" priority="1005" operator="containsText" text="Deleted">
      <formula>NOT(ISERROR(SEARCH("Deleted",E102)))</formula>
    </cfRule>
    <cfRule type="containsText" dxfId="902" priority="1006" operator="containsText" text="In Danger of Falling Behind Target">
      <formula>NOT(ISERROR(SEARCH("In Danger of Falling Behind Target",E102)))</formula>
    </cfRule>
    <cfRule type="containsText" dxfId="901" priority="1007" operator="containsText" text="Not yet due">
      <formula>NOT(ISERROR(SEARCH("Not yet due",E102)))</formula>
    </cfRule>
    <cfRule type="containsText" dxfId="900" priority="1008" operator="containsText" text="Update not Provided">
      <formula>NOT(ISERROR(SEARCH("Update not Provided",E102)))</formula>
    </cfRule>
  </conditionalFormatting>
  <conditionalFormatting sqref="E107:E112">
    <cfRule type="containsText" dxfId="899" priority="937" operator="containsText" text="On track to be achieved">
      <formula>NOT(ISERROR(SEARCH("On track to be achieved",E107)))</formula>
    </cfRule>
    <cfRule type="containsText" dxfId="898" priority="938" operator="containsText" text="Deferred">
      <formula>NOT(ISERROR(SEARCH("Deferred",E107)))</formula>
    </cfRule>
    <cfRule type="containsText" dxfId="897" priority="939" operator="containsText" text="Deleted">
      <formula>NOT(ISERROR(SEARCH("Deleted",E107)))</formula>
    </cfRule>
    <cfRule type="containsText" dxfId="896" priority="940" operator="containsText" text="In Danger of Falling Behind Target">
      <formula>NOT(ISERROR(SEARCH("In Danger of Falling Behind Target",E107)))</formula>
    </cfRule>
    <cfRule type="containsText" dxfId="895" priority="941" operator="containsText" text="Not yet due">
      <formula>NOT(ISERROR(SEARCH("Not yet due",E107)))</formula>
    </cfRule>
    <cfRule type="containsText" dxfId="894" priority="942" operator="containsText" text="Update not Provided">
      <formula>NOT(ISERROR(SEARCH("Update not Provided",E107)))</formula>
    </cfRule>
    <cfRule type="containsText" dxfId="893" priority="943" operator="containsText" text="Not yet due">
      <formula>NOT(ISERROR(SEARCH("Not yet due",E107)))</formula>
    </cfRule>
    <cfRule type="containsText" dxfId="892" priority="944" operator="containsText" text="Completed Behind Schedule">
      <formula>NOT(ISERROR(SEARCH("Completed Behind Schedule",E107)))</formula>
    </cfRule>
    <cfRule type="containsText" dxfId="891" priority="945" operator="containsText" text="Off Target">
      <formula>NOT(ISERROR(SEARCH("Off Target",E107)))</formula>
    </cfRule>
    <cfRule type="containsText" dxfId="890" priority="946" operator="containsText" text="On Track to be Achieved">
      <formula>NOT(ISERROR(SEARCH("On Track to be Achieved",E107)))</formula>
    </cfRule>
    <cfRule type="containsText" dxfId="889" priority="947" operator="containsText" text="Fully Achieved">
      <formula>NOT(ISERROR(SEARCH("Fully Achieved",E107)))</formula>
    </cfRule>
    <cfRule type="containsText" dxfId="888" priority="948" operator="containsText" text="Not yet due">
      <formula>NOT(ISERROR(SEARCH("Not yet due",E107)))</formula>
    </cfRule>
    <cfRule type="containsText" dxfId="887" priority="949" operator="containsText" text="Not Yet Due">
      <formula>NOT(ISERROR(SEARCH("Not Yet Due",E107)))</formula>
    </cfRule>
    <cfRule type="containsText" dxfId="886" priority="950" operator="containsText" text="Deferred">
      <formula>NOT(ISERROR(SEARCH("Deferred",E107)))</formula>
    </cfRule>
    <cfRule type="containsText" dxfId="885" priority="951" operator="containsText" text="Deleted">
      <formula>NOT(ISERROR(SEARCH("Deleted",E107)))</formula>
    </cfRule>
    <cfRule type="containsText" dxfId="884" priority="952" operator="containsText" text="In Danger of Falling Behind Target">
      <formula>NOT(ISERROR(SEARCH("In Danger of Falling Behind Target",E107)))</formula>
    </cfRule>
    <cfRule type="containsText" dxfId="883" priority="953" operator="containsText" text="Not yet due">
      <formula>NOT(ISERROR(SEARCH("Not yet due",E107)))</formula>
    </cfRule>
    <cfRule type="containsText" dxfId="882" priority="954" operator="containsText" text="Completed Behind Schedule">
      <formula>NOT(ISERROR(SEARCH("Completed Behind Schedule",E107)))</formula>
    </cfRule>
    <cfRule type="containsText" dxfId="881" priority="955" operator="containsText" text="Off Target">
      <formula>NOT(ISERROR(SEARCH("Off Target",E107)))</formula>
    </cfRule>
    <cfRule type="containsText" dxfId="880" priority="956" operator="containsText" text="In Danger of Falling Behind Target">
      <formula>NOT(ISERROR(SEARCH("In Danger of Falling Behind Target",E107)))</formula>
    </cfRule>
    <cfRule type="containsText" dxfId="879" priority="957" operator="containsText" text="On Track to be Achieved">
      <formula>NOT(ISERROR(SEARCH("On Track to be Achieved",E107)))</formula>
    </cfRule>
    <cfRule type="containsText" dxfId="878" priority="958" operator="containsText" text="Fully Achieved">
      <formula>NOT(ISERROR(SEARCH("Fully Achieved",E107)))</formula>
    </cfRule>
    <cfRule type="containsText" dxfId="877" priority="959" operator="containsText" text="Update not Provided">
      <formula>NOT(ISERROR(SEARCH("Update not Provided",E107)))</formula>
    </cfRule>
    <cfRule type="containsText" dxfId="876" priority="960" operator="containsText" text="Not yet due">
      <formula>NOT(ISERROR(SEARCH("Not yet due",E107)))</formula>
    </cfRule>
    <cfRule type="containsText" dxfId="875" priority="961" operator="containsText" text="Completed Behind Schedule">
      <formula>NOT(ISERROR(SEARCH("Completed Behind Schedule",E107)))</formula>
    </cfRule>
    <cfRule type="containsText" dxfId="874" priority="962" operator="containsText" text="Off Target">
      <formula>NOT(ISERROR(SEARCH("Off Target",E107)))</formula>
    </cfRule>
    <cfRule type="containsText" dxfId="873" priority="963" operator="containsText" text="In Danger of Falling Behind Target">
      <formula>NOT(ISERROR(SEARCH("In Danger of Falling Behind Target",E107)))</formula>
    </cfRule>
    <cfRule type="containsText" dxfId="872" priority="964" operator="containsText" text="On Track to be Achieved">
      <formula>NOT(ISERROR(SEARCH("On Track to be Achieved",E107)))</formula>
    </cfRule>
    <cfRule type="containsText" dxfId="871" priority="965" operator="containsText" text="Fully Achieved">
      <formula>NOT(ISERROR(SEARCH("Fully Achieved",E107)))</formula>
    </cfRule>
    <cfRule type="containsText" dxfId="870" priority="966" operator="containsText" text="Fully Achieved">
      <formula>NOT(ISERROR(SEARCH("Fully Achieved",E107)))</formula>
    </cfRule>
    <cfRule type="containsText" dxfId="869" priority="967" operator="containsText" text="Fully Achieved">
      <formula>NOT(ISERROR(SEARCH("Fully Achieved",E107)))</formula>
    </cfRule>
    <cfRule type="containsText" dxfId="868" priority="968" operator="containsText" text="Deferred">
      <formula>NOT(ISERROR(SEARCH("Deferred",E107)))</formula>
    </cfRule>
    <cfRule type="containsText" dxfId="867" priority="969" operator="containsText" text="Deleted">
      <formula>NOT(ISERROR(SEARCH("Deleted",E107)))</formula>
    </cfRule>
    <cfRule type="containsText" dxfId="866" priority="970" operator="containsText" text="In Danger of Falling Behind Target">
      <formula>NOT(ISERROR(SEARCH("In Danger of Falling Behind Target",E107)))</formula>
    </cfRule>
    <cfRule type="containsText" dxfId="865" priority="971" operator="containsText" text="Not yet due">
      <formula>NOT(ISERROR(SEARCH("Not yet due",E107)))</formula>
    </cfRule>
    <cfRule type="containsText" dxfId="864" priority="972" operator="containsText" text="Update not Provided">
      <formula>NOT(ISERROR(SEARCH("Update not Provided",E107)))</formula>
    </cfRule>
  </conditionalFormatting>
  <conditionalFormatting sqref="E114">
    <cfRule type="containsText" dxfId="863" priority="901" operator="containsText" text="On track to be achieved">
      <formula>NOT(ISERROR(SEARCH("On track to be achieved",E114)))</formula>
    </cfRule>
    <cfRule type="containsText" dxfId="862" priority="902" operator="containsText" text="Deferred">
      <formula>NOT(ISERROR(SEARCH("Deferred",E114)))</formula>
    </cfRule>
    <cfRule type="containsText" dxfId="861" priority="903" operator="containsText" text="Deleted">
      <formula>NOT(ISERROR(SEARCH("Deleted",E114)))</formula>
    </cfRule>
    <cfRule type="containsText" dxfId="860" priority="904" operator="containsText" text="In Danger of Falling Behind Target">
      <formula>NOT(ISERROR(SEARCH("In Danger of Falling Behind Target",E114)))</formula>
    </cfRule>
    <cfRule type="containsText" dxfId="859" priority="905" operator="containsText" text="Not yet due">
      <formula>NOT(ISERROR(SEARCH("Not yet due",E114)))</formula>
    </cfRule>
    <cfRule type="containsText" dxfId="858" priority="906" operator="containsText" text="Update not Provided">
      <formula>NOT(ISERROR(SEARCH("Update not Provided",E114)))</formula>
    </cfRule>
    <cfRule type="containsText" dxfId="857" priority="907" operator="containsText" text="Not yet due">
      <formula>NOT(ISERROR(SEARCH("Not yet due",E114)))</formula>
    </cfRule>
    <cfRule type="containsText" dxfId="856" priority="908" operator="containsText" text="Completed Behind Schedule">
      <formula>NOT(ISERROR(SEARCH("Completed Behind Schedule",E114)))</formula>
    </cfRule>
    <cfRule type="containsText" dxfId="855" priority="909" operator="containsText" text="Off Target">
      <formula>NOT(ISERROR(SEARCH("Off Target",E114)))</formula>
    </cfRule>
    <cfRule type="containsText" dxfId="854" priority="910" operator="containsText" text="On Track to be Achieved">
      <formula>NOT(ISERROR(SEARCH("On Track to be Achieved",E114)))</formula>
    </cfRule>
    <cfRule type="containsText" dxfId="853" priority="911" operator="containsText" text="Fully Achieved">
      <formula>NOT(ISERROR(SEARCH("Fully Achieved",E114)))</formula>
    </cfRule>
    <cfRule type="containsText" dxfId="852" priority="912" operator="containsText" text="Not yet due">
      <formula>NOT(ISERROR(SEARCH("Not yet due",E114)))</formula>
    </cfRule>
    <cfRule type="containsText" dxfId="851" priority="913" operator="containsText" text="Not Yet Due">
      <formula>NOT(ISERROR(SEARCH("Not Yet Due",E114)))</formula>
    </cfRule>
    <cfRule type="containsText" dxfId="850" priority="914" operator="containsText" text="Deferred">
      <formula>NOT(ISERROR(SEARCH("Deferred",E114)))</formula>
    </cfRule>
    <cfRule type="containsText" dxfId="849" priority="915" operator="containsText" text="Deleted">
      <formula>NOT(ISERROR(SEARCH("Deleted",E114)))</formula>
    </cfRule>
    <cfRule type="containsText" dxfId="848" priority="916" operator="containsText" text="In Danger of Falling Behind Target">
      <formula>NOT(ISERROR(SEARCH("In Danger of Falling Behind Target",E114)))</formula>
    </cfRule>
    <cfRule type="containsText" dxfId="847" priority="917" operator="containsText" text="Not yet due">
      <formula>NOT(ISERROR(SEARCH("Not yet due",E114)))</formula>
    </cfRule>
    <cfRule type="containsText" dxfId="846" priority="918" operator="containsText" text="Completed Behind Schedule">
      <formula>NOT(ISERROR(SEARCH("Completed Behind Schedule",E114)))</formula>
    </cfRule>
    <cfRule type="containsText" dxfId="845" priority="919" operator="containsText" text="Off Target">
      <formula>NOT(ISERROR(SEARCH("Off Target",E114)))</formula>
    </cfRule>
    <cfRule type="containsText" dxfId="844" priority="920" operator="containsText" text="In Danger of Falling Behind Target">
      <formula>NOT(ISERROR(SEARCH("In Danger of Falling Behind Target",E114)))</formula>
    </cfRule>
    <cfRule type="containsText" dxfId="843" priority="921" operator="containsText" text="On Track to be Achieved">
      <formula>NOT(ISERROR(SEARCH("On Track to be Achieved",E114)))</formula>
    </cfRule>
    <cfRule type="containsText" dxfId="842" priority="922" operator="containsText" text="Fully Achieved">
      <formula>NOT(ISERROR(SEARCH("Fully Achieved",E114)))</formula>
    </cfRule>
    <cfRule type="containsText" dxfId="841" priority="923" operator="containsText" text="Update not Provided">
      <formula>NOT(ISERROR(SEARCH("Update not Provided",E114)))</formula>
    </cfRule>
    <cfRule type="containsText" dxfId="840" priority="924" operator="containsText" text="Not yet due">
      <formula>NOT(ISERROR(SEARCH("Not yet due",E114)))</formula>
    </cfRule>
    <cfRule type="containsText" dxfId="839" priority="925" operator="containsText" text="Completed Behind Schedule">
      <formula>NOT(ISERROR(SEARCH("Completed Behind Schedule",E114)))</formula>
    </cfRule>
    <cfRule type="containsText" dxfId="838" priority="926" operator="containsText" text="Off Target">
      <formula>NOT(ISERROR(SEARCH("Off Target",E114)))</formula>
    </cfRule>
    <cfRule type="containsText" dxfId="837" priority="927" operator="containsText" text="In Danger of Falling Behind Target">
      <formula>NOT(ISERROR(SEARCH("In Danger of Falling Behind Target",E114)))</formula>
    </cfRule>
    <cfRule type="containsText" dxfId="836" priority="928" operator="containsText" text="On Track to be Achieved">
      <formula>NOT(ISERROR(SEARCH("On Track to be Achieved",E114)))</formula>
    </cfRule>
    <cfRule type="containsText" dxfId="835" priority="929" operator="containsText" text="Fully Achieved">
      <formula>NOT(ISERROR(SEARCH("Fully Achieved",E114)))</formula>
    </cfRule>
    <cfRule type="containsText" dxfId="834" priority="930" operator="containsText" text="Fully Achieved">
      <formula>NOT(ISERROR(SEARCH("Fully Achieved",E114)))</formula>
    </cfRule>
    <cfRule type="containsText" dxfId="833" priority="931" operator="containsText" text="Fully Achieved">
      <formula>NOT(ISERROR(SEARCH("Fully Achieved",E114)))</formula>
    </cfRule>
    <cfRule type="containsText" dxfId="832" priority="932" operator="containsText" text="Deferred">
      <formula>NOT(ISERROR(SEARCH("Deferred",E114)))</formula>
    </cfRule>
    <cfRule type="containsText" dxfId="831" priority="933" operator="containsText" text="Deleted">
      <formula>NOT(ISERROR(SEARCH("Deleted",E114)))</formula>
    </cfRule>
    <cfRule type="containsText" dxfId="830" priority="934" operator="containsText" text="In Danger of Falling Behind Target">
      <formula>NOT(ISERROR(SEARCH("In Danger of Falling Behind Target",E114)))</formula>
    </cfRule>
    <cfRule type="containsText" dxfId="829" priority="935" operator="containsText" text="Not yet due">
      <formula>NOT(ISERROR(SEARCH("Not yet due",E114)))</formula>
    </cfRule>
    <cfRule type="containsText" dxfId="828" priority="936" operator="containsText" text="Update not Provided">
      <formula>NOT(ISERROR(SEARCH("Update not Provided",E114)))</formula>
    </cfRule>
  </conditionalFormatting>
  <conditionalFormatting sqref="E116">
    <cfRule type="containsText" dxfId="827" priority="865" operator="containsText" text="On track to be achieved">
      <formula>NOT(ISERROR(SEARCH("On track to be achieved",E116)))</formula>
    </cfRule>
    <cfRule type="containsText" dxfId="826" priority="866" operator="containsText" text="Deferred">
      <formula>NOT(ISERROR(SEARCH("Deferred",E116)))</formula>
    </cfRule>
    <cfRule type="containsText" dxfId="825" priority="867" operator="containsText" text="Deleted">
      <formula>NOT(ISERROR(SEARCH("Deleted",E116)))</formula>
    </cfRule>
    <cfRule type="containsText" dxfId="824" priority="868" operator="containsText" text="In Danger of Falling Behind Target">
      <formula>NOT(ISERROR(SEARCH("In Danger of Falling Behind Target",E116)))</formula>
    </cfRule>
    <cfRule type="containsText" dxfId="823" priority="869" operator="containsText" text="Not yet due">
      <formula>NOT(ISERROR(SEARCH("Not yet due",E116)))</formula>
    </cfRule>
    <cfRule type="containsText" dxfId="822" priority="870" operator="containsText" text="Update not Provided">
      <formula>NOT(ISERROR(SEARCH("Update not Provided",E116)))</formula>
    </cfRule>
    <cfRule type="containsText" dxfId="821" priority="871" operator="containsText" text="Not yet due">
      <formula>NOT(ISERROR(SEARCH("Not yet due",E116)))</formula>
    </cfRule>
    <cfRule type="containsText" dxfId="820" priority="872" operator="containsText" text="Completed Behind Schedule">
      <formula>NOT(ISERROR(SEARCH("Completed Behind Schedule",E116)))</formula>
    </cfRule>
    <cfRule type="containsText" dxfId="819" priority="873" operator="containsText" text="Off Target">
      <formula>NOT(ISERROR(SEARCH("Off Target",E116)))</formula>
    </cfRule>
    <cfRule type="containsText" dxfId="818" priority="874" operator="containsText" text="On Track to be Achieved">
      <formula>NOT(ISERROR(SEARCH("On Track to be Achieved",E116)))</formula>
    </cfRule>
    <cfRule type="containsText" dxfId="817" priority="875" operator="containsText" text="Fully Achieved">
      <formula>NOT(ISERROR(SEARCH("Fully Achieved",E116)))</formula>
    </cfRule>
    <cfRule type="containsText" dxfId="816" priority="876" operator="containsText" text="Not yet due">
      <formula>NOT(ISERROR(SEARCH("Not yet due",E116)))</formula>
    </cfRule>
    <cfRule type="containsText" dxfId="815" priority="877" operator="containsText" text="Not Yet Due">
      <formula>NOT(ISERROR(SEARCH("Not Yet Due",E116)))</formula>
    </cfRule>
    <cfRule type="containsText" dxfId="814" priority="878" operator="containsText" text="Deferred">
      <formula>NOT(ISERROR(SEARCH("Deferred",E116)))</formula>
    </cfRule>
    <cfRule type="containsText" dxfId="813" priority="879" operator="containsText" text="Deleted">
      <formula>NOT(ISERROR(SEARCH("Deleted",E116)))</formula>
    </cfRule>
    <cfRule type="containsText" dxfId="812" priority="880" operator="containsText" text="In Danger of Falling Behind Target">
      <formula>NOT(ISERROR(SEARCH("In Danger of Falling Behind Target",E116)))</formula>
    </cfRule>
    <cfRule type="containsText" dxfId="811" priority="881" operator="containsText" text="Not yet due">
      <formula>NOT(ISERROR(SEARCH("Not yet due",E116)))</formula>
    </cfRule>
    <cfRule type="containsText" dxfId="810" priority="882" operator="containsText" text="Completed Behind Schedule">
      <formula>NOT(ISERROR(SEARCH("Completed Behind Schedule",E116)))</formula>
    </cfRule>
    <cfRule type="containsText" dxfId="809" priority="883" operator="containsText" text="Off Target">
      <formula>NOT(ISERROR(SEARCH("Off Target",E116)))</formula>
    </cfRule>
    <cfRule type="containsText" dxfId="808" priority="884" operator="containsText" text="In Danger of Falling Behind Target">
      <formula>NOT(ISERROR(SEARCH("In Danger of Falling Behind Target",E116)))</formula>
    </cfRule>
    <cfRule type="containsText" dxfId="807" priority="885" operator="containsText" text="On Track to be Achieved">
      <formula>NOT(ISERROR(SEARCH("On Track to be Achieved",E116)))</formula>
    </cfRule>
    <cfRule type="containsText" dxfId="806" priority="886" operator="containsText" text="Fully Achieved">
      <formula>NOT(ISERROR(SEARCH("Fully Achieved",E116)))</formula>
    </cfRule>
    <cfRule type="containsText" dxfId="805" priority="887" operator="containsText" text="Update not Provided">
      <formula>NOT(ISERROR(SEARCH("Update not Provided",E116)))</formula>
    </cfRule>
    <cfRule type="containsText" dxfId="804" priority="888" operator="containsText" text="Not yet due">
      <formula>NOT(ISERROR(SEARCH("Not yet due",E116)))</formula>
    </cfRule>
    <cfRule type="containsText" dxfId="803" priority="889" operator="containsText" text="Completed Behind Schedule">
      <formula>NOT(ISERROR(SEARCH("Completed Behind Schedule",E116)))</formula>
    </cfRule>
    <cfRule type="containsText" dxfId="802" priority="890" operator="containsText" text="Off Target">
      <formula>NOT(ISERROR(SEARCH("Off Target",E116)))</formula>
    </cfRule>
    <cfRule type="containsText" dxfId="801" priority="891" operator="containsText" text="In Danger of Falling Behind Target">
      <formula>NOT(ISERROR(SEARCH("In Danger of Falling Behind Target",E116)))</formula>
    </cfRule>
    <cfRule type="containsText" dxfId="800" priority="892" operator="containsText" text="On Track to be Achieved">
      <formula>NOT(ISERROR(SEARCH("On Track to be Achieved",E116)))</formula>
    </cfRule>
    <cfRule type="containsText" dxfId="799" priority="893" operator="containsText" text="Fully Achieved">
      <formula>NOT(ISERROR(SEARCH("Fully Achieved",E116)))</formula>
    </cfRule>
    <cfRule type="containsText" dxfId="798" priority="894" operator="containsText" text="Fully Achieved">
      <formula>NOT(ISERROR(SEARCH("Fully Achieved",E116)))</formula>
    </cfRule>
    <cfRule type="containsText" dxfId="797" priority="895" operator="containsText" text="Fully Achieved">
      <formula>NOT(ISERROR(SEARCH("Fully Achieved",E116)))</formula>
    </cfRule>
    <cfRule type="containsText" dxfId="796" priority="896" operator="containsText" text="Deferred">
      <formula>NOT(ISERROR(SEARCH("Deferred",E116)))</formula>
    </cfRule>
    <cfRule type="containsText" dxfId="795" priority="897" operator="containsText" text="Deleted">
      <formula>NOT(ISERROR(SEARCH("Deleted",E116)))</formula>
    </cfRule>
    <cfRule type="containsText" dxfId="794" priority="898" operator="containsText" text="In Danger of Falling Behind Target">
      <formula>NOT(ISERROR(SEARCH("In Danger of Falling Behind Target",E116)))</formula>
    </cfRule>
    <cfRule type="containsText" dxfId="793" priority="899" operator="containsText" text="Not yet due">
      <formula>NOT(ISERROR(SEARCH("Not yet due",E116)))</formula>
    </cfRule>
    <cfRule type="containsText" dxfId="792" priority="900" operator="containsText" text="Update not Provided">
      <formula>NOT(ISERROR(SEARCH("Update not Provided",E116)))</formula>
    </cfRule>
  </conditionalFormatting>
  <conditionalFormatting sqref="E118:E122">
    <cfRule type="containsText" dxfId="791" priority="829" operator="containsText" text="On track to be achieved">
      <formula>NOT(ISERROR(SEARCH("On track to be achieved",E118)))</formula>
    </cfRule>
    <cfRule type="containsText" dxfId="790" priority="830" operator="containsText" text="Deferred">
      <formula>NOT(ISERROR(SEARCH("Deferred",E118)))</formula>
    </cfRule>
    <cfRule type="containsText" dxfId="789" priority="831" operator="containsText" text="Deleted">
      <formula>NOT(ISERROR(SEARCH("Deleted",E118)))</formula>
    </cfRule>
    <cfRule type="containsText" dxfId="788" priority="832" operator="containsText" text="In Danger of Falling Behind Target">
      <formula>NOT(ISERROR(SEARCH("In Danger of Falling Behind Target",E118)))</formula>
    </cfRule>
    <cfRule type="containsText" dxfId="787" priority="833" operator="containsText" text="Not yet due">
      <formula>NOT(ISERROR(SEARCH("Not yet due",E118)))</formula>
    </cfRule>
    <cfRule type="containsText" dxfId="786" priority="834" operator="containsText" text="Update not Provided">
      <formula>NOT(ISERROR(SEARCH("Update not Provided",E118)))</formula>
    </cfRule>
    <cfRule type="containsText" dxfId="785" priority="835" operator="containsText" text="Not yet due">
      <formula>NOT(ISERROR(SEARCH("Not yet due",E118)))</formula>
    </cfRule>
    <cfRule type="containsText" dxfId="784" priority="836" operator="containsText" text="Completed Behind Schedule">
      <formula>NOT(ISERROR(SEARCH("Completed Behind Schedule",E118)))</formula>
    </cfRule>
    <cfRule type="containsText" dxfId="783" priority="837" operator="containsText" text="Off Target">
      <formula>NOT(ISERROR(SEARCH("Off Target",E118)))</formula>
    </cfRule>
    <cfRule type="containsText" dxfId="782" priority="838" operator="containsText" text="On Track to be Achieved">
      <formula>NOT(ISERROR(SEARCH("On Track to be Achieved",E118)))</formula>
    </cfRule>
    <cfRule type="containsText" dxfId="781" priority="839" operator="containsText" text="Fully Achieved">
      <formula>NOT(ISERROR(SEARCH("Fully Achieved",E118)))</formula>
    </cfRule>
    <cfRule type="containsText" dxfId="780" priority="840" operator="containsText" text="Not yet due">
      <formula>NOT(ISERROR(SEARCH("Not yet due",E118)))</formula>
    </cfRule>
    <cfRule type="containsText" dxfId="779" priority="841" operator="containsText" text="Not Yet Due">
      <formula>NOT(ISERROR(SEARCH("Not Yet Due",E118)))</formula>
    </cfRule>
    <cfRule type="containsText" dxfId="778" priority="842" operator="containsText" text="Deferred">
      <formula>NOT(ISERROR(SEARCH("Deferred",E118)))</formula>
    </cfRule>
    <cfRule type="containsText" dxfId="777" priority="843" operator="containsText" text="Deleted">
      <formula>NOT(ISERROR(SEARCH("Deleted",E118)))</formula>
    </cfRule>
    <cfRule type="containsText" dxfId="776" priority="844" operator="containsText" text="In Danger of Falling Behind Target">
      <formula>NOT(ISERROR(SEARCH("In Danger of Falling Behind Target",E118)))</formula>
    </cfRule>
    <cfRule type="containsText" dxfId="775" priority="845" operator="containsText" text="Not yet due">
      <formula>NOT(ISERROR(SEARCH("Not yet due",E118)))</formula>
    </cfRule>
    <cfRule type="containsText" dxfId="774" priority="846" operator="containsText" text="Completed Behind Schedule">
      <formula>NOT(ISERROR(SEARCH("Completed Behind Schedule",E118)))</formula>
    </cfRule>
    <cfRule type="containsText" dxfId="773" priority="847" operator="containsText" text="Off Target">
      <formula>NOT(ISERROR(SEARCH("Off Target",E118)))</formula>
    </cfRule>
    <cfRule type="containsText" dxfId="772" priority="848" operator="containsText" text="In Danger of Falling Behind Target">
      <formula>NOT(ISERROR(SEARCH("In Danger of Falling Behind Target",E118)))</formula>
    </cfRule>
    <cfRule type="containsText" dxfId="771" priority="849" operator="containsText" text="On Track to be Achieved">
      <formula>NOT(ISERROR(SEARCH("On Track to be Achieved",E118)))</formula>
    </cfRule>
    <cfRule type="containsText" dxfId="770" priority="850" operator="containsText" text="Fully Achieved">
      <formula>NOT(ISERROR(SEARCH("Fully Achieved",E118)))</formula>
    </cfRule>
    <cfRule type="containsText" dxfId="769" priority="851" operator="containsText" text="Update not Provided">
      <formula>NOT(ISERROR(SEARCH("Update not Provided",E118)))</formula>
    </cfRule>
    <cfRule type="containsText" dxfId="768" priority="852" operator="containsText" text="Not yet due">
      <formula>NOT(ISERROR(SEARCH("Not yet due",E118)))</formula>
    </cfRule>
    <cfRule type="containsText" dxfId="767" priority="853" operator="containsText" text="Completed Behind Schedule">
      <formula>NOT(ISERROR(SEARCH("Completed Behind Schedule",E118)))</formula>
    </cfRule>
    <cfRule type="containsText" dxfId="766" priority="854" operator="containsText" text="Off Target">
      <formula>NOT(ISERROR(SEARCH("Off Target",E118)))</formula>
    </cfRule>
    <cfRule type="containsText" dxfId="765" priority="855" operator="containsText" text="In Danger of Falling Behind Target">
      <formula>NOT(ISERROR(SEARCH("In Danger of Falling Behind Target",E118)))</formula>
    </cfRule>
    <cfRule type="containsText" dxfId="764" priority="856" operator="containsText" text="On Track to be Achieved">
      <formula>NOT(ISERROR(SEARCH("On Track to be Achieved",E118)))</formula>
    </cfRule>
    <cfRule type="containsText" dxfId="763" priority="857" operator="containsText" text="Fully Achieved">
      <formula>NOT(ISERROR(SEARCH("Fully Achieved",E118)))</formula>
    </cfRule>
    <cfRule type="containsText" dxfId="762" priority="858" operator="containsText" text="Fully Achieved">
      <formula>NOT(ISERROR(SEARCH("Fully Achieved",E118)))</formula>
    </cfRule>
    <cfRule type="containsText" dxfId="761" priority="859" operator="containsText" text="Fully Achieved">
      <formula>NOT(ISERROR(SEARCH("Fully Achieved",E118)))</formula>
    </cfRule>
    <cfRule type="containsText" dxfId="760" priority="860" operator="containsText" text="Deferred">
      <formula>NOT(ISERROR(SEARCH("Deferred",E118)))</formula>
    </cfRule>
    <cfRule type="containsText" dxfId="759" priority="861" operator="containsText" text="Deleted">
      <formula>NOT(ISERROR(SEARCH("Deleted",E118)))</formula>
    </cfRule>
    <cfRule type="containsText" dxfId="758" priority="862" operator="containsText" text="In Danger of Falling Behind Target">
      <formula>NOT(ISERROR(SEARCH("In Danger of Falling Behind Target",E118)))</formula>
    </cfRule>
    <cfRule type="containsText" dxfId="757" priority="863" operator="containsText" text="Not yet due">
      <formula>NOT(ISERROR(SEARCH("Not yet due",E118)))</formula>
    </cfRule>
    <cfRule type="containsText" dxfId="756" priority="864" operator="containsText" text="Update not Provided">
      <formula>NOT(ISERROR(SEARCH("Update not Provided",E118)))</formula>
    </cfRule>
  </conditionalFormatting>
  <conditionalFormatting sqref="E124">
    <cfRule type="containsText" dxfId="755" priority="793" operator="containsText" text="On track to be achieved">
      <formula>NOT(ISERROR(SEARCH("On track to be achieved",E124)))</formula>
    </cfRule>
    <cfRule type="containsText" dxfId="754" priority="794" operator="containsText" text="Deferred">
      <formula>NOT(ISERROR(SEARCH("Deferred",E124)))</formula>
    </cfRule>
    <cfRule type="containsText" dxfId="753" priority="795" operator="containsText" text="Deleted">
      <formula>NOT(ISERROR(SEARCH("Deleted",E124)))</formula>
    </cfRule>
    <cfRule type="containsText" dxfId="752" priority="796" operator="containsText" text="In Danger of Falling Behind Target">
      <formula>NOT(ISERROR(SEARCH("In Danger of Falling Behind Target",E124)))</formula>
    </cfRule>
    <cfRule type="containsText" dxfId="751" priority="797" operator="containsText" text="Not yet due">
      <formula>NOT(ISERROR(SEARCH("Not yet due",E124)))</formula>
    </cfRule>
    <cfRule type="containsText" dxfId="750" priority="798" operator="containsText" text="Update not Provided">
      <formula>NOT(ISERROR(SEARCH("Update not Provided",E124)))</formula>
    </cfRule>
    <cfRule type="containsText" dxfId="749" priority="799" operator="containsText" text="Not yet due">
      <formula>NOT(ISERROR(SEARCH("Not yet due",E124)))</formula>
    </cfRule>
    <cfRule type="containsText" dxfId="748" priority="800" operator="containsText" text="Completed Behind Schedule">
      <formula>NOT(ISERROR(SEARCH("Completed Behind Schedule",E124)))</formula>
    </cfRule>
    <cfRule type="containsText" dxfId="747" priority="801" operator="containsText" text="Off Target">
      <formula>NOT(ISERROR(SEARCH("Off Target",E124)))</formula>
    </cfRule>
    <cfRule type="containsText" dxfId="746" priority="802" operator="containsText" text="On Track to be Achieved">
      <formula>NOT(ISERROR(SEARCH("On Track to be Achieved",E124)))</formula>
    </cfRule>
    <cfRule type="containsText" dxfId="745" priority="803" operator="containsText" text="Fully Achieved">
      <formula>NOT(ISERROR(SEARCH("Fully Achieved",E124)))</formula>
    </cfRule>
    <cfRule type="containsText" dxfId="744" priority="804" operator="containsText" text="Not yet due">
      <formula>NOT(ISERROR(SEARCH("Not yet due",E124)))</formula>
    </cfRule>
    <cfRule type="containsText" dxfId="743" priority="805" operator="containsText" text="Not Yet Due">
      <formula>NOT(ISERROR(SEARCH("Not Yet Due",E124)))</formula>
    </cfRule>
    <cfRule type="containsText" dxfId="742" priority="806" operator="containsText" text="Deferred">
      <formula>NOT(ISERROR(SEARCH("Deferred",E124)))</formula>
    </cfRule>
    <cfRule type="containsText" dxfId="741" priority="807" operator="containsText" text="Deleted">
      <formula>NOT(ISERROR(SEARCH("Deleted",E124)))</formula>
    </cfRule>
    <cfRule type="containsText" dxfId="740" priority="808" operator="containsText" text="In Danger of Falling Behind Target">
      <formula>NOT(ISERROR(SEARCH("In Danger of Falling Behind Target",E124)))</formula>
    </cfRule>
    <cfRule type="containsText" dxfId="739" priority="809" operator="containsText" text="Not yet due">
      <formula>NOT(ISERROR(SEARCH("Not yet due",E124)))</formula>
    </cfRule>
    <cfRule type="containsText" dxfId="738" priority="810" operator="containsText" text="Completed Behind Schedule">
      <formula>NOT(ISERROR(SEARCH("Completed Behind Schedule",E124)))</formula>
    </cfRule>
    <cfRule type="containsText" dxfId="737" priority="811" operator="containsText" text="Off Target">
      <formula>NOT(ISERROR(SEARCH("Off Target",E124)))</formula>
    </cfRule>
    <cfRule type="containsText" dxfId="736" priority="812" operator="containsText" text="In Danger of Falling Behind Target">
      <formula>NOT(ISERROR(SEARCH("In Danger of Falling Behind Target",E124)))</formula>
    </cfRule>
    <cfRule type="containsText" dxfId="735" priority="813" operator="containsText" text="On Track to be Achieved">
      <formula>NOT(ISERROR(SEARCH("On Track to be Achieved",E124)))</formula>
    </cfRule>
    <cfRule type="containsText" dxfId="734" priority="814" operator="containsText" text="Fully Achieved">
      <formula>NOT(ISERROR(SEARCH("Fully Achieved",E124)))</formula>
    </cfRule>
    <cfRule type="containsText" dxfId="733" priority="815" operator="containsText" text="Update not Provided">
      <formula>NOT(ISERROR(SEARCH("Update not Provided",E124)))</formula>
    </cfRule>
    <cfRule type="containsText" dxfId="732" priority="816" operator="containsText" text="Not yet due">
      <formula>NOT(ISERROR(SEARCH("Not yet due",E124)))</formula>
    </cfRule>
    <cfRule type="containsText" dxfId="731" priority="817" operator="containsText" text="Completed Behind Schedule">
      <formula>NOT(ISERROR(SEARCH("Completed Behind Schedule",E124)))</formula>
    </cfRule>
    <cfRule type="containsText" dxfId="730" priority="818" operator="containsText" text="Off Target">
      <formula>NOT(ISERROR(SEARCH("Off Target",E124)))</formula>
    </cfRule>
    <cfRule type="containsText" dxfId="729" priority="819" operator="containsText" text="In Danger of Falling Behind Target">
      <formula>NOT(ISERROR(SEARCH("In Danger of Falling Behind Target",E124)))</formula>
    </cfRule>
    <cfRule type="containsText" dxfId="728" priority="820" operator="containsText" text="On Track to be Achieved">
      <formula>NOT(ISERROR(SEARCH("On Track to be Achieved",E124)))</formula>
    </cfRule>
    <cfRule type="containsText" dxfId="727" priority="821" operator="containsText" text="Fully Achieved">
      <formula>NOT(ISERROR(SEARCH("Fully Achieved",E124)))</formula>
    </cfRule>
    <cfRule type="containsText" dxfId="726" priority="822" operator="containsText" text="Fully Achieved">
      <formula>NOT(ISERROR(SEARCH("Fully Achieved",E124)))</formula>
    </cfRule>
    <cfRule type="containsText" dxfId="725" priority="823" operator="containsText" text="Fully Achieved">
      <formula>NOT(ISERROR(SEARCH("Fully Achieved",E124)))</formula>
    </cfRule>
    <cfRule type="containsText" dxfId="724" priority="824" operator="containsText" text="Deferred">
      <formula>NOT(ISERROR(SEARCH("Deferred",E124)))</formula>
    </cfRule>
    <cfRule type="containsText" dxfId="723" priority="825" operator="containsText" text="Deleted">
      <formula>NOT(ISERROR(SEARCH("Deleted",E124)))</formula>
    </cfRule>
    <cfRule type="containsText" dxfId="722" priority="826" operator="containsText" text="In Danger of Falling Behind Target">
      <formula>NOT(ISERROR(SEARCH("In Danger of Falling Behind Target",E124)))</formula>
    </cfRule>
    <cfRule type="containsText" dxfId="721" priority="827" operator="containsText" text="Not yet due">
      <formula>NOT(ISERROR(SEARCH("Not yet due",E124)))</formula>
    </cfRule>
    <cfRule type="containsText" dxfId="720" priority="828" operator="containsText" text="Update not Provided">
      <formula>NOT(ISERROR(SEARCH("Update not Provided",E124)))</formula>
    </cfRule>
  </conditionalFormatting>
  <conditionalFormatting sqref="E126">
    <cfRule type="containsText" dxfId="719" priority="757" operator="containsText" text="On track to be achieved">
      <formula>NOT(ISERROR(SEARCH("On track to be achieved",E126)))</formula>
    </cfRule>
    <cfRule type="containsText" dxfId="718" priority="758" operator="containsText" text="Deferred">
      <formula>NOT(ISERROR(SEARCH("Deferred",E126)))</formula>
    </cfRule>
    <cfRule type="containsText" dxfId="717" priority="759" operator="containsText" text="Deleted">
      <formula>NOT(ISERROR(SEARCH("Deleted",E126)))</formula>
    </cfRule>
    <cfRule type="containsText" dxfId="716" priority="760" operator="containsText" text="In Danger of Falling Behind Target">
      <formula>NOT(ISERROR(SEARCH("In Danger of Falling Behind Target",E126)))</formula>
    </cfRule>
    <cfRule type="containsText" dxfId="715" priority="761" operator="containsText" text="Not yet due">
      <formula>NOT(ISERROR(SEARCH("Not yet due",E126)))</formula>
    </cfRule>
    <cfRule type="containsText" dxfId="714" priority="762" operator="containsText" text="Update not Provided">
      <formula>NOT(ISERROR(SEARCH("Update not Provided",E126)))</formula>
    </cfRule>
    <cfRule type="containsText" dxfId="713" priority="763" operator="containsText" text="Not yet due">
      <formula>NOT(ISERROR(SEARCH("Not yet due",E126)))</formula>
    </cfRule>
    <cfRule type="containsText" dxfId="712" priority="764" operator="containsText" text="Completed Behind Schedule">
      <formula>NOT(ISERROR(SEARCH("Completed Behind Schedule",E126)))</formula>
    </cfRule>
    <cfRule type="containsText" dxfId="711" priority="765" operator="containsText" text="Off Target">
      <formula>NOT(ISERROR(SEARCH("Off Target",E126)))</formula>
    </cfRule>
    <cfRule type="containsText" dxfId="710" priority="766" operator="containsText" text="On Track to be Achieved">
      <formula>NOT(ISERROR(SEARCH("On Track to be Achieved",E126)))</formula>
    </cfRule>
    <cfRule type="containsText" dxfId="709" priority="767" operator="containsText" text="Fully Achieved">
      <formula>NOT(ISERROR(SEARCH("Fully Achieved",E126)))</formula>
    </cfRule>
    <cfRule type="containsText" dxfId="708" priority="768" operator="containsText" text="Not yet due">
      <formula>NOT(ISERROR(SEARCH("Not yet due",E126)))</formula>
    </cfRule>
    <cfRule type="containsText" dxfId="707" priority="769" operator="containsText" text="Not Yet Due">
      <formula>NOT(ISERROR(SEARCH("Not Yet Due",E126)))</formula>
    </cfRule>
    <cfRule type="containsText" dxfId="706" priority="770" operator="containsText" text="Deferred">
      <formula>NOT(ISERROR(SEARCH("Deferred",E126)))</formula>
    </cfRule>
    <cfRule type="containsText" dxfId="705" priority="771" operator="containsText" text="Deleted">
      <formula>NOT(ISERROR(SEARCH("Deleted",E126)))</formula>
    </cfRule>
    <cfRule type="containsText" dxfId="704" priority="772" operator="containsText" text="In Danger of Falling Behind Target">
      <formula>NOT(ISERROR(SEARCH("In Danger of Falling Behind Target",E126)))</formula>
    </cfRule>
    <cfRule type="containsText" dxfId="703" priority="773" operator="containsText" text="Not yet due">
      <formula>NOT(ISERROR(SEARCH("Not yet due",E126)))</formula>
    </cfRule>
    <cfRule type="containsText" dxfId="702" priority="774" operator="containsText" text="Completed Behind Schedule">
      <formula>NOT(ISERROR(SEARCH("Completed Behind Schedule",E126)))</formula>
    </cfRule>
    <cfRule type="containsText" dxfId="701" priority="775" operator="containsText" text="Off Target">
      <formula>NOT(ISERROR(SEARCH("Off Target",E126)))</formula>
    </cfRule>
    <cfRule type="containsText" dxfId="700" priority="776" operator="containsText" text="In Danger of Falling Behind Target">
      <formula>NOT(ISERROR(SEARCH("In Danger of Falling Behind Target",E126)))</formula>
    </cfRule>
    <cfRule type="containsText" dxfId="699" priority="777" operator="containsText" text="On Track to be Achieved">
      <formula>NOT(ISERROR(SEARCH("On Track to be Achieved",E126)))</formula>
    </cfRule>
    <cfRule type="containsText" dxfId="698" priority="778" operator="containsText" text="Fully Achieved">
      <formula>NOT(ISERROR(SEARCH("Fully Achieved",E126)))</formula>
    </cfRule>
    <cfRule type="containsText" dxfId="697" priority="779" operator="containsText" text="Update not Provided">
      <formula>NOT(ISERROR(SEARCH("Update not Provided",E126)))</formula>
    </cfRule>
    <cfRule type="containsText" dxfId="696" priority="780" operator="containsText" text="Not yet due">
      <formula>NOT(ISERROR(SEARCH("Not yet due",E126)))</formula>
    </cfRule>
    <cfRule type="containsText" dxfId="695" priority="781" operator="containsText" text="Completed Behind Schedule">
      <formula>NOT(ISERROR(SEARCH("Completed Behind Schedule",E126)))</formula>
    </cfRule>
    <cfRule type="containsText" dxfId="694" priority="782" operator="containsText" text="Off Target">
      <formula>NOT(ISERROR(SEARCH("Off Target",E126)))</formula>
    </cfRule>
    <cfRule type="containsText" dxfId="693" priority="783" operator="containsText" text="In Danger of Falling Behind Target">
      <formula>NOT(ISERROR(SEARCH("In Danger of Falling Behind Target",E126)))</formula>
    </cfRule>
    <cfRule type="containsText" dxfId="692" priority="784" operator="containsText" text="On Track to be Achieved">
      <formula>NOT(ISERROR(SEARCH("On Track to be Achieved",E126)))</formula>
    </cfRule>
    <cfRule type="containsText" dxfId="691" priority="785" operator="containsText" text="Fully Achieved">
      <formula>NOT(ISERROR(SEARCH("Fully Achieved",E126)))</formula>
    </cfRule>
    <cfRule type="containsText" dxfId="690" priority="786" operator="containsText" text="Fully Achieved">
      <formula>NOT(ISERROR(SEARCH("Fully Achieved",E126)))</formula>
    </cfRule>
    <cfRule type="containsText" dxfId="689" priority="787" operator="containsText" text="Fully Achieved">
      <formula>NOT(ISERROR(SEARCH("Fully Achieved",E126)))</formula>
    </cfRule>
    <cfRule type="containsText" dxfId="688" priority="788" operator="containsText" text="Deferred">
      <formula>NOT(ISERROR(SEARCH("Deferred",E126)))</formula>
    </cfRule>
    <cfRule type="containsText" dxfId="687" priority="789" operator="containsText" text="Deleted">
      <formula>NOT(ISERROR(SEARCH("Deleted",E126)))</formula>
    </cfRule>
    <cfRule type="containsText" dxfId="686" priority="790" operator="containsText" text="In Danger of Falling Behind Target">
      <formula>NOT(ISERROR(SEARCH("In Danger of Falling Behind Target",E126)))</formula>
    </cfRule>
    <cfRule type="containsText" dxfId="685" priority="791" operator="containsText" text="Not yet due">
      <formula>NOT(ISERROR(SEARCH("Not yet due",E126)))</formula>
    </cfRule>
    <cfRule type="containsText" dxfId="684" priority="792" operator="containsText" text="Update not Provided">
      <formula>NOT(ISERROR(SEARCH("Update not Provided",E126)))</formula>
    </cfRule>
  </conditionalFormatting>
  <conditionalFormatting sqref="E8">
    <cfRule type="containsText" dxfId="683" priority="721" operator="containsText" text="On track to be achieved">
      <formula>NOT(ISERROR(SEARCH("On track to be achieved",E8)))</formula>
    </cfRule>
    <cfRule type="containsText" dxfId="682" priority="722" operator="containsText" text="Deferred">
      <formula>NOT(ISERROR(SEARCH("Deferred",E8)))</formula>
    </cfRule>
    <cfRule type="containsText" dxfId="681" priority="723" operator="containsText" text="Deleted">
      <formula>NOT(ISERROR(SEARCH("Deleted",E8)))</formula>
    </cfRule>
    <cfRule type="containsText" dxfId="680" priority="724" operator="containsText" text="In Danger of Falling Behind Target">
      <formula>NOT(ISERROR(SEARCH("In Danger of Falling Behind Target",E8)))</formula>
    </cfRule>
    <cfRule type="containsText" dxfId="679" priority="725" operator="containsText" text="Not yet due">
      <formula>NOT(ISERROR(SEARCH("Not yet due",E8)))</formula>
    </cfRule>
    <cfRule type="containsText" dxfId="678" priority="726" operator="containsText" text="Update not Provided">
      <formula>NOT(ISERROR(SEARCH("Update not Provided",E8)))</formula>
    </cfRule>
    <cfRule type="containsText" dxfId="677" priority="727" operator="containsText" text="Not yet due">
      <formula>NOT(ISERROR(SEARCH("Not yet due",E8)))</formula>
    </cfRule>
    <cfRule type="containsText" dxfId="676" priority="728" operator="containsText" text="Completed Behind Schedule">
      <formula>NOT(ISERROR(SEARCH("Completed Behind Schedule",E8)))</formula>
    </cfRule>
    <cfRule type="containsText" dxfId="675" priority="729" operator="containsText" text="Off Target">
      <formula>NOT(ISERROR(SEARCH("Off Target",E8)))</formula>
    </cfRule>
    <cfRule type="containsText" dxfId="674" priority="730" operator="containsText" text="On Track to be Achieved">
      <formula>NOT(ISERROR(SEARCH("On Track to be Achieved",E8)))</formula>
    </cfRule>
    <cfRule type="containsText" dxfId="673" priority="731" operator="containsText" text="Fully Achieved">
      <formula>NOT(ISERROR(SEARCH("Fully Achieved",E8)))</formula>
    </cfRule>
    <cfRule type="containsText" dxfId="672" priority="732" operator="containsText" text="Not yet due">
      <formula>NOT(ISERROR(SEARCH("Not yet due",E8)))</formula>
    </cfRule>
    <cfRule type="containsText" dxfId="671" priority="733" operator="containsText" text="Not Yet Due">
      <formula>NOT(ISERROR(SEARCH("Not Yet Due",E8)))</formula>
    </cfRule>
    <cfRule type="containsText" dxfId="670" priority="734" operator="containsText" text="Deferred">
      <formula>NOT(ISERROR(SEARCH("Deferred",E8)))</formula>
    </cfRule>
    <cfRule type="containsText" dxfId="669" priority="735" operator="containsText" text="Deleted">
      <formula>NOT(ISERROR(SEARCH("Deleted",E8)))</formula>
    </cfRule>
    <cfRule type="containsText" dxfId="668" priority="736" operator="containsText" text="In Danger of Falling Behind Target">
      <formula>NOT(ISERROR(SEARCH("In Danger of Falling Behind Target",E8)))</formula>
    </cfRule>
    <cfRule type="containsText" dxfId="667" priority="737" operator="containsText" text="Not yet due">
      <formula>NOT(ISERROR(SEARCH("Not yet due",E8)))</formula>
    </cfRule>
    <cfRule type="containsText" dxfId="666" priority="738" operator="containsText" text="Completed Behind Schedule">
      <formula>NOT(ISERROR(SEARCH("Completed Behind Schedule",E8)))</formula>
    </cfRule>
    <cfRule type="containsText" dxfId="665" priority="739" operator="containsText" text="Off Target">
      <formula>NOT(ISERROR(SEARCH("Off Target",E8)))</formula>
    </cfRule>
    <cfRule type="containsText" dxfId="664" priority="740" operator="containsText" text="In Danger of Falling Behind Target">
      <formula>NOT(ISERROR(SEARCH("In Danger of Falling Behind Target",E8)))</formula>
    </cfRule>
    <cfRule type="containsText" dxfId="663" priority="741" operator="containsText" text="On Track to be Achieved">
      <formula>NOT(ISERROR(SEARCH("On Track to be Achieved",E8)))</formula>
    </cfRule>
    <cfRule type="containsText" dxfId="662" priority="742" operator="containsText" text="Fully Achieved">
      <formula>NOT(ISERROR(SEARCH("Fully Achieved",E8)))</formula>
    </cfRule>
    <cfRule type="containsText" dxfId="661" priority="743" operator="containsText" text="Update not Provided">
      <formula>NOT(ISERROR(SEARCH("Update not Provided",E8)))</formula>
    </cfRule>
    <cfRule type="containsText" dxfId="660" priority="744" operator="containsText" text="Not yet due">
      <formula>NOT(ISERROR(SEARCH("Not yet due",E8)))</formula>
    </cfRule>
    <cfRule type="containsText" dxfId="659" priority="745" operator="containsText" text="Completed Behind Schedule">
      <formula>NOT(ISERROR(SEARCH("Completed Behind Schedule",E8)))</formula>
    </cfRule>
    <cfRule type="containsText" dxfId="658" priority="746" operator="containsText" text="Off Target">
      <formula>NOT(ISERROR(SEARCH("Off Target",E8)))</formula>
    </cfRule>
    <cfRule type="containsText" dxfId="657" priority="747" operator="containsText" text="In Danger of Falling Behind Target">
      <formula>NOT(ISERROR(SEARCH("In Danger of Falling Behind Target",E8)))</formula>
    </cfRule>
    <cfRule type="containsText" dxfId="656" priority="748" operator="containsText" text="On Track to be Achieved">
      <formula>NOT(ISERROR(SEARCH("On Track to be Achieved",E8)))</formula>
    </cfRule>
    <cfRule type="containsText" dxfId="655" priority="749" operator="containsText" text="Fully Achieved">
      <formula>NOT(ISERROR(SEARCH("Fully Achieved",E8)))</formula>
    </cfRule>
    <cfRule type="containsText" dxfId="654" priority="750" operator="containsText" text="Fully Achieved">
      <formula>NOT(ISERROR(SEARCH("Fully Achieved",E8)))</formula>
    </cfRule>
    <cfRule type="containsText" dxfId="653" priority="751" operator="containsText" text="Fully Achieved">
      <formula>NOT(ISERROR(SEARCH("Fully Achieved",E8)))</formula>
    </cfRule>
    <cfRule type="containsText" dxfId="652" priority="752" operator="containsText" text="Deferred">
      <formula>NOT(ISERROR(SEARCH("Deferred",E8)))</formula>
    </cfRule>
    <cfRule type="containsText" dxfId="651" priority="753" operator="containsText" text="Deleted">
      <formula>NOT(ISERROR(SEARCH("Deleted",E8)))</formula>
    </cfRule>
    <cfRule type="containsText" dxfId="650" priority="754" operator="containsText" text="In Danger of Falling Behind Target">
      <formula>NOT(ISERROR(SEARCH("In Danger of Falling Behind Target",E8)))</formula>
    </cfRule>
    <cfRule type="containsText" dxfId="649" priority="755" operator="containsText" text="Not yet due">
      <formula>NOT(ISERROR(SEARCH("Not yet due",E8)))</formula>
    </cfRule>
    <cfRule type="containsText" dxfId="648" priority="756" operator="containsText" text="Update not Provided">
      <formula>NOT(ISERROR(SEARCH("Update not Provided",E8)))</formula>
    </cfRule>
  </conditionalFormatting>
  <conditionalFormatting sqref="G9">
    <cfRule type="containsText" dxfId="647" priority="649" operator="containsText" text="On track to be achieved">
      <formula>NOT(ISERROR(SEARCH("On track to be achieved",G9)))</formula>
    </cfRule>
    <cfRule type="containsText" dxfId="646" priority="650" operator="containsText" text="Deferred">
      <formula>NOT(ISERROR(SEARCH("Deferred",G9)))</formula>
    </cfRule>
    <cfRule type="containsText" dxfId="645" priority="651" operator="containsText" text="Deleted">
      <formula>NOT(ISERROR(SEARCH("Deleted",G9)))</formula>
    </cfRule>
    <cfRule type="containsText" dxfId="644" priority="652" operator="containsText" text="In Danger of Falling Behind Target">
      <formula>NOT(ISERROR(SEARCH("In Danger of Falling Behind Target",G9)))</formula>
    </cfRule>
    <cfRule type="containsText" dxfId="643" priority="653" operator="containsText" text="Not yet due">
      <formula>NOT(ISERROR(SEARCH("Not yet due",G9)))</formula>
    </cfRule>
    <cfRule type="containsText" dxfId="642" priority="654" operator="containsText" text="Update not Provided">
      <formula>NOT(ISERROR(SEARCH("Update not Provided",G9)))</formula>
    </cfRule>
    <cfRule type="containsText" dxfId="641" priority="655" operator="containsText" text="Not yet due">
      <formula>NOT(ISERROR(SEARCH("Not yet due",G9)))</formula>
    </cfRule>
    <cfRule type="containsText" dxfId="640" priority="656" operator="containsText" text="Completed Behind Schedule">
      <formula>NOT(ISERROR(SEARCH("Completed Behind Schedule",G9)))</formula>
    </cfRule>
    <cfRule type="containsText" dxfId="639" priority="657" operator="containsText" text="Off Target">
      <formula>NOT(ISERROR(SEARCH("Off Target",G9)))</formula>
    </cfRule>
    <cfRule type="containsText" dxfId="638" priority="658" operator="containsText" text="On Track to be Achieved">
      <formula>NOT(ISERROR(SEARCH("On Track to be Achieved",G9)))</formula>
    </cfRule>
    <cfRule type="containsText" dxfId="637" priority="659" operator="containsText" text="Fully Achieved">
      <formula>NOT(ISERROR(SEARCH("Fully Achieved",G9)))</formula>
    </cfRule>
    <cfRule type="containsText" dxfId="636" priority="660" operator="containsText" text="Not yet due">
      <formula>NOT(ISERROR(SEARCH("Not yet due",G9)))</formula>
    </cfRule>
    <cfRule type="containsText" dxfId="635" priority="661" operator="containsText" text="Not Yet Due">
      <formula>NOT(ISERROR(SEARCH("Not Yet Due",G9)))</formula>
    </cfRule>
    <cfRule type="containsText" dxfId="634" priority="662" operator="containsText" text="Deferred">
      <formula>NOT(ISERROR(SEARCH("Deferred",G9)))</formula>
    </cfRule>
    <cfRule type="containsText" dxfId="633" priority="663" operator="containsText" text="Deleted">
      <formula>NOT(ISERROR(SEARCH("Deleted",G9)))</formula>
    </cfRule>
    <cfRule type="containsText" dxfId="632" priority="664" operator="containsText" text="In Danger of Falling Behind Target">
      <formula>NOT(ISERROR(SEARCH("In Danger of Falling Behind Target",G9)))</formula>
    </cfRule>
    <cfRule type="containsText" dxfId="631" priority="665" operator="containsText" text="Not yet due">
      <formula>NOT(ISERROR(SEARCH("Not yet due",G9)))</formula>
    </cfRule>
    <cfRule type="containsText" dxfId="630" priority="666" operator="containsText" text="Completed Behind Schedule">
      <formula>NOT(ISERROR(SEARCH("Completed Behind Schedule",G9)))</formula>
    </cfRule>
    <cfRule type="containsText" dxfId="629" priority="667" operator="containsText" text="Off Target">
      <formula>NOT(ISERROR(SEARCH("Off Target",G9)))</formula>
    </cfRule>
    <cfRule type="containsText" dxfId="628" priority="668" operator="containsText" text="In Danger of Falling Behind Target">
      <formula>NOT(ISERROR(SEARCH("In Danger of Falling Behind Target",G9)))</formula>
    </cfRule>
    <cfRule type="containsText" dxfId="627" priority="669" operator="containsText" text="On Track to be Achieved">
      <formula>NOT(ISERROR(SEARCH("On Track to be Achieved",G9)))</formula>
    </cfRule>
    <cfRule type="containsText" dxfId="626" priority="670" operator="containsText" text="Fully Achieved">
      <formula>NOT(ISERROR(SEARCH("Fully Achieved",G9)))</formula>
    </cfRule>
    <cfRule type="containsText" dxfId="625" priority="671" operator="containsText" text="Update not Provided">
      <formula>NOT(ISERROR(SEARCH("Update not Provided",G9)))</formula>
    </cfRule>
    <cfRule type="containsText" dxfId="624" priority="672" operator="containsText" text="Not yet due">
      <formula>NOT(ISERROR(SEARCH("Not yet due",G9)))</formula>
    </cfRule>
    <cfRule type="containsText" dxfId="623" priority="673" operator="containsText" text="Completed Behind Schedule">
      <formula>NOT(ISERROR(SEARCH("Completed Behind Schedule",G9)))</formula>
    </cfRule>
    <cfRule type="containsText" dxfId="622" priority="674" operator="containsText" text="Off Target">
      <formula>NOT(ISERROR(SEARCH("Off Target",G9)))</formula>
    </cfRule>
    <cfRule type="containsText" dxfId="621" priority="675" operator="containsText" text="In Danger of Falling Behind Target">
      <formula>NOT(ISERROR(SEARCH("In Danger of Falling Behind Target",G9)))</formula>
    </cfRule>
    <cfRule type="containsText" dxfId="620" priority="676" operator="containsText" text="On Track to be Achieved">
      <formula>NOT(ISERROR(SEARCH("On Track to be Achieved",G9)))</formula>
    </cfRule>
    <cfRule type="containsText" dxfId="619" priority="677" operator="containsText" text="Fully Achieved">
      <formula>NOT(ISERROR(SEARCH("Fully Achieved",G9)))</formula>
    </cfRule>
    <cfRule type="containsText" dxfId="618" priority="678" operator="containsText" text="Fully Achieved">
      <formula>NOT(ISERROR(SEARCH("Fully Achieved",G9)))</formula>
    </cfRule>
    <cfRule type="containsText" dxfId="617" priority="679" operator="containsText" text="Fully Achieved">
      <formula>NOT(ISERROR(SEARCH("Fully Achieved",G9)))</formula>
    </cfRule>
    <cfRule type="containsText" dxfId="616" priority="680" operator="containsText" text="Deferred">
      <formula>NOT(ISERROR(SEARCH("Deferred",G9)))</formula>
    </cfRule>
    <cfRule type="containsText" dxfId="615" priority="681" operator="containsText" text="Deleted">
      <formula>NOT(ISERROR(SEARCH("Deleted",G9)))</formula>
    </cfRule>
    <cfRule type="containsText" dxfId="614" priority="682" operator="containsText" text="In Danger of Falling Behind Target">
      <formula>NOT(ISERROR(SEARCH("In Danger of Falling Behind Target",G9)))</formula>
    </cfRule>
    <cfRule type="containsText" dxfId="613" priority="683" operator="containsText" text="Not yet due">
      <formula>NOT(ISERROR(SEARCH("Not yet due",G9)))</formula>
    </cfRule>
    <cfRule type="containsText" dxfId="612" priority="684" operator="containsText" text="Update not Provided">
      <formula>NOT(ISERROR(SEARCH("Update not Provided",G9)))</formula>
    </cfRule>
  </conditionalFormatting>
  <conditionalFormatting sqref="G4:G7">
    <cfRule type="containsText" dxfId="611" priority="613" operator="containsText" text="On track to be achieved">
      <formula>NOT(ISERROR(SEARCH("On track to be achieved",G4)))</formula>
    </cfRule>
    <cfRule type="containsText" dxfId="610" priority="614" operator="containsText" text="Deferred">
      <formula>NOT(ISERROR(SEARCH("Deferred",G4)))</formula>
    </cfRule>
    <cfRule type="containsText" dxfId="609" priority="615" operator="containsText" text="Deleted">
      <formula>NOT(ISERROR(SEARCH("Deleted",G4)))</formula>
    </cfRule>
    <cfRule type="containsText" dxfId="608" priority="616" operator="containsText" text="In Danger of Falling Behind Target">
      <formula>NOT(ISERROR(SEARCH("In Danger of Falling Behind Target",G4)))</formula>
    </cfRule>
    <cfRule type="containsText" dxfId="607" priority="617" operator="containsText" text="Not yet due">
      <formula>NOT(ISERROR(SEARCH("Not yet due",G4)))</formula>
    </cfRule>
    <cfRule type="containsText" dxfId="606" priority="618" operator="containsText" text="Update not Provided">
      <formula>NOT(ISERROR(SEARCH("Update not Provided",G4)))</formula>
    </cfRule>
    <cfRule type="containsText" dxfId="605" priority="619" operator="containsText" text="Not yet due">
      <formula>NOT(ISERROR(SEARCH("Not yet due",G4)))</formula>
    </cfRule>
    <cfRule type="containsText" dxfId="604" priority="620" operator="containsText" text="Completed Behind Schedule">
      <formula>NOT(ISERROR(SEARCH("Completed Behind Schedule",G4)))</formula>
    </cfRule>
    <cfRule type="containsText" dxfId="603" priority="621" operator="containsText" text="Off Target">
      <formula>NOT(ISERROR(SEARCH("Off Target",G4)))</formula>
    </cfRule>
    <cfRule type="containsText" dxfId="602" priority="622" operator="containsText" text="On Track to be Achieved">
      <formula>NOT(ISERROR(SEARCH("On Track to be Achieved",G4)))</formula>
    </cfRule>
    <cfRule type="containsText" dxfId="601" priority="623" operator="containsText" text="Fully Achieved">
      <formula>NOT(ISERROR(SEARCH("Fully Achieved",G4)))</formula>
    </cfRule>
    <cfRule type="containsText" dxfId="600" priority="624" operator="containsText" text="Not yet due">
      <formula>NOT(ISERROR(SEARCH("Not yet due",G4)))</formula>
    </cfRule>
    <cfRule type="containsText" dxfId="599" priority="625" operator="containsText" text="Not Yet Due">
      <formula>NOT(ISERROR(SEARCH("Not Yet Due",G4)))</formula>
    </cfRule>
    <cfRule type="containsText" dxfId="598" priority="626" operator="containsText" text="Deferred">
      <formula>NOT(ISERROR(SEARCH("Deferred",G4)))</formula>
    </cfRule>
    <cfRule type="containsText" dxfId="597" priority="627" operator="containsText" text="Deleted">
      <formula>NOT(ISERROR(SEARCH("Deleted",G4)))</formula>
    </cfRule>
    <cfRule type="containsText" dxfId="596" priority="628" operator="containsText" text="In Danger of Falling Behind Target">
      <formula>NOT(ISERROR(SEARCH("In Danger of Falling Behind Target",G4)))</formula>
    </cfRule>
    <cfRule type="containsText" dxfId="595" priority="629" operator="containsText" text="Not yet due">
      <formula>NOT(ISERROR(SEARCH("Not yet due",G4)))</formula>
    </cfRule>
    <cfRule type="containsText" dxfId="594" priority="630" operator="containsText" text="Completed Behind Schedule">
      <formula>NOT(ISERROR(SEARCH("Completed Behind Schedule",G4)))</formula>
    </cfRule>
    <cfRule type="containsText" dxfId="593" priority="631" operator="containsText" text="Off Target">
      <formula>NOT(ISERROR(SEARCH("Off Target",G4)))</formula>
    </cfRule>
    <cfRule type="containsText" dxfId="592" priority="632" operator="containsText" text="In Danger of Falling Behind Target">
      <formula>NOT(ISERROR(SEARCH("In Danger of Falling Behind Target",G4)))</formula>
    </cfRule>
    <cfRule type="containsText" dxfId="591" priority="633" operator="containsText" text="On Track to be Achieved">
      <formula>NOT(ISERROR(SEARCH("On Track to be Achieved",G4)))</formula>
    </cfRule>
    <cfRule type="containsText" dxfId="590" priority="634" operator="containsText" text="Fully Achieved">
      <formula>NOT(ISERROR(SEARCH("Fully Achieved",G4)))</formula>
    </cfRule>
    <cfRule type="containsText" dxfId="589" priority="635" operator="containsText" text="Update not Provided">
      <formula>NOT(ISERROR(SEARCH("Update not Provided",G4)))</formula>
    </cfRule>
    <cfRule type="containsText" dxfId="588" priority="636" operator="containsText" text="Not yet due">
      <formula>NOT(ISERROR(SEARCH("Not yet due",G4)))</formula>
    </cfRule>
    <cfRule type="containsText" dxfId="587" priority="637" operator="containsText" text="Completed Behind Schedule">
      <formula>NOT(ISERROR(SEARCH("Completed Behind Schedule",G4)))</formula>
    </cfRule>
    <cfRule type="containsText" dxfId="586" priority="638" operator="containsText" text="Off Target">
      <formula>NOT(ISERROR(SEARCH("Off Target",G4)))</formula>
    </cfRule>
    <cfRule type="containsText" dxfId="585" priority="639" operator="containsText" text="In Danger of Falling Behind Target">
      <formula>NOT(ISERROR(SEARCH("In Danger of Falling Behind Target",G4)))</formula>
    </cfRule>
    <cfRule type="containsText" dxfId="584" priority="640" operator="containsText" text="On Track to be Achieved">
      <formula>NOT(ISERROR(SEARCH("On Track to be Achieved",G4)))</formula>
    </cfRule>
    <cfRule type="containsText" dxfId="583" priority="641" operator="containsText" text="Fully Achieved">
      <formula>NOT(ISERROR(SEARCH("Fully Achieved",G4)))</formula>
    </cfRule>
    <cfRule type="containsText" dxfId="582" priority="642" operator="containsText" text="Fully Achieved">
      <formula>NOT(ISERROR(SEARCH("Fully Achieved",G4)))</formula>
    </cfRule>
    <cfRule type="containsText" dxfId="581" priority="643" operator="containsText" text="Fully Achieved">
      <formula>NOT(ISERROR(SEARCH("Fully Achieved",G4)))</formula>
    </cfRule>
    <cfRule type="containsText" dxfId="580" priority="644" operator="containsText" text="Deferred">
      <formula>NOT(ISERROR(SEARCH("Deferred",G4)))</formula>
    </cfRule>
    <cfRule type="containsText" dxfId="579" priority="645" operator="containsText" text="Deleted">
      <formula>NOT(ISERROR(SEARCH("Deleted",G4)))</formula>
    </cfRule>
    <cfRule type="containsText" dxfId="578" priority="646" operator="containsText" text="In Danger of Falling Behind Target">
      <formula>NOT(ISERROR(SEARCH("In Danger of Falling Behind Target",G4)))</formula>
    </cfRule>
    <cfRule type="containsText" dxfId="577" priority="647" operator="containsText" text="Not yet due">
      <formula>NOT(ISERROR(SEARCH("Not yet due",G4)))</formula>
    </cfRule>
    <cfRule type="containsText" dxfId="576" priority="648" operator="containsText" text="Update not Provided">
      <formula>NOT(ISERROR(SEARCH("Update not Provided",G4)))</formula>
    </cfRule>
  </conditionalFormatting>
  <conditionalFormatting sqref="G13:G19">
    <cfRule type="containsText" dxfId="575" priority="577" operator="containsText" text="On track to be achieved">
      <formula>NOT(ISERROR(SEARCH("On track to be achieved",G13)))</formula>
    </cfRule>
    <cfRule type="containsText" dxfId="574" priority="578" operator="containsText" text="Deferred">
      <formula>NOT(ISERROR(SEARCH("Deferred",G13)))</formula>
    </cfRule>
    <cfRule type="containsText" dxfId="573" priority="579" operator="containsText" text="Deleted">
      <formula>NOT(ISERROR(SEARCH("Deleted",G13)))</formula>
    </cfRule>
    <cfRule type="containsText" dxfId="572" priority="580" operator="containsText" text="In Danger of Falling Behind Target">
      <formula>NOT(ISERROR(SEARCH("In Danger of Falling Behind Target",G13)))</formula>
    </cfRule>
    <cfRule type="containsText" dxfId="571" priority="581" operator="containsText" text="Not yet due">
      <formula>NOT(ISERROR(SEARCH("Not yet due",G13)))</formula>
    </cfRule>
    <cfRule type="containsText" dxfId="570" priority="582" operator="containsText" text="Update not Provided">
      <formula>NOT(ISERROR(SEARCH("Update not Provided",G13)))</formula>
    </cfRule>
    <cfRule type="containsText" dxfId="569" priority="583" operator="containsText" text="Not yet due">
      <formula>NOT(ISERROR(SEARCH("Not yet due",G13)))</formula>
    </cfRule>
    <cfRule type="containsText" dxfId="568" priority="584" operator="containsText" text="Completed Behind Schedule">
      <formula>NOT(ISERROR(SEARCH("Completed Behind Schedule",G13)))</formula>
    </cfRule>
    <cfRule type="containsText" dxfId="567" priority="585" operator="containsText" text="Off Target">
      <formula>NOT(ISERROR(SEARCH("Off Target",G13)))</formula>
    </cfRule>
    <cfRule type="containsText" dxfId="566" priority="586" operator="containsText" text="On Track to be Achieved">
      <formula>NOT(ISERROR(SEARCH("On Track to be Achieved",G13)))</formula>
    </cfRule>
    <cfRule type="containsText" dxfId="565" priority="587" operator="containsText" text="Fully Achieved">
      <formula>NOT(ISERROR(SEARCH("Fully Achieved",G13)))</formula>
    </cfRule>
    <cfRule type="containsText" dxfId="564" priority="588" operator="containsText" text="Not yet due">
      <formula>NOT(ISERROR(SEARCH("Not yet due",G13)))</formula>
    </cfRule>
    <cfRule type="containsText" dxfId="563" priority="589" operator="containsText" text="Not Yet Due">
      <formula>NOT(ISERROR(SEARCH("Not Yet Due",G13)))</formula>
    </cfRule>
    <cfRule type="containsText" dxfId="562" priority="590" operator="containsText" text="Deferred">
      <formula>NOT(ISERROR(SEARCH("Deferred",G13)))</formula>
    </cfRule>
    <cfRule type="containsText" dxfId="561" priority="591" operator="containsText" text="Deleted">
      <formula>NOT(ISERROR(SEARCH("Deleted",G13)))</formula>
    </cfRule>
    <cfRule type="containsText" dxfId="560" priority="592" operator="containsText" text="In Danger of Falling Behind Target">
      <formula>NOT(ISERROR(SEARCH("In Danger of Falling Behind Target",G13)))</formula>
    </cfRule>
    <cfRule type="containsText" dxfId="559" priority="593" operator="containsText" text="Not yet due">
      <formula>NOT(ISERROR(SEARCH("Not yet due",G13)))</formula>
    </cfRule>
    <cfRule type="containsText" dxfId="558" priority="594" operator="containsText" text="Completed Behind Schedule">
      <formula>NOT(ISERROR(SEARCH("Completed Behind Schedule",G13)))</formula>
    </cfRule>
    <cfRule type="containsText" dxfId="557" priority="595" operator="containsText" text="Off Target">
      <formula>NOT(ISERROR(SEARCH("Off Target",G13)))</formula>
    </cfRule>
    <cfRule type="containsText" dxfId="556" priority="596" operator="containsText" text="In Danger of Falling Behind Target">
      <formula>NOT(ISERROR(SEARCH("In Danger of Falling Behind Target",G13)))</formula>
    </cfRule>
    <cfRule type="containsText" dxfId="555" priority="597" operator="containsText" text="On Track to be Achieved">
      <formula>NOT(ISERROR(SEARCH("On Track to be Achieved",G13)))</formula>
    </cfRule>
    <cfRule type="containsText" dxfId="554" priority="598" operator="containsText" text="Fully Achieved">
      <formula>NOT(ISERROR(SEARCH("Fully Achieved",G13)))</formula>
    </cfRule>
    <cfRule type="containsText" dxfId="553" priority="599" operator="containsText" text="Update not Provided">
      <formula>NOT(ISERROR(SEARCH("Update not Provided",G13)))</formula>
    </cfRule>
    <cfRule type="containsText" dxfId="552" priority="600" operator="containsText" text="Not yet due">
      <formula>NOT(ISERROR(SEARCH("Not yet due",G13)))</formula>
    </cfRule>
    <cfRule type="containsText" dxfId="551" priority="601" operator="containsText" text="Completed Behind Schedule">
      <formula>NOT(ISERROR(SEARCH("Completed Behind Schedule",G13)))</formula>
    </cfRule>
    <cfRule type="containsText" dxfId="550" priority="602" operator="containsText" text="Off Target">
      <formula>NOT(ISERROR(SEARCH("Off Target",G13)))</formula>
    </cfRule>
    <cfRule type="containsText" dxfId="549" priority="603" operator="containsText" text="In Danger of Falling Behind Target">
      <formula>NOT(ISERROR(SEARCH("In Danger of Falling Behind Target",G13)))</formula>
    </cfRule>
    <cfRule type="containsText" dxfId="548" priority="604" operator="containsText" text="On Track to be Achieved">
      <formula>NOT(ISERROR(SEARCH("On Track to be Achieved",G13)))</formula>
    </cfRule>
    <cfRule type="containsText" dxfId="547" priority="605" operator="containsText" text="Fully Achieved">
      <formula>NOT(ISERROR(SEARCH("Fully Achieved",G13)))</formula>
    </cfRule>
    <cfRule type="containsText" dxfId="546" priority="606" operator="containsText" text="Fully Achieved">
      <formula>NOT(ISERROR(SEARCH("Fully Achieved",G13)))</formula>
    </cfRule>
    <cfRule type="containsText" dxfId="545" priority="607" operator="containsText" text="Fully Achieved">
      <formula>NOT(ISERROR(SEARCH("Fully Achieved",G13)))</formula>
    </cfRule>
    <cfRule type="containsText" dxfId="544" priority="608" operator="containsText" text="Deferred">
      <formula>NOT(ISERROR(SEARCH("Deferred",G13)))</formula>
    </cfRule>
    <cfRule type="containsText" dxfId="543" priority="609" operator="containsText" text="Deleted">
      <formula>NOT(ISERROR(SEARCH("Deleted",G13)))</formula>
    </cfRule>
    <cfRule type="containsText" dxfId="542" priority="610" operator="containsText" text="In Danger of Falling Behind Target">
      <formula>NOT(ISERROR(SEARCH("In Danger of Falling Behind Target",G13)))</formula>
    </cfRule>
    <cfRule type="containsText" dxfId="541" priority="611" operator="containsText" text="Not yet due">
      <formula>NOT(ISERROR(SEARCH("Not yet due",G13)))</formula>
    </cfRule>
    <cfRule type="containsText" dxfId="540" priority="612" operator="containsText" text="Update not Provided">
      <formula>NOT(ISERROR(SEARCH("Update not Provided",G13)))</formula>
    </cfRule>
  </conditionalFormatting>
  <conditionalFormatting sqref="G22:G27 G30:G32 G34:G35 G37:G39 G41:G42 G44">
    <cfRule type="containsText" dxfId="539" priority="541" operator="containsText" text="On track to be achieved">
      <formula>NOT(ISERROR(SEARCH("On track to be achieved",G22)))</formula>
    </cfRule>
    <cfRule type="containsText" dxfId="538" priority="542" operator="containsText" text="Deferred">
      <formula>NOT(ISERROR(SEARCH("Deferred",G22)))</formula>
    </cfRule>
    <cfRule type="containsText" dxfId="537" priority="543" operator="containsText" text="Deleted">
      <formula>NOT(ISERROR(SEARCH("Deleted",G22)))</formula>
    </cfRule>
    <cfRule type="containsText" dxfId="536" priority="544" operator="containsText" text="In Danger of Falling Behind Target">
      <formula>NOT(ISERROR(SEARCH("In Danger of Falling Behind Target",G22)))</formula>
    </cfRule>
    <cfRule type="containsText" dxfId="535" priority="545" operator="containsText" text="Not yet due">
      <formula>NOT(ISERROR(SEARCH("Not yet due",G22)))</formula>
    </cfRule>
    <cfRule type="containsText" dxfId="534" priority="546" operator="containsText" text="Update not Provided">
      <formula>NOT(ISERROR(SEARCH("Update not Provided",G22)))</formula>
    </cfRule>
    <cfRule type="containsText" dxfId="533" priority="547" operator="containsText" text="Not yet due">
      <formula>NOT(ISERROR(SEARCH("Not yet due",G22)))</formula>
    </cfRule>
    <cfRule type="containsText" dxfId="532" priority="548" operator="containsText" text="Completed Behind Schedule">
      <formula>NOT(ISERROR(SEARCH("Completed Behind Schedule",G22)))</formula>
    </cfRule>
    <cfRule type="containsText" dxfId="531" priority="549" operator="containsText" text="Off Target">
      <formula>NOT(ISERROR(SEARCH("Off Target",G22)))</formula>
    </cfRule>
    <cfRule type="containsText" dxfId="530" priority="550" operator="containsText" text="On Track to be Achieved">
      <formula>NOT(ISERROR(SEARCH("On Track to be Achieved",G22)))</formula>
    </cfRule>
    <cfRule type="containsText" dxfId="529" priority="551" operator="containsText" text="Fully Achieved">
      <formula>NOT(ISERROR(SEARCH("Fully Achieved",G22)))</formula>
    </cfRule>
    <cfRule type="containsText" dxfId="528" priority="552" operator="containsText" text="Not yet due">
      <formula>NOT(ISERROR(SEARCH("Not yet due",G22)))</formula>
    </cfRule>
    <cfRule type="containsText" dxfId="527" priority="553" operator="containsText" text="Not Yet Due">
      <formula>NOT(ISERROR(SEARCH("Not Yet Due",G22)))</formula>
    </cfRule>
    <cfRule type="containsText" dxfId="526" priority="554" operator="containsText" text="Deferred">
      <formula>NOT(ISERROR(SEARCH("Deferred",G22)))</formula>
    </cfRule>
    <cfRule type="containsText" dxfId="525" priority="555" operator="containsText" text="Deleted">
      <formula>NOT(ISERROR(SEARCH("Deleted",G22)))</formula>
    </cfRule>
    <cfRule type="containsText" dxfId="524" priority="556" operator="containsText" text="In Danger of Falling Behind Target">
      <formula>NOT(ISERROR(SEARCH("In Danger of Falling Behind Target",G22)))</formula>
    </cfRule>
    <cfRule type="containsText" dxfId="523" priority="557" operator="containsText" text="Not yet due">
      <formula>NOT(ISERROR(SEARCH("Not yet due",G22)))</formula>
    </cfRule>
    <cfRule type="containsText" dxfId="522" priority="558" operator="containsText" text="Completed Behind Schedule">
      <formula>NOT(ISERROR(SEARCH("Completed Behind Schedule",G22)))</formula>
    </cfRule>
    <cfRule type="containsText" dxfId="521" priority="559" operator="containsText" text="Off Target">
      <formula>NOT(ISERROR(SEARCH("Off Target",G22)))</formula>
    </cfRule>
    <cfRule type="containsText" dxfId="520" priority="560" operator="containsText" text="In Danger of Falling Behind Target">
      <formula>NOT(ISERROR(SEARCH("In Danger of Falling Behind Target",G22)))</formula>
    </cfRule>
    <cfRule type="containsText" dxfId="519" priority="561" operator="containsText" text="On Track to be Achieved">
      <formula>NOT(ISERROR(SEARCH("On Track to be Achieved",G22)))</formula>
    </cfRule>
    <cfRule type="containsText" dxfId="518" priority="562" operator="containsText" text="Fully Achieved">
      <formula>NOT(ISERROR(SEARCH("Fully Achieved",G22)))</formula>
    </cfRule>
    <cfRule type="containsText" dxfId="517" priority="563" operator="containsText" text="Update not Provided">
      <formula>NOT(ISERROR(SEARCH("Update not Provided",G22)))</formula>
    </cfRule>
    <cfRule type="containsText" dxfId="516" priority="564" operator="containsText" text="Not yet due">
      <formula>NOT(ISERROR(SEARCH("Not yet due",G22)))</formula>
    </cfRule>
    <cfRule type="containsText" dxfId="515" priority="565" operator="containsText" text="Completed Behind Schedule">
      <formula>NOT(ISERROR(SEARCH("Completed Behind Schedule",G22)))</formula>
    </cfRule>
    <cfRule type="containsText" dxfId="514" priority="566" operator="containsText" text="Off Target">
      <formula>NOT(ISERROR(SEARCH("Off Target",G22)))</formula>
    </cfRule>
    <cfRule type="containsText" dxfId="513" priority="567" operator="containsText" text="In Danger of Falling Behind Target">
      <formula>NOT(ISERROR(SEARCH("In Danger of Falling Behind Target",G22)))</formula>
    </cfRule>
    <cfRule type="containsText" dxfId="512" priority="568" operator="containsText" text="On Track to be Achieved">
      <formula>NOT(ISERROR(SEARCH("On Track to be Achieved",G22)))</formula>
    </cfRule>
    <cfRule type="containsText" dxfId="511" priority="569" operator="containsText" text="Fully Achieved">
      <formula>NOT(ISERROR(SEARCH("Fully Achieved",G22)))</formula>
    </cfRule>
    <cfRule type="containsText" dxfId="510" priority="570" operator="containsText" text="Fully Achieved">
      <formula>NOT(ISERROR(SEARCH("Fully Achieved",G22)))</formula>
    </cfRule>
    <cfRule type="containsText" dxfId="509" priority="571" operator="containsText" text="Fully Achieved">
      <formula>NOT(ISERROR(SEARCH("Fully Achieved",G22)))</formula>
    </cfRule>
    <cfRule type="containsText" dxfId="508" priority="572" operator="containsText" text="Deferred">
      <formula>NOT(ISERROR(SEARCH("Deferred",G22)))</formula>
    </cfRule>
    <cfRule type="containsText" dxfId="507" priority="573" operator="containsText" text="Deleted">
      <formula>NOT(ISERROR(SEARCH("Deleted",G22)))</formula>
    </cfRule>
    <cfRule type="containsText" dxfId="506" priority="574" operator="containsText" text="In Danger of Falling Behind Target">
      <formula>NOT(ISERROR(SEARCH("In Danger of Falling Behind Target",G22)))</formula>
    </cfRule>
    <cfRule type="containsText" dxfId="505" priority="575" operator="containsText" text="Not yet due">
      <formula>NOT(ISERROR(SEARCH("Not yet due",G22)))</formula>
    </cfRule>
    <cfRule type="containsText" dxfId="504" priority="576" operator="containsText" text="Update not Provided">
      <formula>NOT(ISERROR(SEARCH("Update not Provided",G22)))</formula>
    </cfRule>
  </conditionalFormatting>
  <conditionalFormatting sqref="G46:G51 G53:G57">
    <cfRule type="containsText" dxfId="503" priority="505" operator="containsText" text="On track to be achieved">
      <formula>NOT(ISERROR(SEARCH("On track to be achieved",G46)))</formula>
    </cfRule>
    <cfRule type="containsText" dxfId="502" priority="506" operator="containsText" text="Deferred">
      <formula>NOT(ISERROR(SEARCH("Deferred",G46)))</formula>
    </cfRule>
    <cfRule type="containsText" dxfId="501" priority="507" operator="containsText" text="Deleted">
      <formula>NOT(ISERROR(SEARCH("Deleted",G46)))</formula>
    </cfRule>
    <cfRule type="containsText" dxfId="500" priority="508" operator="containsText" text="In Danger of Falling Behind Target">
      <formula>NOT(ISERROR(SEARCH("In Danger of Falling Behind Target",G46)))</formula>
    </cfRule>
    <cfRule type="containsText" dxfId="499" priority="509" operator="containsText" text="Not yet due">
      <formula>NOT(ISERROR(SEARCH("Not yet due",G46)))</formula>
    </cfRule>
    <cfRule type="containsText" dxfId="498" priority="510" operator="containsText" text="Update not Provided">
      <formula>NOT(ISERROR(SEARCH("Update not Provided",G46)))</formula>
    </cfRule>
    <cfRule type="containsText" dxfId="497" priority="511" operator="containsText" text="Not yet due">
      <formula>NOT(ISERROR(SEARCH("Not yet due",G46)))</formula>
    </cfRule>
    <cfRule type="containsText" dxfId="496" priority="512" operator="containsText" text="Completed Behind Schedule">
      <formula>NOT(ISERROR(SEARCH("Completed Behind Schedule",G46)))</formula>
    </cfRule>
    <cfRule type="containsText" dxfId="495" priority="513" operator="containsText" text="Off Target">
      <formula>NOT(ISERROR(SEARCH("Off Target",G46)))</formula>
    </cfRule>
    <cfRule type="containsText" dxfId="494" priority="514" operator="containsText" text="On Track to be Achieved">
      <formula>NOT(ISERROR(SEARCH("On Track to be Achieved",G46)))</formula>
    </cfRule>
    <cfRule type="containsText" dxfId="493" priority="515" operator="containsText" text="Fully Achieved">
      <formula>NOT(ISERROR(SEARCH("Fully Achieved",G46)))</formula>
    </cfRule>
    <cfRule type="containsText" dxfId="492" priority="516" operator="containsText" text="Not yet due">
      <formula>NOT(ISERROR(SEARCH("Not yet due",G46)))</formula>
    </cfRule>
    <cfRule type="containsText" dxfId="491" priority="517" operator="containsText" text="Not Yet Due">
      <formula>NOT(ISERROR(SEARCH("Not Yet Due",G46)))</formula>
    </cfRule>
    <cfRule type="containsText" dxfId="490" priority="518" operator="containsText" text="Deferred">
      <formula>NOT(ISERROR(SEARCH("Deferred",G46)))</formula>
    </cfRule>
    <cfRule type="containsText" dxfId="489" priority="519" operator="containsText" text="Deleted">
      <formula>NOT(ISERROR(SEARCH("Deleted",G46)))</formula>
    </cfRule>
    <cfRule type="containsText" dxfId="488" priority="520" operator="containsText" text="In Danger of Falling Behind Target">
      <formula>NOT(ISERROR(SEARCH("In Danger of Falling Behind Target",G46)))</formula>
    </cfRule>
    <cfRule type="containsText" dxfId="487" priority="521" operator="containsText" text="Not yet due">
      <formula>NOT(ISERROR(SEARCH("Not yet due",G46)))</formula>
    </cfRule>
    <cfRule type="containsText" dxfId="486" priority="522" operator="containsText" text="Completed Behind Schedule">
      <formula>NOT(ISERROR(SEARCH("Completed Behind Schedule",G46)))</formula>
    </cfRule>
    <cfRule type="containsText" dxfId="485" priority="523" operator="containsText" text="Off Target">
      <formula>NOT(ISERROR(SEARCH("Off Target",G46)))</formula>
    </cfRule>
    <cfRule type="containsText" dxfId="484" priority="524" operator="containsText" text="In Danger of Falling Behind Target">
      <formula>NOT(ISERROR(SEARCH("In Danger of Falling Behind Target",G46)))</formula>
    </cfRule>
    <cfRule type="containsText" dxfId="483" priority="525" operator="containsText" text="On Track to be Achieved">
      <formula>NOT(ISERROR(SEARCH("On Track to be Achieved",G46)))</formula>
    </cfRule>
    <cfRule type="containsText" dxfId="482" priority="526" operator="containsText" text="Fully Achieved">
      <formula>NOT(ISERROR(SEARCH("Fully Achieved",G46)))</formula>
    </cfRule>
    <cfRule type="containsText" dxfId="481" priority="527" operator="containsText" text="Update not Provided">
      <formula>NOT(ISERROR(SEARCH("Update not Provided",G46)))</formula>
    </cfRule>
    <cfRule type="containsText" dxfId="480" priority="528" operator="containsText" text="Not yet due">
      <formula>NOT(ISERROR(SEARCH("Not yet due",G46)))</formula>
    </cfRule>
    <cfRule type="containsText" dxfId="479" priority="529" operator="containsText" text="Completed Behind Schedule">
      <formula>NOT(ISERROR(SEARCH("Completed Behind Schedule",G46)))</formula>
    </cfRule>
    <cfRule type="containsText" dxfId="478" priority="530" operator="containsText" text="Off Target">
      <formula>NOT(ISERROR(SEARCH("Off Target",G46)))</formula>
    </cfRule>
    <cfRule type="containsText" dxfId="477" priority="531" operator="containsText" text="In Danger of Falling Behind Target">
      <formula>NOT(ISERROR(SEARCH("In Danger of Falling Behind Target",G46)))</formula>
    </cfRule>
    <cfRule type="containsText" dxfId="476" priority="532" operator="containsText" text="On Track to be Achieved">
      <formula>NOT(ISERROR(SEARCH("On Track to be Achieved",G46)))</formula>
    </cfRule>
    <cfRule type="containsText" dxfId="475" priority="533" operator="containsText" text="Fully Achieved">
      <formula>NOT(ISERROR(SEARCH("Fully Achieved",G46)))</formula>
    </cfRule>
    <cfRule type="containsText" dxfId="474" priority="534" operator="containsText" text="Fully Achieved">
      <formula>NOT(ISERROR(SEARCH("Fully Achieved",G46)))</formula>
    </cfRule>
    <cfRule type="containsText" dxfId="473" priority="535" operator="containsText" text="Fully Achieved">
      <formula>NOT(ISERROR(SEARCH("Fully Achieved",G46)))</formula>
    </cfRule>
    <cfRule type="containsText" dxfId="472" priority="536" operator="containsText" text="Deferred">
      <formula>NOT(ISERROR(SEARCH("Deferred",G46)))</formula>
    </cfRule>
    <cfRule type="containsText" dxfId="471" priority="537" operator="containsText" text="Deleted">
      <formula>NOT(ISERROR(SEARCH("Deleted",G46)))</formula>
    </cfRule>
    <cfRule type="containsText" dxfId="470" priority="538" operator="containsText" text="In Danger of Falling Behind Target">
      <formula>NOT(ISERROR(SEARCH("In Danger of Falling Behind Target",G46)))</formula>
    </cfRule>
    <cfRule type="containsText" dxfId="469" priority="539" operator="containsText" text="Not yet due">
      <formula>NOT(ISERROR(SEARCH("Not yet due",G46)))</formula>
    </cfRule>
    <cfRule type="containsText" dxfId="468" priority="540" operator="containsText" text="Update not Provided">
      <formula>NOT(ISERROR(SEARCH("Update not Provided",G46)))</formula>
    </cfRule>
  </conditionalFormatting>
  <conditionalFormatting sqref="G61">
    <cfRule type="containsText" dxfId="467" priority="433" operator="containsText" text="On track to be achieved">
      <formula>NOT(ISERROR(SEARCH("On track to be achieved",G61)))</formula>
    </cfRule>
    <cfRule type="containsText" dxfId="466" priority="434" operator="containsText" text="Deferred">
      <formula>NOT(ISERROR(SEARCH("Deferred",G61)))</formula>
    </cfRule>
    <cfRule type="containsText" dxfId="465" priority="435" operator="containsText" text="Deleted">
      <formula>NOT(ISERROR(SEARCH("Deleted",G61)))</formula>
    </cfRule>
    <cfRule type="containsText" dxfId="464" priority="436" operator="containsText" text="In Danger of Falling Behind Target">
      <formula>NOT(ISERROR(SEARCH("In Danger of Falling Behind Target",G61)))</formula>
    </cfRule>
    <cfRule type="containsText" dxfId="463" priority="437" operator="containsText" text="Not yet due">
      <formula>NOT(ISERROR(SEARCH("Not yet due",G61)))</formula>
    </cfRule>
    <cfRule type="containsText" dxfId="462" priority="438" operator="containsText" text="Update not Provided">
      <formula>NOT(ISERROR(SEARCH("Update not Provided",G61)))</formula>
    </cfRule>
    <cfRule type="containsText" dxfId="461" priority="439" operator="containsText" text="Not yet due">
      <formula>NOT(ISERROR(SEARCH("Not yet due",G61)))</formula>
    </cfRule>
    <cfRule type="containsText" dxfId="460" priority="440" operator="containsText" text="Completed Behind Schedule">
      <formula>NOT(ISERROR(SEARCH("Completed Behind Schedule",G61)))</formula>
    </cfRule>
    <cfRule type="containsText" dxfId="459" priority="441" operator="containsText" text="Off Target">
      <formula>NOT(ISERROR(SEARCH("Off Target",G61)))</formula>
    </cfRule>
    <cfRule type="containsText" dxfId="458" priority="442" operator="containsText" text="On Track to be Achieved">
      <formula>NOT(ISERROR(SEARCH("On Track to be Achieved",G61)))</formula>
    </cfRule>
    <cfRule type="containsText" dxfId="457" priority="443" operator="containsText" text="Fully Achieved">
      <formula>NOT(ISERROR(SEARCH("Fully Achieved",G61)))</formula>
    </cfRule>
    <cfRule type="containsText" dxfId="456" priority="444" operator="containsText" text="Not yet due">
      <formula>NOT(ISERROR(SEARCH("Not yet due",G61)))</formula>
    </cfRule>
    <cfRule type="containsText" dxfId="455" priority="445" operator="containsText" text="Not Yet Due">
      <formula>NOT(ISERROR(SEARCH("Not Yet Due",G61)))</formula>
    </cfRule>
    <cfRule type="containsText" dxfId="454" priority="446" operator="containsText" text="Deferred">
      <formula>NOT(ISERROR(SEARCH("Deferred",G61)))</formula>
    </cfRule>
    <cfRule type="containsText" dxfId="453" priority="447" operator="containsText" text="Deleted">
      <formula>NOT(ISERROR(SEARCH("Deleted",G61)))</formula>
    </cfRule>
    <cfRule type="containsText" dxfId="452" priority="448" operator="containsText" text="In Danger of Falling Behind Target">
      <formula>NOT(ISERROR(SEARCH("In Danger of Falling Behind Target",G61)))</formula>
    </cfRule>
    <cfRule type="containsText" dxfId="451" priority="449" operator="containsText" text="Not yet due">
      <formula>NOT(ISERROR(SEARCH("Not yet due",G61)))</formula>
    </cfRule>
    <cfRule type="containsText" dxfId="450" priority="450" operator="containsText" text="Completed Behind Schedule">
      <formula>NOT(ISERROR(SEARCH("Completed Behind Schedule",G61)))</formula>
    </cfRule>
    <cfRule type="containsText" dxfId="449" priority="451" operator="containsText" text="Off Target">
      <formula>NOT(ISERROR(SEARCH("Off Target",G61)))</formula>
    </cfRule>
    <cfRule type="containsText" dxfId="448" priority="452" operator="containsText" text="In Danger of Falling Behind Target">
      <formula>NOT(ISERROR(SEARCH("In Danger of Falling Behind Target",G61)))</formula>
    </cfRule>
    <cfRule type="containsText" dxfId="447" priority="453" operator="containsText" text="On Track to be Achieved">
      <formula>NOT(ISERROR(SEARCH("On Track to be Achieved",G61)))</formula>
    </cfRule>
    <cfRule type="containsText" dxfId="446" priority="454" operator="containsText" text="Fully Achieved">
      <formula>NOT(ISERROR(SEARCH("Fully Achieved",G61)))</formula>
    </cfRule>
    <cfRule type="containsText" dxfId="445" priority="455" operator="containsText" text="Update not Provided">
      <formula>NOT(ISERROR(SEARCH("Update not Provided",G61)))</formula>
    </cfRule>
    <cfRule type="containsText" dxfId="444" priority="456" operator="containsText" text="Not yet due">
      <formula>NOT(ISERROR(SEARCH("Not yet due",G61)))</formula>
    </cfRule>
    <cfRule type="containsText" dxfId="443" priority="457" operator="containsText" text="Completed Behind Schedule">
      <formula>NOT(ISERROR(SEARCH("Completed Behind Schedule",G61)))</formula>
    </cfRule>
    <cfRule type="containsText" dxfId="442" priority="458" operator="containsText" text="Off Target">
      <formula>NOT(ISERROR(SEARCH("Off Target",G61)))</formula>
    </cfRule>
    <cfRule type="containsText" dxfId="441" priority="459" operator="containsText" text="In Danger of Falling Behind Target">
      <formula>NOT(ISERROR(SEARCH("In Danger of Falling Behind Target",G61)))</formula>
    </cfRule>
    <cfRule type="containsText" dxfId="440" priority="460" operator="containsText" text="On Track to be Achieved">
      <formula>NOT(ISERROR(SEARCH("On Track to be Achieved",G61)))</formula>
    </cfRule>
    <cfRule type="containsText" dxfId="439" priority="461" operator="containsText" text="Fully Achieved">
      <formula>NOT(ISERROR(SEARCH("Fully Achieved",G61)))</formula>
    </cfRule>
    <cfRule type="containsText" dxfId="438" priority="462" operator="containsText" text="Fully Achieved">
      <formula>NOT(ISERROR(SEARCH("Fully Achieved",G61)))</formula>
    </cfRule>
    <cfRule type="containsText" dxfId="437" priority="463" operator="containsText" text="Fully Achieved">
      <formula>NOT(ISERROR(SEARCH("Fully Achieved",G61)))</formula>
    </cfRule>
    <cfRule type="containsText" dxfId="436" priority="464" operator="containsText" text="Deferred">
      <formula>NOT(ISERROR(SEARCH("Deferred",G61)))</formula>
    </cfRule>
    <cfRule type="containsText" dxfId="435" priority="465" operator="containsText" text="Deleted">
      <formula>NOT(ISERROR(SEARCH("Deleted",G61)))</formula>
    </cfRule>
    <cfRule type="containsText" dxfId="434" priority="466" operator="containsText" text="In Danger of Falling Behind Target">
      <formula>NOT(ISERROR(SEARCH("In Danger of Falling Behind Target",G61)))</formula>
    </cfRule>
    <cfRule type="containsText" dxfId="433" priority="467" operator="containsText" text="Not yet due">
      <formula>NOT(ISERROR(SEARCH("Not yet due",G61)))</formula>
    </cfRule>
    <cfRule type="containsText" dxfId="432" priority="468" operator="containsText" text="Update not Provided">
      <formula>NOT(ISERROR(SEARCH("Update not Provided",G61)))</formula>
    </cfRule>
  </conditionalFormatting>
  <conditionalFormatting sqref="G64:G67 G69:G73">
    <cfRule type="containsText" dxfId="431" priority="397" operator="containsText" text="On track to be achieved">
      <formula>NOT(ISERROR(SEARCH("On track to be achieved",G64)))</formula>
    </cfRule>
    <cfRule type="containsText" dxfId="430" priority="398" operator="containsText" text="Deferred">
      <formula>NOT(ISERROR(SEARCH("Deferred",G64)))</formula>
    </cfRule>
    <cfRule type="containsText" dxfId="429" priority="399" operator="containsText" text="Deleted">
      <formula>NOT(ISERROR(SEARCH("Deleted",G64)))</formula>
    </cfRule>
    <cfRule type="containsText" dxfId="428" priority="400" operator="containsText" text="In Danger of Falling Behind Target">
      <formula>NOT(ISERROR(SEARCH("In Danger of Falling Behind Target",G64)))</formula>
    </cfRule>
    <cfRule type="containsText" dxfId="427" priority="401" operator="containsText" text="Not yet due">
      <formula>NOT(ISERROR(SEARCH("Not yet due",G64)))</formula>
    </cfRule>
    <cfRule type="containsText" dxfId="426" priority="402" operator="containsText" text="Update not Provided">
      <formula>NOT(ISERROR(SEARCH("Update not Provided",G64)))</formula>
    </cfRule>
    <cfRule type="containsText" dxfId="425" priority="403" operator="containsText" text="Not yet due">
      <formula>NOT(ISERROR(SEARCH("Not yet due",G64)))</formula>
    </cfRule>
    <cfRule type="containsText" dxfId="424" priority="404" operator="containsText" text="Completed Behind Schedule">
      <formula>NOT(ISERROR(SEARCH("Completed Behind Schedule",G64)))</formula>
    </cfRule>
    <cfRule type="containsText" dxfId="423" priority="405" operator="containsText" text="Off Target">
      <formula>NOT(ISERROR(SEARCH("Off Target",G64)))</formula>
    </cfRule>
    <cfRule type="containsText" dxfId="422" priority="406" operator="containsText" text="On Track to be Achieved">
      <formula>NOT(ISERROR(SEARCH("On Track to be Achieved",G64)))</formula>
    </cfRule>
    <cfRule type="containsText" dxfId="421" priority="407" operator="containsText" text="Fully Achieved">
      <formula>NOT(ISERROR(SEARCH("Fully Achieved",G64)))</formula>
    </cfRule>
    <cfRule type="containsText" dxfId="420" priority="408" operator="containsText" text="Not yet due">
      <formula>NOT(ISERROR(SEARCH("Not yet due",G64)))</formula>
    </cfRule>
    <cfRule type="containsText" dxfId="419" priority="409" operator="containsText" text="Not Yet Due">
      <formula>NOT(ISERROR(SEARCH("Not Yet Due",G64)))</formula>
    </cfRule>
    <cfRule type="containsText" dxfId="418" priority="410" operator="containsText" text="Deferred">
      <formula>NOT(ISERROR(SEARCH("Deferred",G64)))</formula>
    </cfRule>
    <cfRule type="containsText" dxfId="417" priority="411" operator="containsText" text="Deleted">
      <formula>NOT(ISERROR(SEARCH("Deleted",G64)))</formula>
    </cfRule>
    <cfRule type="containsText" dxfId="416" priority="412" operator="containsText" text="In Danger of Falling Behind Target">
      <formula>NOT(ISERROR(SEARCH("In Danger of Falling Behind Target",G64)))</formula>
    </cfRule>
    <cfRule type="containsText" dxfId="415" priority="413" operator="containsText" text="Not yet due">
      <formula>NOT(ISERROR(SEARCH("Not yet due",G64)))</formula>
    </cfRule>
    <cfRule type="containsText" dxfId="414" priority="414" operator="containsText" text="Completed Behind Schedule">
      <formula>NOT(ISERROR(SEARCH("Completed Behind Schedule",G64)))</formula>
    </cfRule>
    <cfRule type="containsText" dxfId="413" priority="415" operator="containsText" text="Off Target">
      <formula>NOT(ISERROR(SEARCH("Off Target",G64)))</formula>
    </cfRule>
    <cfRule type="containsText" dxfId="412" priority="416" operator="containsText" text="In Danger of Falling Behind Target">
      <formula>NOT(ISERROR(SEARCH("In Danger of Falling Behind Target",G64)))</formula>
    </cfRule>
    <cfRule type="containsText" dxfId="411" priority="417" operator="containsText" text="On Track to be Achieved">
      <formula>NOT(ISERROR(SEARCH("On Track to be Achieved",G64)))</formula>
    </cfRule>
    <cfRule type="containsText" dxfId="410" priority="418" operator="containsText" text="Fully Achieved">
      <formula>NOT(ISERROR(SEARCH("Fully Achieved",G64)))</formula>
    </cfRule>
    <cfRule type="containsText" dxfId="409" priority="419" operator="containsText" text="Update not Provided">
      <formula>NOT(ISERROR(SEARCH("Update not Provided",G64)))</formula>
    </cfRule>
    <cfRule type="containsText" dxfId="408" priority="420" operator="containsText" text="Not yet due">
      <formula>NOT(ISERROR(SEARCH("Not yet due",G64)))</formula>
    </cfRule>
    <cfRule type="containsText" dxfId="407" priority="421" operator="containsText" text="Completed Behind Schedule">
      <formula>NOT(ISERROR(SEARCH("Completed Behind Schedule",G64)))</formula>
    </cfRule>
    <cfRule type="containsText" dxfId="406" priority="422" operator="containsText" text="Off Target">
      <formula>NOT(ISERROR(SEARCH("Off Target",G64)))</formula>
    </cfRule>
    <cfRule type="containsText" dxfId="405" priority="423" operator="containsText" text="In Danger of Falling Behind Target">
      <formula>NOT(ISERROR(SEARCH("In Danger of Falling Behind Target",G64)))</formula>
    </cfRule>
    <cfRule type="containsText" dxfId="404" priority="424" operator="containsText" text="On Track to be Achieved">
      <formula>NOT(ISERROR(SEARCH("On Track to be Achieved",G64)))</formula>
    </cfRule>
    <cfRule type="containsText" dxfId="403" priority="425" operator="containsText" text="Fully Achieved">
      <formula>NOT(ISERROR(SEARCH("Fully Achieved",G64)))</formula>
    </cfRule>
    <cfRule type="containsText" dxfId="402" priority="426" operator="containsText" text="Fully Achieved">
      <formula>NOT(ISERROR(SEARCH("Fully Achieved",G64)))</formula>
    </cfRule>
    <cfRule type="containsText" dxfId="401" priority="427" operator="containsText" text="Fully Achieved">
      <formula>NOT(ISERROR(SEARCH("Fully Achieved",G64)))</formula>
    </cfRule>
    <cfRule type="containsText" dxfId="400" priority="428" operator="containsText" text="Deferred">
      <formula>NOT(ISERROR(SEARCH("Deferred",G64)))</formula>
    </cfRule>
    <cfRule type="containsText" dxfId="399" priority="429" operator="containsText" text="Deleted">
      <formula>NOT(ISERROR(SEARCH("Deleted",G64)))</formula>
    </cfRule>
    <cfRule type="containsText" dxfId="398" priority="430" operator="containsText" text="In Danger of Falling Behind Target">
      <formula>NOT(ISERROR(SEARCH("In Danger of Falling Behind Target",G64)))</formula>
    </cfRule>
    <cfRule type="containsText" dxfId="397" priority="431" operator="containsText" text="Not yet due">
      <formula>NOT(ISERROR(SEARCH("Not yet due",G64)))</formula>
    </cfRule>
    <cfRule type="containsText" dxfId="396" priority="432" operator="containsText" text="Update not Provided">
      <formula>NOT(ISERROR(SEARCH("Update not Provided",G64)))</formula>
    </cfRule>
  </conditionalFormatting>
  <conditionalFormatting sqref="G75:G76">
    <cfRule type="containsText" dxfId="395" priority="361" operator="containsText" text="On track to be achieved">
      <formula>NOT(ISERROR(SEARCH("On track to be achieved",G75)))</formula>
    </cfRule>
    <cfRule type="containsText" dxfId="394" priority="362" operator="containsText" text="Deferred">
      <formula>NOT(ISERROR(SEARCH("Deferred",G75)))</formula>
    </cfRule>
    <cfRule type="containsText" dxfId="393" priority="363" operator="containsText" text="Deleted">
      <formula>NOT(ISERROR(SEARCH("Deleted",G75)))</formula>
    </cfRule>
    <cfRule type="containsText" dxfId="392" priority="364" operator="containsText" text="In Danger of Falling Behind Target">
      <formula>NOT(ISERROR(SEARCH("In Danger of Falling Behind Target",G75)))</formula>
    </cfRule>
    <cfRule type="containsText" dxfId="391" priority="365" operator="containsText" text="Not yet due">
      <formula>NOT(ISERROR(SEARCH("Not yet due",G75)))</formula>
    </cfRule>
    <cfRule type="containsText" dxfId="390" priority="366" operator="containsText" text="Update not Provided">
      <formula>NOT(ISERROR(SEARCH("Update not Provided",G75)))</formula>
    </cfRule>
    <cfRule type="containsText" dxfId="389" priority="367" operator="containsText" text="Not yet due">
      <formula>NOT(ISERROR(SEARCH("Not yet due",G75)))</formula>
    </cfRule>
    <cfRule type="containsText" dxfId="388" priority="368" operator="containsText" text="Completed Behind Schedule">
      <formula>NOT(ISERROR(SEARCH("Completed Behind Schedule",G75)))</formula>
    </cfRule>
    <cfRule type="containsText" dxfId="387" priority="369" operator="containsText" text="Off Target">
      <formula>NOT(ISERROR(SEARCH("Off Target",G75)))</formula>
    </cfRule>
    <cfRule type="containsText" dxfId="386" priority="370" operator="containsText" text="On Track to be Achieved">
      <formula>NOT(ISERROR(SEARCH("On Track to be Achieved",G75)))</formula>
    </cfRule>
    <cfRule type="containsText" dxfId="385" priority="371" operator="containsText" text="Fully Achieved">
      <formula>NOT(ISERROR(SEARCH("Fully Achieved",G75)))</formula>
    </cfRule>
    <cfRule type="containsText" dxfId="384" priority="372" operator="containsText" text="Not yet due">
      <formula>NOT(ISERROR(SEARCH("Not yet due",G75)))</formula>
    </cfRule>
    <cfRule type="containsText" dxfId="383" priority="373" operator="containsText" text="Not Yet Due">
      <formula>NOT(ISERROR(SEARCH("Not Yet Due",G75)))</formula>
    </cfRule>
    <cfRule type="containsText" dxfId="382" priority="374" operator="containsText" text="Deferred">
      <formula>NOT(ISERROR(SEARCH("Deferred",G75)))</formula>
    </cfRule>
    <cfRule type="containsText" dxfId="381" priority="375" operator="containsText" text="Deleted">
      <formula>NOT(ISERROR(SEARCH("Deleted",G75)))</formula>
    </cfRule>
    <cfRule type="containsText" dxfId="380" priority="376" operator="containsText" text="In Danger of Falling Behind Target">
      <formula>NOT(ISERROR(SEARCH("In Danger of Falling Behind Target",G75)))</formula>
    </cfRule>
    <cfRule type="containsText" dxfId="379" priority="377" operator="containsText" text="Not yet due">
      <formula>NOT(ISERROR(SEARCH("Not yet due",G75)))</formula>
    </cfRule>
    <cfRule type="containsText" dxfId="378" priority="378" operator="containsText" text="Completed Behind Schedule">
      <formula>NOT(ISERROR(SEARCH("Completed Behind Schedule",G75)))</formula>
    </cfRule>
    <cfRule type="containsText" dxfId="377" priority="379" operator="containsText" text="Off Target">
      <formula>NOT(ISERROR(SEARCH("Off Target",G75)))</formula>
    </cfRule>
    <cfRule type="containsText" dxfId="376" priority="380" operator="containsText" text="In Danger of Falling Behind Target">
      <formula>NOT(ISERROR(SEARCH("In Danger of Falling Behind Target",G75)))</formula>
    </cfRule>
    <cfRule type="containsText" dxfId="375" priority="381" operator="containsText" text="On Track to be Achieved">
      <formula>NOT(ISERROR(SEARCH("On Track to be Achieved",G75)))</formula>
    </cfRule>
    <cfRule type="containsText" dxfId="374" priority="382" operator="containsText" text="Fully Achieved">
      <formula>NOT(ISERROR(SEARCH("Fully Achieved",G75)))</formula>
    </cfRule>
    <cfRule type="containsText" dxfId="373" priority="383" operator="containsText" text="Update not Provided">
      <formula>NOT(ISERROR(SEARCH("Update not Provided",G75)))</formula>
    </cfRule>
    <cfRule type="containsText" dxfId="372" priority="384" operator="containsText" text="Not yet due">
      <formula>NOT(ISERROR(SEARCH("Not yet due",G75)))</formula>
    </cfRule>
    <cfRule type="containsText" dxfId="371" priority="385" operator="containsText" text="Completed Behind Schedule">
      <formula>NOT(ISERROR(SEARCH("Completed Behind Schedule",G75)))</formula>
    </cfRule>
    <cfRule type="containsText" dxfId="370" priority="386" operator="containsText" text="Off Target">
      <formula>NOT(ISERROR(SEARCH("Off Target",G75)))</formula>
    </cfRule>
    <cfRule type="containsText" dxfId="369" priority="387" operator="containsText" text="In Danger of Falling Behind Target">
      <formula>NOT(ISERROR(SEARCH("In Danger of Falling Behind Target",G75)))</formula>
    </cfRule>
    <cfRule type="containsText" dxfId="368" priority="388" operator="containsText" text="On Track to be Achieved">
      <formula>NOT(ISERROR(SEARCH("On Track to be Achieved",G75)))</formula>
    </cfRule>
    <cfRule type="containsText" dxfId="367" priority="389" operator="containsText" text="Fully Achieved">
      <formula>NOT(ISERROR(SEARCH("Fully Achieved",G75)))</formula>
    </cfRule>
    <cfRule type="containsText" dxfId="366" priority="390" operator="containsText" text="Fully Achieved">
      <formula>NOT(ISERROR(SEARCH("Fully Achieved",G75)))</formula>
    </cfRule>
    <cfRule type="containsText" dxfId="365" priority="391" operator="containsText" text="Fully Achieved">
      <formula>NOT(ISERROR(SEARCH("Fully Achieved",G75)))</formula>
    </cfRule>
    <cfRule type="containsText" dxfId="364" priority="392" operator="containsText" text="Deferred">
      <formula>NOT(ISERROR(SEARCH("Deferred",G75)))</formula>
    </cfRule>
    <cfRule type="containsText" dxfId="363" priority="393" operator="containsText" text="Deleted">
      <formula>NOT(ISERROR(SEARCH("Deleted",G75)))</formula>
    </cfRule>
    <cfRule type="containsText" dxfId="362" priority="394" operator="containsText" text="In Danger of Falling Behind Target">
      <formula>NOT(ISERROR(SEARCH("In Danger of Falling Behind Target",G75)))</formula>
    </cfRule>
    <cfRule type="containsText" dxfId="361" priority="395" operator="containsText" text="Not yet due">
      <formula>NOT(ISERROR(SEARCH("Not yet due",G75)))</formula>
    </cfRule>
    <cfRule type="containsText" dxfId="360" priority="396" operator="containsText" text="Update not Provided">
      <formula>NOT(ISERROR(SEARCH("Update not Provided",G75)))</formula>
    </cfRule>
  </conditionalFormatting>
  <conditionalFormatting sqref="G78:G79">
    <cfRule type="containsText" dxfId="359" priority="325" operator="containsText" text="On track to be achieved">
      <formula>NOT(ISERROR(SEARCH("On track to be achieved",G78)))</formula>
    </cfRule>
    <cfRule type="containsText" dxfId="358" priority="326" operator="containsText" text="Deferred">
      <formula>NOT(ISERROR(SEARCH("Deferred",G78)))</formula>
    </cfRule>
    <cfRule type="containsText" dxfId="357" priority="327" operator="containsText" text="Deleted">
      <formula>NOT(ISERROR(SEARCH("Deleted",G78)))</formula>
    </cfRule>
    <cfRule type="containsText" dxfId="356" priority="328" operator="containsText" text="In Danger of Falling Behind Target">
      <formula>NOT(ISERROR(SEARCH("In Danger of Falling Behind Target",G78)))</formula>
    </cfRule>
    <cfRule type="containsText" dxfId="355" priority="329" operator="containsText" text="Not yet due">
      <formula>NOT(ISERROR(SEARCH("Not yet due",G78)))</formula>
    </cfRule>
    <cfRule type="containsText" dxfId="354" priority="330" operator="containsText" text="Update not Provided">
      <formula>NOT(ISERROR(SEARCH("Update not Provided",G78)))</formula>
    </cfRule>
    <cfRule type="containsText" dxfId="353" priority="331" operator="containsText" text="Not yet due">
      <formula>NOT(ISERROR(SEARCH("Not yet due",G78)))</formula>
    </cfRule>
    <cfRule type="containsText" dxfId="352" priority="332" operator="containsText" text="Completed Behind Schedule">
      <formula>NOT(ISERROR(SEARCH("Completed Behind Schedule",G78)))</formula>
    </cfRule>
    <cfRule type="containsText" dxfId="351" priority="333" operator="containsText" text="Off Target">
      <formula>NOT(ISERROR(SEARCH("Off Target",G78)))</formula>
    </cfRule>
    <cfRule type="containsText" dxfId="350" priority="334" operator="containsText" text="On Track to be Achieved">
      <formula>NOT(ISERROR(SEARCH("On Track to be Achieved",G78)))</formula>
    </cfRule>
    <cfRule type="containsText" dxfId="349" priority="335" operator="containsText" text="Fully Achieved">
      <formula>NOT(ISERROR(SEARCH("Fully Achieved",G78)))</formula>
    </cfRule>
    <cfRule type="containsText" dxfId="348" priority="336" operator="containsText" text="Not yet due">
      <formula>NOT(ISERROR(SEARCH("Not yet due",G78)))</formula>
    </cfRule>
    <cfRule type="containsText" dxfId="347" priority="337" operator="containsText" text="Not Yet Due">
      <formula>NOT(ISERROR(SEARCH("Not Yet Due",G78)))</formula>
    </cfRule>
    <cfRule type="containsText" dxfId="346" priority="338" operator="containsText" text="Deferred">
      <formula>NOT(ISERROR(SEARCH("Deferred",G78)))</formula>
    </cfRule>
    <cfRule type="containsText" dxfId="345" priority="339" operator="containsText" text="Deleted">
      <formula>NOT(ISERROR(SEARCH("Deleted",G78)))</formula>
    </cfRule>
    <cfRule type="containsText" dxfId="344" priority="340" operator="containsText" text="In Danger of Falling Behind Target">
      <formula>NOT(ISERROR(SEARCH("In Danger of Falling Behind Target",G78)))</formula>
    </cfRule>
    <cfRule type="containsText" dxfId="343" priority="341" operator="containsText" text="Not yet due">
      <formula>NOT(ISERROR(SEARCH("Not yet due",G78)))</formula>
    </cfRule>
    <cfRule type="containsText" dxfId="342" priority="342" operator="containsText" text="Completed Behind Schedule">
      <formula>NOT(ISERROR(SEARCH("Completed Behind Schedule",G78)))</formula>
    </cfRule>
    <cfRule type="containsText" dxfId="341" priority="343" operator="containsText" text="Off Target">
      <formula>NOT(ISERROR(SEARCH("Off Target",G78)))</formula>
    </cfRule>
    <cfRule type="containsText" dxfId="340" priority="344" operator="containsText" text="In Danger of Falling Behind Target">
      <formula>NOT(ISERROR(SEARCH("In Danger of Falling Behind Target",G78)))</formula>
    </cfRule>
    <cfRule type="containsText" dxfId="339" priority="345" operator="containsText" text="On Track to be Achieved">
      <formula>NOT(ISERROR(SEARCH("On Track to be Achieved",G78)))</formula>
    </cfRule>
    <cfRule type="containsText" dxfId="338" priority="346" operator="containsText" text="Fully Achieved">
      <formula>NOT(ISERROR(SEARCH("Fully Achieved",G78)))</formula>
    </cfRule>
    <cfRule type="containsText" dxfId="337" priority="347" operator="containsText" text="Update not Provided">
      <formula>NOT(ISERROR(SEARCH("Update not Provided",G78)))</formula>
    </cfRule>
    <cfRule type="containsText" dxfId="336" priority="348" operator="containsText" text="Not yet due">
      <formula>NOT(ISERROR(SEARCH("Not yet due",G78)))</formula>
    </cfRule>
    <cfRule type="containsText" dxfId="335" priority="349" operator="containsText" text="Completed Behind Schedule">
      <formula>NOT(ISERROR(SEARCH("Completed Behind Schedule",G78)))</formula>
    </cfRule>
    <cfRule type="containsText" dxfId="334" priority="350" operator="containsText" text="Off Target">
      <formula>NOT(ISERROR(SEARCH("Off Target",G78)))</formula>
    </cfRule>
    <cfRule type="containsText" dxfId="333" priority="351" operator="containsText" text="In Danger of Falling Behind Target">
      <formula>NOT(ISERROR(SEARCH("In Danger of Falling Behind Target",G78)))</formula>
    </cfRule>
    <cfRule type="containsText" dxfId="332" priority="352" operator="containsText" text="On Track to be Achieved">
      <formula>NOT(ISERROR(SEARCH("On Track to be Achieved",G78)))</formula>
    </cfRule>
    <cfRule type="containsText" dxfId="331" priority="353" operator="containsText" text="Fully Achieved">
      <formula>NOT(ISERROR(SEARCH("Fully Achieved",G78)))</formula>
    </cfRule>
    <cfRule type="containsText" dxfId="330" priority="354" operator="containsText" text="Fully Achieved">
      <formula>NOT(ISERROR(SEARCH("Fully Achieved",G78)))</formula>
    </cfRule>
    <cfRule type="containsText" dxfId="329" priority="355" operator="containsText" text="Fully Achieved">
      <formula>NOT(ISERROR(SEARCH("Fully Achieved",G78)))</formula>
    </cfRule>
    <cfRule type="containsText" dxfId="328" priority="356" operator="containsText" text="Deferred">
      <formula>NOT(ISERROR(SEARCH("Deferred",G78)))</formula>
    </cfRule>
    <cfRule type="containsText" dxfId="327" priority="357" operator="containsText" text="Deleted">
      <formula>NOT(ISERROR(SEARCH("Deleted",G78)))</formula>
    </cfRule>
    <cfRule type="containsText" dxfId="326" priority="358" operator="containsText" text="In Danger of Falling Behind Target">
      <formula>NOT(ISERROR(SEARCH("In Danger of Falling Behind Target",G78)))</formula>
    </cfRule>
    <cfRule type="containsText" dxfId="325" priority="359" operator="containsText" text="Not yet due">
      <formula>NOT(ISERROR(SEARCH("Not yet due",G78)))</formula>
    </cfRule>
    <cfRule type="containsText" dxfId="324" priority="360" operator="containsText" text="Update not Provided">
      <formula>NOT(ISERROR(SEARCH("Update not Provided",G78)))</formula>
    </cfRule>
  </conditionalFormatting>
  <conditionalFormatting sqref="G83:G84">
    <cfRule type="containsText" dxfId="323" priority="289" operator="containsText" text="On track to be achieved">
      <formula>NOT(ISERROR(SEARCH("On track to be achieved",G83)))</formula>
    </cfRule>
    <cfRule type="containsText" dxfId="322" priority="290" operator="containsText" text="Deferred">
      <formula>NOT(ISERROR(SEARCH("Deferred",G83)))</formula>
    </cfRule>
    <cfRule type="containsText" dxfId="321" priority="291" operator="containsText" text="Deleted">
      <formula>NOT(ISERROR(SEARCH("Deleted",G83)))</formula>
    </cfRule>
    <cfRule type="containsText" dxfId="320" priority="292" operator="containsText" text="In Danger of Falling Behind Target">
      <formula>NOT(ISERROR(SEARCH("In Danger of Falling Behind Target",G83)))</formula>
    </cfRule>
    <cfRule type="containsText" dxfId="319" priority="293" operator="containsText" text="Not yet due">
      <formula>NOT(ISERROR(SEARCH("Not yet due",G83)))</formula>
    </cfRule>
    <cfRule type="containsText" dxfId="318" priority="294" operator="containsText" text="Update not Provided">
      <formula>NOT(ISERROR(SEARCH("Update not Provided",G83)))</formula>
    </cfRule>
    <cfRule type="containsText" dxfId="317" priority="295" operator="containsText" text="Not yet due">
      <formula>NOT(ISERROR(SEARCH("Not yet due",G83)))</formula>
    </cfRule>
    <cfRule type="containsText" dxfId="316" priority="296" operator="containsText" text="Completed Behind Schedule">
      <formula>NOT(ISERROR(SEARCH("Completed Behind Schedule",G83)))</formula>
    </cfRule>
    <cfRule type="containsText" dxfId="315" priority="297" operator="containsText" text="Off Target">
      <formula>NOT(ISERROR(SEARCH("Off Target",G83)))</formula>
    </cfRule>
    <cfRule type="containsText" dxfId="314" priority="298" operator="containsText" text="On Track to be Achieved">
      <formula>NOT(ISERROR(SEARCH("On Track to be Achieved",G83)))</formula>
    </cfRule>
    <cfRule type="containsText" dxfId="313" priority="299" operator="containsText" text="Fully Achieved">
      <formula>NOT(ISERROR(SEARCH("Fully Achieved",G83)))</formula>
    </cfRule>
    <cfRule type="containsText" dxfId="312" priority="300" operator="containsText" text="Not yet due">
      <formula>NOT(ISERROR(SEARCH("Not yet due",G83)))</formula>
    </cfRule>
    <cfRule type="containsText" dxfId="311" priority="301" operator="containsText" text="Not Yet Due">
      <formula>NOT(ISERROR(SEARCH("Not Yet Due",G83)))</formula>
    </cfRule>
    <cfRule type="containsText" dxfId="310" priority="302" operator="containsText" text="Deferred">
      <formula>NOT(ISERROR(SEARCH("Deferred",G83)))</formula>
    </cfRule>
    <cfRule type="containsText" dxfId="309" priority="303" operator="containsText" text="Deleted">
      <formula>NOT(ISERROR(SEARCH("Deleted",G83)))</formula>
    </cfRule>
    <cfRule type="containsText" dxfId="308" priority="304" operator="containsText" text="In Danger of Falling Behind Target">
      <formula>NOT(ISERROR(SEARCH("In Danger of Falling Behind Target",G83)))</formula>
    </cfRule>
    <cfRule type="containsText" dxfId="307" priority="305" operator="containsText" text="Not yet due">
      <formula>NOT(ISERROR(SEARCH("Not yet due",G83)))</formula>
    </cfRule>
    <cfRule type="containsText" dxfId="306" priority="306" operator="containsText" text="Completed Behind Schedule">
      <formula>NOT(ISERROR(SEARCH("Completed Behind Schedule",G83)))</formula>
    </cfRule>
    <cfRule type="containsText" dxfId="305" priority="307" operator="containsText" text="Off Target">
      <formula>NOT(ISERROR(SEARCH("Off Target",G83)))</formula>
    </cfRule>
    <cfRule type="containsText" dxfId="304" priority="308" operator="containsText" text="In Danger of Falling Behind Target">
      <formula>NOT(ISERROR(SEARCH("In Danger of Falling Behind Target",G83)))</formula>
    </cfRule>
    <cfRule type="containsText" dxfId="303" priority="309" operator="containsText" text="On Track to be Achieved">
      <formula>NOT(ISERROR(SEARCH("On Track to be Achieved",G83)))</formula>
    </cfRule>
    <cfRule type="containsText" dxfId="302" priority="310" operator="containsText" text="Fully Achieved">
      <formula>NOT(ISERROR(SEARCH("Fully Achieved",G83)))</formula>
    </cfRule>
    <cfRule type="containsText" dxfId="301" priority="311" operator="containsText" text="Update not Provided">
      <formula>NOT(ISERROR(SEARCH("Update not Provided",G83)))</formula>
    </cfRule>
    <cfRule type="containsText" dxfId="300" priority="312" operator="containsText" text="Not yet due">
      <formula>NOT(ISERROR(SEARCH("Not yet due",G83)))</formula>
    </cfRule>
    <cfRule type="containsText" dxfId="299" priority="313" operator="containsText" text="Completed Behind Schedule">
      <formula>NOT(ISERROR(SEARCH("Completed Behind Schedule",G83)))</formula>
    </cfRule>
    <cfRule type="containsText" dxfId="298" priority="314" operator="containsText" text="Off Target">
      <formula>NOT(ISERROR(SEARCH("Off Target",G83)))</formula>
    </cfRule>
    <cfRule type="containsText" dxfId="297" priority="315" operator="containsText" text="In Danger of Falling Behind Target">
      <formula>NOT(ISERROR(SEARCH("In Danger of Falling Behind Target",G83)))</formula>
    </cfRule>
    <cfRule type="containsText" dxfId="296" priority="316" operator="containsText" text="On Track to be Achieved">
      <formula>NOT(ISERROR(SEARCH("On Track to be Achieved",G83)))</formula>
    </cfRule>
    <cfRule type="containsText" dxfId="295" priority="317" operator="containsText" text="Fully Achieved">
      <formula>NOT(ISERROR(SEARCH("Fully Achieved",G83)))</formula>
    </cfRule>
    <cfRule type="containsText" dxfId="294" priority="318" operator="containsText" text="Fully Achieved">
      <formula>NOT(ISERROR(SEARCH("Fully Achieved",G83)))</formula>
    </cfRule>
    <cfRule type="containsText" dxfId="293" priority="319" operator="containsText" text="Fully Achieved">
      <formula>NOT(ISERROR(SEARCH("Fully Achieved",G83)))</formula>
    </cfRule>
    <cfRule type="containsText" dxfId="292" priority="320" operator="containsText" text="Deferred">
      <formula>NOT(ISERROR(SEARCH("Deferred",G83)))</formula>
    </cfRule>
    <cfRule type="containsText" dxfId="291" priority="321" operator="containsText" text="Deleted">
      <formula>NOT(ISERROR(SEARCH("Deleted",G83)))</formula>
    </cfRule>
    <cfRule type="containsText" dxfId="290" priority="322" operator="containsText" text="In Danger of Falling Behind Target">
      <formula>NOT(ISERROR(SEARCH("In Danger of Falling Behind Target",G83)))</formula>
    </cfRule>
    <cfRule type="containsText" dxfId="289" priority="323" operator="containsText" text="Not yet due">
      <formula>NOT(ISERROR(SEARCH("Not yet due",G83)))</formula>
    </cfRule>
    <cfRule type="containsText" dxfId="288" priority="324" operator="containsText" text="Update not Provided">
      <formula>NOT(ISERROR(SEARCH("Update not Provided",G83)))</formula>
    </cfRule>
  </conditionalFormatting>
  <conditionalFormatting sqref="G86">
    <cfRule type="containsText" dxfId="287" priority="253" operator="containsText" text="On track to be achieved">
      <formula>NOT(ISERROR(SEARCH("On track to be achieved",G86)))</formula>
    </cfRule>
    <cfRule type="containsText" dxfId="286" priority="254" operator="containsText" text="Deferred">
      <formula>NOT(ISERROR(SEARCH("Deferred",G86)))</formula>
    </cfRule>
    <cfRule type="containsText" dxfId="285" priority="255" operator="containsText" text="Deleted">
      <formula>NOT(ISERROR(SEARCH("Deleted",G86)))</formula>
    </cfRule>
    <cfRule type="containsText" dxfId="284" priority="256" operator="containsText" text="In Danger of Falling Behind Target">
      <formula>NOT(ISERROR(SEARCH("In Danger of Falling Behind Target",G86)))</formula>
    </cfRule>
    <cfRule type="containsText" dxfId="283" priority="257" operator="containsText" text="Not yet due">
      <formula>NOT(ISERROR(SEARCH("Not yet due",G86)))</formula>
    </cfRule>
    <cfRule type="containsText" dxfId="282" priority="258" operator="containsText" text="Update not Provided">
      <formula>NOT(ISERROR(SEARCH("Update not Provided",G86)))</formula>
    </cfRule>
    <cfRule type="containsText" dxfId="281" priority="259" operator="containsText" text="Not yet due">
      <formula>NOT(ISERROR(SEARCH("Not yet due",G86)))</formula>
    </cfRule>
    <cfRule type="containsText" dxfId="280" priority="260" operator="containsText" text="Completed Behind Schedule">
      <formula>NOT(ISERROR(SEARCH("Completed Behind Schedule",G86)))</formula>
    </cfRule>
    <cfRule type="containsText" dxfId="279" priority="261" operator="containsText" text="Off Target">
      <formula>NOT(ISERROR(SEARCH("Off Target",G86)))</formula>
    </cfRule>
    <cfRule type="containsText" dxfId="278" priority="262" operator="containsText" text="On Track to be Achieved">
      <formula>NOT(ISERROR(SEARCH("On Track to be Achieved",G86)))</formula>
    </cfRule>
    <cfRule type="containsText" dxfId="277" priority="263" operator="containsText" text="Fully Achieved">
      <formula>NOT(ISERROR(SEARCH("Fully Achieved",G86)))</formula>
    </cfRule>
    <cfRule type="containsText" dxfId="276" priority="264" operator="containsText" text="Not yet due">
      <formula>NOT(ISERROR(SEARCH("Not yet due",G86)))</formula>
    </cfRule>
    <cfRule type="containsText" dxfId="275" priority="265" operator="containsText" text="Not Yet Due">
      <formula>NOT(ISERROR(SEARCH("Not Yet Due",G86)))</formula>
    </cfRule>
    <cfRule type="containsText" dxfId="274" priority="266" operator="containsText" text="Deferred">
      <formula>NOT(ISERROR(SEARCH("Deferred",G86)))</formula>
    </cfRule>
    <cfRule type="containsText" dxfId="273" priority="267" operator="containsText" text="Deleted">
      <formula>NOT(ISERROR(SEARCH("Deleted",G86)))</formula>
    </cfRule>
    <cfRule type="containsText" dxfId="272" priority="268" operator="containsText" text="In Danger of Falling Behind Target">
      <formula>NOT(ISERROR(SEARCH("In Danger of Falling Behind Target",G86)))</formula>
    </cfRule>
    <cfRule type="containsText" dxfId="271" priority="269" operator="containsText" text="Not yet due">
      <formula>NOT(ISERROR(SEARCH("Not yet due",G86)))</formula>
    </cfRule>
    <cfRule type="containsText" dxfId="270" priority="270" operator="containsText" text="Completed Behind Schedule">
      <formula>NOT(ISERROR(SEARCH("Completed Behind Schedule",G86)))</formula>
    </cfRule>
    <cfRule type="containsText" dxfId="269" priority="271" operator="containsText" text="Off Target">
      <formula>NOT(ISERROR(SEARCH("Off Target",G86)))</formula>
    </cfRule>
    <cfRule type="containsText" dxfId="268" priority="272" operator="containsText" text="In Danger of Falling Behind Target">
      <formula>NOT(ISERROR(SEARCH("In Danger of Falling Behind Target",G86)))</formula>
    </cfRule>
    <cfRule type="containsText" dxfId="267" priority="273" operator="containsText" text="On Track to be Achieved">
      <formula>NOT(ISERROR(SEARCH("On Track to be Achieved",G86)))</formula>
    </cfRule>
    <cfRule type="containsText" dxfId="266" priority="274" operator="containsText" text="Fully Achieved">
      <formula>NOT(ISERROR(SEARCH("Fully Achieved",G86)))</formula>
    </cfRule>
    <cfRule type="containsText" dxfId="265" priority="275" operator="containsText" text="Update not Provided">
      <formula>NOT(ISERROR(SEARCH("Update not Provided",G86)))</formula>
    </cfRule>
    <cfRule type="containsText" dxfId="264" priority="276" operator="containsText" text="Not yet due">
      <formula>NOT(ISERROR(SEARCH("Not yet due",G86)))</formula>
    </cfRule>
    <cfRule type="containsText" dxfId="263" priority="277" operator="containsText" text="Completed Behind Schedule">
      <formula>NOT(ISERROR(SEARCH("Completed Behind Schedule",G86)))</formula>
    </cfRule>
    <cfRule type="containsText" dxfId="262" priority="278" operator="containsText" text="Off Target">
      <formula>NOT(ISERROR(SEARCH("Off Target",G86)))</formula>
    </cfRule>
    <cfRule type="containsText" dxfId="261" priority="279" operator="containsText" text="In Danger of Falling Behind Target">
      <formula>NOT(ISERROR(SEARCH("In Danger of Falling Behind Target",G86)))</formula>
    </cfRule>
    <cfRule type="containsText" dxfId="260" priority="280" operator="containsText" text="On Track to be Achieved">
      <formula>NOT(ISERROR(SEARCH("On Track to be Achieved",G86)))</formula>
    </cfRule>
    <cfRule type="containsText" dxfId="259" priority="281" operator="containsText" text="Fully Achieved">
      <formula>NOT(ISERROR(SEARCH("Fully Achieved",G86)))</formula>
    </cfRule>
    <cfRule type="containsText" dxfId="258" priority="282" operator="containsText" text="Fully Achieved">
      <formula>NOT(ISERROR(SEARCH("Fully Achieved",G86)))</formula>
    </cfRule>
    <cfRule type="containsText" dxfId="257" priority="283" operator="containsText" text="Fully Achieved">
      <formula>NOT(ISERROR(SEARCH("Fully Achieved",G86)))</formula>
    </cfRule>
    <cfRule type="containsText" dxfId="256" priority="284" operator="containsText" text="Deferred">
      <formula>NOT(ISERROR(SEARCH("Deferred",G86)))</formula>
    </cfRule>
    <cfRule type="containsText" dxfId="255" priority="285" operator="containsText" text="Deleted">
      <formula>NOT(ISERROR(SEARCH("Deleted",G86)))</formula>
    </cfRule>
    <cfRule type="containsText" dxfId="254" priority="286" operator="containsText" text="In Danger of Falling Behind Target">
      <formula>NOT(ISERROR(SEARCH("In Danger of Falling Behind Target",G86)))</formula>
    </cfRule>
    <cfRule type="containsText" dxfId="253" priority="287" operator="containsText" text="Not yet due">
      <formula>NOT(ISERROR(SEARCH("Not yet due",G86)))</formula>
    </cfRule>
    <cfRule type="containsText" dxfId="252" priority="288" operator="containsText" text="Update not Provided">
      <formula>NOT(ISERROR(SEARCH("Update not Provided",G86)))</formula>
    </cfRule>
  </conditionalFormatting>
  <conditionalFormatting sqref="G89:G98">
    <cfRule type="containsText" dxfId="251" priority="217" operator="containsText" text="On track to be achieved">
      <formula>NOT(ISERROR(SEARCH("On track to be achieved",G89)))</formula>
    </cfRule>
    <cfRule type="containsText" dxfId="250" priority="218" operator="containsText" text="Deferred">
      <formula>NOT(ISERROR(SEARCH("Deferred",G89)))</formula>
    </cfRule>
    <cfRule type="containsText" dxfId="249" priority="219" operator="containsText" text="Deleted">
      <formula>NOT(ISERROR(SEARCH("Deleted",G89)))</formula>
    </cfRule>
    <cfRule type="containsText" dxfId="248" priority="220" operator="containsText" text="In Danger of Falling Behind Target">
      <formula>NOT(ISERROR(SEARCH("In Danger of Falling Behind Target",G89)))</formula>
    </cfRule>
    <cfRule type="containsText" dxfId="247" priority="221" operator="containsText" text="Not yet due">
      <formula>NOT(ISERROR(SEARCH("Not yet due",G89)))</formula>
    </cfRule>
    <cfRule type="containsText" dxfId="246" priority="222" operator="containsText" text="Update not Provided">
      <formula>NOT(ISERROR(SEARCH("Update not Provided",G89)))</formula>
    </cfRule>
    <cfRule type="containsText" dxfId="245" priority="223" operator="containsText" text="Not yet due">
      <formula>NOT(ISERROR(SEARCH("Not yet due",G89)))</formula>
    </cfRule>
    <cfRule type="containsText" dxfId="244" priority="224" operator="containsText" text="Completed Behind Schedule">
      <formula>NOT(ISERROR(SEARCH("Completed Behind Schedule",G89)))</formula>
    </cfRule>
    <cfRule type="containsText" dxfId="243" priority="225" operator="containsText" text="Off Target">
      <formula>NOT(ISERROR(SEARCH("Off Target",G89)))</formula>
    </cfRule>
    <cfRule type="containsText" dxfId="242" priority="226" operator="containsText" text="On Track to be Achieved">
      <formula>NOT(ISERROR(SEARCH("On Track to be Achieved",G89)))</formula>
    </cfRule>
    <cfRule type="containsText" dxfId="241" priority="227" operator="containsText" text="Fully Achieved">
      <formula>NOT(ISERROR(SEARCH("Fully Achieved",G89)))</formula>
    </cfRule>
    <cfRule type="containsText" dxfId="240" priority="228" operator="containsText" text="Not yet due">
      <formula>NOT(ISERROR(SEARCH("Not yet due",G89)))</formula>
    </cfRule>
    <cfRule type="containsText" dxfId="239" priority="229" operator="containsText" text="Not Yet Due">
      <formula>NOT(ISERROR(SEARCH("Not Yet Due",G89)))</formula>
    </cfRule>
    <cfRule type="containsText" dxfId="238" priority="230" operator="containsText" text="Deferred">
      <formula>NOT(ISERROR(SEARCH("Deferred",G89)))</formula>
    </cfRule>
    <cfRule type="containsText" dxfId="237" priority="231" operator="containsText" text="Deleted">
      <formula>NOT(ISERROR(SEARCH("Deleted",G89)))</formula>
    </cfRule>
    <cfRule type="containsText" dxfId="236" priority="232" operator="containsText" text="In Danger of Falling Behind Target">
      <formula>NOT(ISERROR(SEARCH("In Danger of Falling Behind Target",G89)))</formula>
    </cfRule>
    <cfRule type="containsText" dxfId="235" priority="233" operator="containsText" text="Not yet due">
      <formula>NOT(ISERROR(SEARCH("Not yet due",G89)))</formula>
    </cfRule>
    <cfRule type="containsText" dxfId="234" priority="234" operator="containsText" text="Completed Behind Schedule">
      <formula>NOT(ISERROR(SEARCH("Completed Behind Schedule",G89)))</formula>
    </cfRule>
    <cfRule type="containsText" dxfId="233" priority="235" operator="containsText" text="Off Target">
      <formula>NOT(ISERROR(SEARCH("Off Target",G89)))</formula>
    </cfRule>
    <cfRule type="containsText" dxfId="232" priority="236" operator="containsText" text="In Danger of Falling Behind Target">
      <formula>NOT(ISERROR(SEARCH("In Danger of Falling Behind Target",G89)))</formula>
    </cfRule>
    <cfRule type="containsText" dxfId="231" priority="237" operator="containsText" text="On Track to be Achieved">
      <formula>NOT(ISERROR(SEARCH("On Track to be Achieved",G89)))</formula>
    </cfRule>
    <cfRule type="containsText" dxfId="230" priority="238" operator="containsText" text="Fully Achieved">
      <formula>NOT(ISERROR(SEARCH("Fully Achieved",G89)))</formula>
    </cfRule>
    <cfRule type="containsText" dxfId="229" priority="239" operator="containsText" text="Update not Provided">
      <formula>NOT(ISERROR(SEARCH("Update not Provided",G89)))</formula>
    </cfRule>
    <cfRule type="containsText" dxfId="228" priority="240" operator="containsText" text="Not yet due">
      <formula>NOT(ISERROR(SEARCH("Not yet due",G89)))</formula>
    </cfRule>
    <cfRule type="containsText" dxfId="227" priority="241" operator="containsText" text="Completed Behind Schedule">
      <formula>NOT(ISERROR(SEARCH("Completed Behind Schedule",G89)))</formula>
    </cfRule>
    <cfRule type="containsText" dxfId="226" priority="242" operator="containsText" text="Off Target">
      <formula>NOT(ISERROR(SEARCH("Off Target",G89)))</formula>
    </cfRule>
    <cfRule type="containsText" dxfId="225" priority="243" operator="containsText" text="In Danger of Falling Behind Target">
      <formula>NOT(ISERROR(SEARCH("In Danger of Falling Behind Target",G89)))</formula>
    </cfRule>
    <cfRule type="containsText" dxfId="224" priority="244" operator="containsText" text="On Track to be Achieved">
      <formula>NOT(ISERROR(SEARCH("On Track to be Achieved",G89)))</formula>
    </cfRule>
    <cfRule type="containsText" dxfId="223" priority="245" operator="containsText" text="Fully Achieved">
      <formula>NOT(ISERROR(SEARCH("Fully Achieved",G89)))</formula>
    </cfRule>
    <cfRule type="containsText" dxfId="222" priority="246" operator="containsText" text="Fully Achieved">
      <formula>NOT(ISERROR(SEARCH("Fully Achieved",G89)))</formula>
    </cfRule>
    <cfRule type="containsText" dxfId="221" priority="247" operator="containsText" text="Fully Achieved">
      <formula>NOT(ISERROR(SEARCH("Fully Achieved",G89)))</formula>
    </cfRule>
    <cfRule type="containsText" dxfId="220" priority="248" operator="containsText" text="Deferred">
      <formula>NOT(ISERROR(SEARCH("Deferred",G89)))</formula>
    </cfRule>
    <cfRule type="containsText" dxfId="219" priority="249" operator="containsText" text="Deleted">
      <formula>NOT(ISERROR(SEARCH("Deleted",G89)))</formula>
    </cfRule>
    <cfRule type="containsText" dxfId="218" priority="250" operator="containsText" text="In Danger of Falling Behind Target">
      <formula>NOT(ISERROR(SEARCH("In Danger of Falling Behind Target",G89)))</formula>
    </cfRule>
    <cfRule type="containsText" dxfId="217" priority="251" operator="containsText" text="Not yet due">
      <formula>NOT(ISERROR(SEARCH("Not yet due",G89)))</formula>
    </cfRule>
    <cfRule type="containsText" dxfId="216" priority="252" operator="containsText" text="Update not Provided">
      <formula>NOT(ISERROR(SEARCH("Update not Provided",G89)))</formula>
    </cfRule>
  </conditionalFormatting>
  <conditionalFormatting sqref="G100 G102:G104">
    <cfRule type="containsText" dxfId="215" priority="181" operator="containsText" text="On track to be achieved">
      <formula>NOT(ISERROR(SEARCH("On track to be achieved",G100)))</formula>
    </cfRule>
    <cfRule type="containsText" dxfId="214" priority="182" operator="containsText" text="Deferred">
      <formula>NOT(ISERROR(SEARCH("Deferred",G100)))</formula>
    </cfRule>
    <cfRule type="containsText" dxfId="213" priority="183" operator="containsText" text="Deleted">
      <formula>NOT(ISERROR(SEARCH("Deleted",G100)))</formula>
    </cfRule>
    <cfRule type="containsText" dxfId="212" priority="184" operator="containsText" text="In Danger of Falling Behind Target">
      <formula>NOT(ISERROR(SEARCH("In Danger of Falling Behind Target",G100)))</formula>
    </cfRule>
    <cfRule type="containsText" dxfId="211" priority="185" operator="containsText" text="Not yet due">
      <formula>NOT(ISERROR(SEARCH("Not yet due",G100)))</formula>
    </cfRule>
    <cfRule type="containsText" dxfId="210" priority="186" operator="containsText" text="Update not Provided">
      <formula>NOT(ISERROR(SEARCH("Update not Provided",G100)))</formula>
    </cfRule>
    <cfRule type="containsText" dxfId="209" priority="187" operator="containsText" text="Not yet due">
      <formula>NOT(ISERROR(SEARCH("Not yet due",G100)))</formula>
    </cfRule>
    <cfRule type="containsText" dxfId="208" priority="188" operator="containsText" text="Completed Behind Schedule">
      <formula>NOT(ISERROR(SEARCH("Completed Behind Schedule",G100)))</formula>
    </cfRule>
    <cfRule type="containsText" dxfId="207" priority="189" operator="containsText" text="Off Target">
      <formula>NOT(ISERROR(SEARCH("Off Target",G100)))</formula>
    </cfRule>
    <cfRule type="containsText" dxfId="206" priority="190" operator="containsText" text="On Track to be Achieved">
      <formula>NOT(ISERROR(SEARCH("On Track to be Achieved",G100)))</formula>
    </cfRule>
    <cfRule type="containsText" dxfId="205" priority="191" operator="containsText" text="Fully Achieved">
      <formula>NOT(ISERROR(SEARCH("Fully Achieved",G100)))</formula>
    </cfRule>
    <cfRule type="containsText" dxfId="204" priority="192" operator="containsText" text="Not yet due">
      <formula>NOT(ISERROR(SEARCH("Not yet due",G100)))</formula>
    </cfRule>
    <cfRule type="containsText" dxfId="203" priority="193" operator="containsText" text="Not Yet Due">
      <formula>NOT(ISERROR(SEARCH("Not Yet Due",G100)))</formula>
    </cfRule>
    <cfRule type="containsText" dxfId="202" priority="194" operator="containsText" text="Deferred">
      <formula>NOT(ISERROR(SEARCH("Deferred",G100)))</formula>
    </cfRule>
    <cfRule type="containsText" dxfId="201" priority="195" operator="containsText" text="Deleted">
      <formula>NOT(ISERROR(SEARCH("Deleted",G100)))</formula>
    </cfRule>
    <cfRule type="containsText" dxfId="200" priority="196" operator="containsText" text="In Danger of Falling Behind Target">
      <formula>NOT(ISERROR(SEARCH("In Danger of Falling Behind Target",G100)))</formula>
    </cfRule>
    <cfRule type="containsText" dxfId="199" priority="197" operator="containsText" text="Not yet due">
      <formula>NOT(ISERROR(SEARCH("Not yet due",G100)))</formula>
    </cfRule>
    <cfRule type="containsText" dxfId="198" priority="198" operator="containsText" text="Completed Behind Schedule">
      <formula>NOT(ISERROR(SEARCH("Completed Behind Schedule",G100)))</formula>
    </cfRule>
    <cfRule type="containsText" dxfId="197" priority="199" operator="containsText" text="Off Target">
      <formula>NOT(ISERROR(SEARCH("Off Target",G100)))</formula>
    </cfRule>
    <cfRule type="containsText" dxfId="196" priority="200" operator="containsText" text="In Danger of Falling Behind Target">
      <formula>NOT(ISERROR(SEARCH("In Danger of Falling Behind Target",G100)))</formula>
    </cfRule>
    <cfRule type="containsText" dxfId="195" priority="201" operator="containsText" text="On Track to be Achieved">
      <formula>NOT(ISERROR(SEARCH("On Track to be Achieved",G100)))</formula>
    </cfRule>
    <cfRule type="containsText" dxfId="194" priority="202" operator="containsText" text="Fully Achieved">
      <formula>NOT(ISERROR(SEARCH("Fully Achieved",G100)))</formula>
    </cfRule>
    <cfRule type="containsText" dxfId="193" priority="203" operator="containsText" text="Update not Provided">
      <formula>NOT(ISERROR(SEARCH("Update not Provided",G100)))</formula>
    </cfRule>
    <cfRule type="containsText" dxfId="192" priority="204" operator="containsText" text="Not yet due">
      <formula>NOT(ISERROR(SEARCH("Not yet due",G100)))</formula>
    </cfRule>
    <cfRule type="containsText" dxfId="191" priority="205" operator="containsText" text="Completed Behind Schedule">
      <formula>NOT(ISERROR(SEARCH("Completed Behind Schedule",G100)))</formula>
    </cfRule>
    <cfRule type="containsText" dxfId="190" priority="206" operator="containsText" text="Off Target">
      <formula>NOT(ISERROR(SEARCH("Off Target",G100)))</formula>
    </cfRule>
    <cfRule type="containsText" dxfId="189" priority="207" operator="containsText" text="In Danger of Falling Behind Target">
      <formula>NOT(ISERROR(SEARCH("In Danger of Falling Behind Target",G100)))</formula>
    </cfRule>
    <cfRule type="containsText" dxfId="188" priority="208" operator="containsText" text="On Track to be Achieved">
      <formula>NOT(ISERROR(SEARCH("On Track to be Achieved",G100)))</formula>
    </cfRule>
    <cfRule type="containsText" dxfId="187" priority="209" operator="containsText" text="Fully Achieved">
      <formula>NOT(ISERROR(SEARCH("Fully Achieved",G100)))</formula>
    </cfRule>
    <cfRule type="containsText" dxfId="186" priority="210" operator="containsText" text="Fully Achieved">
      <formula>NOT(ISERROR(SEARCH("Fully Achieved",G100)))</formula>
    </cfRule>
    <cfRule type="containsText" dxfId="185" priority="211" operator="containsText" text="Fully Achieved">
      <formula>NOT(ISERROR(SEARCH("Fully Achieved",G100)))</formula>
    </cfRule>
    <cfRule type="containsText" dxfId="184" priority="212" operator="containsText" text="Deferred">
      <formula>NOT(ISERROR(SEARCH("Deferred",G100)))</formula>
    </cfRule>
    <cfRule type="containsText" dxfId="183" priority="213" operator="containsText" text="Deleted">
      <formula>NOT(ISERROR(SEARCH("Deleted",G100)))</formula>
    </cfRule>
    <cfRule type="containsText" dxfId="182" priority="214" operator="containsText" text="In Danger of Falling Behind Target">
      <formula>NOT(ISERROR(SEARCH("In Danger of Falling Behind Target",G100)))</formula>
    </cfRule>
    <cfRule type="containsText" dxfId="181" priority="215" operator="containsText" text="Not yet due">
      <formula>NOT(ISERROR(SEARCH("Not yet due",G100)))</formula>
    </cfRule>
    <cfRule type="containsText" dxfId="180" priority="216" operator="containsText" text="Update not Provided">
      <formula>NOT(ISERROR(SEARCH("Update not Provided",G100)))</formula>
    </cfRule>
  </conditionalFormatting>
  <conditionalFormatting sqref="G107">
    <cfRule type="containsText" dxfId="179" priority="145" operator="containsText" text="On track to be achieved">
      <formula>NOT(ISERROR(SEARCH("On track to be achieved",G107)))</formula>
    </cfRule>
    <cfRule type="containsText" dxfId="178" priority="146" operator="containsText" text="Deferred">
      <formula>NOT(ISERROR(SEARCH("Deferred",G107)))</formula>
    </cfRule>
    <cfRule type="containsText" dxfId="177" priority="147" operator="containsText" text="Deleted">
      <formula>NOT(ISERROR(SEARCH("Deleted",G107)))</formula>
    </cfRule>
    <cfRule type="containsText" dxfId="176" priority="148" operator="containsText" text="In Danger of Falling Behind Target">
      <formula>NOT(ISERROR(SEARCH("In Danger of Falling Behind Target",G107)))</formula>
    </cfRule>
    <cfRule type="containsText" dxfId="175" priority="149" operator="containsText" text="Not yet due">
      <formula>NOT(ISERROR(SEARCH("Not yet due",G107)))</formula>
    </cfRule>
    <cfRule type="containsText" dxfId="174" priority="150" operator="containsText" text="Update not Provided">
      <formula>NOT(ISERROR(SEARCH("Update not Provided",G107)))</formula>
    </cfRule>
    <cfRule type="containsText" dxfId="173" priority="151" operator="containsText" text="Not yet due">
      <formula>NOT(ISERROR(SEARCH("Not yet due",G107)))</formula>
    </cfRule>
    <cfRule type="containsText" dxfId="172" priority="152" operator="containsText" text="Completed Behind Schedule">
      <formula>NOT(ISERROR(SEARCH("Completed Behind Schedule",G107)))</formula>
    </cfRule>
    <cfRule type="containsText" dxfId="171" priority="153" operator="containsText" text="Off Target">
      <formula>NOT(ISERROR(SEARCH("Off Target",G107)))</formula>
    </cfRule>
    <cfRule type="containsText" dxfId="170" priority="154" operator="containsText" text="On Track to be Achieved">
      <formula>NOT(ISERROR(SEARCH("On Track to be Achieved",G107)))</formula>
    </cfRule>
    <cfRule type="containsText" dxfId="169" priority="155" operator="containsText" text="Fully Achieved">
      <formula>NOT(ISERROR(SEARCH("Fully Achieved",G107)))</formula>
    </cfRule>
    <cfRule type="containsText" dxfId="168" priority="156" operator="containsText" text="Not yet due">
      <formula>NOT(ISERROR(SEARCH("Not yet due",G107)))</formula>
    </cfRule>
    <cfRule type="containsText" dxfId="167" priority="157" operator="containsText" text="Not Yet Due">
      <formula>NOT(ISERROR(SEARCH("Not Yet Due",G107)))</formula>
    </cfRule>
    <cfRule type="containsText" dxfId="166" priority="158" operator="containsText" text="Deferred">
      <formula>NOT(ISERROR(SEARCH("Deferred",G107)))</formula>
    </cfRule>
    <cfRule type="containsText" dxfId="165" priority="159" operator="containsText" text="Deleted">
      <formula>NOT(ISERROR(SEARCH("Deleted",G107)))</formula>
    </cfRule>
    <cfRule type="containsText" dxfId="164" priority="160" operator="containsText" text="In Danger of Falling Behind Target">
      <formula>NOT(ISERROR(SEARCH("In Danger of Falling Behind Target",G107)))</formula>
    </cfRule>
    <cfRule type="containsText" dxfId="163" priority="161" operator="containsText" text="Not yet due">
      <formula>NOT(ISERROR(SEARCH("Not yet due",G107)))</formula>
    </cfRule>
    <cfRule type="containsText" dxfId="162" priority="162" operator="containsText" text="Completed Behind Schedule">
      <formula>NOT(ISERROR(SEARCH("Completed Behind Schedule",G107)))</formula>
    </cfRule>
    <cfRule type="containsText" dxfId="161" priority="163" operator="containsText" text="Off Target">
      <formula>NOT(ISERROR(SEARCH("Off Target",G107)))</formula>
    </cfRule>
    <cfRule type="containsText" dxfId="160" priority="164" operator="containsText" text="In Danger of Falling Behind Target">
      <formula>NOT(ISERROR(SEARCH("In Danger of Falling Behind Target",G107)))</formula>
    </cfRule>
    <cfRule type="containsText" dxfId="159" priority="165" operator="containsText" text="On Track to be Achieved">
      <formula>NOT(ISERROR(SEARCH("On Track to be Achieved",G107)))</formula>
    </cfRule>
    <cfRule type="containsText" dxfId="158" priority="166" operator="containsText" text="Fully Achieved">
      <formula>NOT(ISERROR(SEARCH("Fully Achieved",G107)))</formula>
    </cfRule>
    <cfRule type="containsText" dxfId="157" priority="167" operator="containsText" text="Update not Provided">
      <formula>NOT(ISERROR(SEARCH("Update not Provided",G107)))</formula>
    </cfRule>
    <cfRule type="containsText" dxfId="156" priority="168" operator="containsText" text="Not yet due">
      <formula>NOT(ISERROR(SEARCH("Not yet due",G107)))</formula>
    </cfRule>
    <cfRule type="containsText" dxfId="155" priority="169" operator="containsText" text="Completed Behind Schedule">
      <formula>NOT(ISERROR(SEARCH("Completed Behind Schedule",G107)))</formula>
    </cfRule>
    <cfRule type="containsText" dxfId="154" priority="170" operator="containsText" text="Off Target">
      <formula>NOT(ISERROR(SEARCH("Off Target",G107)))</formula>
    </cfRule>
    <cfRule type="containsText" dxfId="153" priority="171" operator="containsText" text="In Danger of Falling Behind Target">
      <formula>NOT(ISERROR(SEARCH("In Danger of Falling Behind Target",G107)))</formula>
    </cfRule>
    <cfRule type="containsText" dxfId="152" priority="172" operator="containsText" text="On Track to be Achieved">
      <formula>NOT(ISERROR(SEARCH("On Track to be Achieved",G107)))</formula>
    </cfRule>
    <cfRule type="containsText" dxfId="151" priority="173" operator="containsText" text="Fully Achieved">
      <formula>NOT(ISERROR(SEARCH("Fully Achieved",G107)))</formula>
    </cfRule>
    <cfRule type="containsText" dxfId="150" priority="174" operator="containsText" text="Fully Achieved">
      <formula>NOT(ISERROR(SEARCH("Fully Achieved",G107)))</formula>
    </cfRule>
    <cfRule type="containsText" dxfId="149" priority="175" operator="containsText" text="Fully Achieved">
      <formula>NOT(ISERROR(SEARCH("Fully Achieved",G107)))</formula>
    </cfRule>
    <cfRule type="containsText" dxfId="148" priority="176" operator="containsText" text="Deferred">
      <formula>NOT(ISERROR(SEARCH("Deferred",G107)))</formula>
    </cfRule>
    <cfRule type="containsText" dxfId="147" priority="177" operator="containsText" text="Deleted">
      <formula>NOT(ISERROR(SEARCH("Deleted",G107)))</formula>
    </cfRule>
    <cfRule type="containsText" dxfId="146" priority="178" operator="containsText" text="In Danger of Falling Behind Target">
      <formula>NOT(ISERROR(SEARCH("In Danger of Falling Behind Target",G107)))</formula>
    </cfRule>
    <cfRule type="containsText" dxfId="145" priority="179" operator="containsText" text="Not yet due">
      <formula>NOT(ISERROR(SEARCH("Not yet due",G107)))</formula>
    </cfRule>
    <cfRule type="containsText" dxfId="144" priority="180" operator="containsText" text="Update not Provided">
      <formula>NOT(ISERROR(SEARCH("Update not Provided",G107)))</formula>
    </cfRule>
  </conditionalFormatting>
  <conditionalFormatting sqref="G109:G112">
    <cfRule type="containsText" dxfId="143" priority="109" operator="containsText" text="On track to be achieved">
      <formula>NOT(ISERROR(SEARCH("On track to be achieved",G109)))</formula>
    </cfRule>
    <cfRule type="containsText" dxfId="142" priority="110" operator="containsText" text="Deferred">
      <formula>NOT(ISERROR(SEARCH("Deferred",G109)))</formula>
    </cfRule>
    <cfRule type="containsText" dxfId="141" priority="111" operator="containsText" text="Deleted">
      <formula>NOT(ISERROR(SEARCH("Deleted",G109)))</formula>
    </cfRule>
    <cfRule type="containsText" dxfId="140" priority="112" operator="containsText" text="In Danger of Falling Behind Target">
      <formula>NOT(ISERROR(SEARCH("In Danger of Falling Behind Target",G109)))</formula>
    </cfRule>
    <cfRule type="containsText" dxfId="139" priority="113" operator="containsText" text="Not yet due">
      <formula>NOT(ISERROR(SEARCH("Not yet due",G109)))</formula>
    </cfRule>
    <cfRule type="containsText" dxfId="138" priority="114" operator="containsText" text="Update not Provided">
      <formula>NOT(ISERROR(SEARCH("Update not Provided",G109)))</formula>
    </cfRule>
    <cfRule type="containsText" dxfId="137" priority="115" operator="containsText" text="Not yet due">
      <formula>NOT(ISERROR(SEARCH("Not yet due",G109)))</formula>
    </cfRule>
    <cfRule type="containsText" dxfId="136" priority="116" operator="containsText" text="Completed Behind Schedule">
      <formula>NOT(ISERROR(SEARCH("Completed Behind Schedule",G109)))</formula>
    </cfRule>
    <cfRule type="containsText" dxfId="135" priority="117" operator="containsText" text="Off Target">
      <formula>NOT(ISERROR(SEARCH("Off Target",G109)))</formula>
    </cfRule>
    <cfRule type="containsText" dxfId="134" priority="118" operator="containsText" text="On Track to be Achieved">
      <formula>NOT(ISERROR(SEARCH("On Track to be Achieved",G109)))</formula>
    </cfRule>
    <cfRule type="containsText" dxfId="133" priority="119" operator="containsText" text="Fully Achieved">
      <formula>NOT(ISERROR(SEARCH("Fully Achieved",G109)))</formula>
    </cfRule>
    <cfRule type="containsText" dxfId="132" priority="120" operator="containsText" text="Not yet due">
      <formula>NOT(ISERROR(SEARCH("Not yet due",G109)))</formula>
    </cfRule>
    <cfRule type="containsText" dxfId="131" priority="121" operator="containsText" text="Not Yet Due">
      <formula>NOT(ISERROR(SEARCH("Not Yet Due",G109)))</formula>
    </cfRule>
    <cfRule type="containsText" dxfId="130" priority="122" operator="containsText" text="Deferred">
      <formula>NOT(ISERROR(SEARCH("Deferred",G109)))</formula>
    </cfRule>
    <cfRule type="containsText" dxfId="129" priority="123" operator="containsText" text="Deleted">
      <formula>NOT(ISERROR(SEARCH("Deleted",G109)))</formula>
    </cfRule>
    <cfRule type="containsText" dxfId="128" priority="124" operator="containsText" text="In Danger of Falling Behind Target">
      <formula>NOT(ISERROR(SEARCH("In Danger of Falling Behind Target",G109)))</formula>
    </cfRule>
    <cfRule type="containsText" dxfId="127" priority="125" operator="containsText" text="Not yet due">
      <formula>NOT(ISERROR(SEARCH("Not yet due",G109)))</formula>
    </cfRule>
    <cfRule type="containsText" dxfId="126" priority="126" operator="containsText" text="Completed Behind Schedule">
      <formula>NOT(ISERROR(SEARCH("Completed Behind Schedule",G109)))</formula>
    </cfRule>
    <cfRule type="containsText" dxfId="125" priority="127" operator="containsText" text="Off Target">
      <formula>NOT(ISERROR(SEARCH("Off Target",G109)))</formula>
    </cfRule>
    <cfRule type="containsText" dxfId="124" priority="128" operator="containsText" text="In Danger of Falling Behind Target">
      <formula>NOT(ISERROR(SEARCH("In Danger of Falling Behind Target",G109)))</formula>
    </cfRule>
    <cfRule type="containsText" dxfId="123" priority="129" operator="containsText" text="On Track to be Achieved">
      <formula>NOT(ISERROR(SEARCH("On Track to be Achieved",G109)))</formula>
    </cfRule>
    <cfRule type="containsText" dxfId="122" priority="130" operator="containsText" text="Fully Achieved">
      <formula>NOT(ISERROR(SEARCH("Fully Achieved",G109)))</formula>
    </cfRule>
    <cfRule type="containsText" dxfId="121" priority="131" operator="containsText" text="Update not Provided">
      <formula>NOT(ISERROR(SEARCH("Update not Provided",G109)))</formula>
    </cfRule>
    <cfRule type="containsText" dxfId="120" priority="132" operator="containsText" text="Not yet due">
      <formula>NOT(ISERROR(SEARCH("Not yet due",G109)))</formula>
    </cfRule>
    <cfRule type="containsText" dxfId="119" priority="133" operator="containsText" text="Completed Behind Schedule">
      <formula>NOT(ISERROR(SEARCH("Completed Behind Schedule",G109)))</formula>
    </cfRule>
    <cfRule type="containsText" dxfId="118" priority="134" operator="containsText" text="Off Target">
      <formula>NOT(ISERROR(SEARCH("Off Target",G109)))</formula>
    </cfRule>
    <cfRule type="containsText" dxfId="117" priority="135" operator="containsText" text="In Danger of Falling Behind Target">
      <formula>NOT(ISERROR(SEARCH("In Danger of Falling Behind Target",G109)))</formula>
    </cfRule>
    <cfRule type="containsText" dxfId="116" priority="136" operator="containsText" text="On Track to be Achieved">
      <formula>NOT(ISERROR(SEARCH("On Track to be Achieved",G109)))</formula>
    </cfRule>
    <cfRule type="containsText" dxfId="115" priority="137" operator="containsText" text="Fully Achieved">
      <formula>NOT(ISERROR(SEARCH("Fully Achieved",G109)))</formula>
    </cfRule>
    <cfRule type="containsText" dxfId="114" priority="138" operator="containsText" text="Fully Achieved">
      <formula>NOT(ISERROR(SEARCH("Fully Achieved",G109)))</formula>
    </cfRule>
    <cfRule type="containsText" dxfId="113" priority="139" operator="containsText" text="Fully Achieved">
      <formula>NOT(ISERROR(SEARCH("Fully Achieved",G109)))</formula>
    </cfRule>
    <cfRule type="containsText" dxfId="112" priority="140" operator="containsText" text="Deferred">
      <formula>NOT(ISERROR(SEARCH("Deferred",G109)))</formula>
    </cfRule>
    <cfRule type="containsText" dxfId="111" priority="141" operator="containsText" text="Deleted">
      <formula>NOT(ISERROR(SEARCH("Deleted",G109)))</formula>
    </cfRule>
    <cfRule type="containsText" dxfId="110" priority="142" operator="containsText" text="In Danger of Falling Behind Target">
      <formula>NOT(ISERROR(SEARCH("In Danger of Falling Behind Target",G109)))</formula>
    </cfRule>
    <cfRule type="containsText" dxfId="109" priority="143" operator="containsText" text="Not yet due">
      <formula>NOT(ISERROR(SEARCH("Not yet due",G109)))</formula>
    </cfRule>
    <cfRule type="containsText" dxfId="108" priority="144" operator="containsText" text="Update not Provided">
      <formula>NOT(ISERROR(SEARCH("Update not Provided",G109)))</formula>
    </cfRule>
  </conditionalFormatting>
  <conditionalFormatting sqref="G118 G116 G114 G120:G122">
    <cfRule type="containsText" dxfId="107" priority="73" operator="containsText" text="On track to be achieved">
      <formula>NOT(ISERROR(SEARCH("On track to be achieved",G114)))</formula>
    </cfRule>
    <cfRule type="containsText" dxfId="106" priority="74" operator="containsText" text="Deferred">
      <formula>NOT(ISERROR(SEARCH("Deferred",G114)))</formula>
    </cfRule>
    <cfRule type="containsText" dxfId="105" priority="75" operator="containsText" text="Deleted">
      <formula>NOT(ISERROR(SEARCH("Deleted",G114)))</formula>
    </cfRule>
    <cfRule type="containsText" dxfId="104" priority="76" operator="containsText" text="In Danger of Falling Behind Target">
      <formula>NOT(ISERROR(SEARCH("In Danger of Falling Behind Target",G114)))</formula>
    </cfRule>
    <cfRule type="containsText" dxfId="103" priority="77" operator="containsText" text="Not yet due">
      <formula>NOT(ISERROR(SEARCH("Not yet due",G114)))</formula>
    </cfRule>
    <cfRule type="containsText" dxfId="102" priority="78" operator="containsText" text="Update not Provided">
      <formula>NOT(ISERROR(SEARCH("Update not Provided",G114)))</formula>
    </cfRule>
    <cfRule type="containsText" dxfId="101" priority="79" operator="containsText" text="Not yet due">
      <formula>NOT(ISERROR(SEARCH("Not yet due",G114)))</formula>
    </cfRule>
    <cfRule type="containsText" dxfId="100" priority="80" operator="containsText" text="Completed Behind Schedule">
      <formula>NOT(ISERROR(SEARCH("Completed Behind Schedule",G114)))</formula>
    </cfRule>
    <cfRule type="containsText" dxfId="99" priority="81" operator="containsText" text="Off Target">
      <formula>NOT(ISERROR(SEARCH("Off Target",G114)))</formula>
    </cfRule>
    <cfRule type="containsText" dxfId="98" priority="82" operator="containsText" text="On Track to be Achieved">
      <formula>NOT(ISERROR(SEARCH("On Track to be Achieved",G114)))</formula>
    </cfRule>
    <cfRule type="containsText" dxfId="97" priority="83" operator="containsText" text="Fully Achieved">
      <formula>NOT(ISERROR(SEARCH("Fully Achieved",G114)))</formula>
    </cfRule>
    <cfRule type="containsText" dxfId="96" priority="84" operator="containsText" text="Not yet due">
      <formula>NOT(ISERROR(SEARCH("Not yet due",G114)))</formula>
    </cfRule>
    <cfRule type="containsText" dxfId="95" priority="85" operator="containsText" text="Not Yet Due">
      <formula>NOT(ISERROR(SEARCH("Not Yet Due",G114)))</formula>
    </cfRule>
    <cfRule type="containsText" dxfId="94" priority="86" operator="containsText" text="Deferred">
      <formula>NOT(ISERROR(SEARCH("Deferred",G114)))</formula>
    </cfRule>
    <cfRule type="containsText" dxfId="93" priority="87" operator="containsText" text="Deleted">
      <formula>NOT(ISERROR(SEARCH("Deleted",G114)))</formula>
    </cfRule>
    <cfRule type="containsText" dxfId="92" priority="88" operator="containsText" text="In Danger of Falling Behind Target">
      <formula>NOT(ISERROR(SEARCH("In Danger of Falling Behind Target",G114)))</formula>
    </cfRule>
    <cfRule type="containsText" dxfId="91" priority="89" operator="containsText" text="Not yet due">
      <formula>NOT(ISERROR(SEARCH("Not yet due",G114)))</formula>
    </cfRule>
    <cfRule type="containsText" dxfId="90" priority="90" operator="containsText" text="Completed Behind Schedule">
      <formula>NOT(ISERROR(SEARCH("Completed Behind Schedule",G114)))</formula>
    </cfRule>
    <cfRule type="containsText" dxfId="89" priority="91" operator="containsText" text="Off Target">
      <formula>NOT(ISERROR(SEARCH("Off Target",G114)))</formula>
    </cfRule>
    <cfRule type="containsText" dxfId="88" priority="92" operator="containsText" text="In Danger of Falling Behind Target">
      <formula>NOT(ISERROR(SEARCH("In Danger of Falling Behind Target",G114)))</formula>
    </cfRule>
    <cfRule type="containsText" dxfId="87" priority="93" operator="containsText" text="On Track to be Achieved">
      <formula>NOT(ISERROR(SEARCH("On Track to be Achieved",G114)))</formula>
    </cfRule>
    <cfRule type="containsText" dxfId="86" priority="94" operator="containsText" text="Fully Achieved">
      <formula>NOT(ISERROR(SEARCH("Fully Achieved",G114)))</formula>
    </cfRule>
    <cfRule type="containsText" dxfId="85" priority="95" operator="containsText" text="Update not Provided">
      <formula>NOT(ISERROR(SEARCH("Update not Provided",G114)))</formula>
    </cfRule>
    <cfRule type="containsText" dxfId="84" priority="96" operator="containsText" text="Not yet due">
      <formula>NOT(ISERROR(SEARCH("Not yet due",G114)))</formula>
    </cfRule>
    <cfRule type="containsText" dxfId="83" priority="97" operator="containsText" text="Completed Behind Schedule">
      <formula>NOT(ISERROR(SEARCH("Completed Behind Schedule",G114)))</formula>
    </cfRule>
    <cfRule type="containsText" dxfId="82" priority="98" operator="containsText" text="Off Target">
      <formula>NOT(ISERROR(SEARCH("Off Target",G114)))</formula>
    </cfRule>
    <cfRule type="containsText" dxfId="81" priority="99" operator="containsText" text="In Danger of Falling Behind Target">
      <formula>NOT(ISERROR(SEARCH("In Danger of Falling Behind Target",G114)))</formula>
    </cfRule>
    <cfRule type="containsText" dxfId="80" priority="100" operator="containsText" text="On Track to be Achieved">
      <formula>NOT(ISERROR(SEARCH("On Track to be Achieved",G114)))</formula>
    </cfRule>
    <cfRule type="containsText" dxfId="79" priority="101" operator="containsText" text="Fully Achieved">
      <formula>NOT(ISERROR(SEARCH("Fully Achieved",G114)))</formula>
    </cfRule>
    <cfRule type="containsText" dxfId="78" priority="102" operator="containsText" text="Fully Achieved">
      <formula>NOT(ISERROR(SEARCH("Fully Achieved",G114)))</formula>
    </cfRule>
    <cfRule type="containsText" dxfId="77" priority="103" operator="containsText" text="Fully Achieved">
      <formula>NOT(ISERROR(SEARCH("Fully Achieved",G114)))</formula>
    </cfRule>
    <cfRule type="containsText" dxfId="76" priority="104" operator="containsText" text="Deferred">
      <formula>NOT(ISERROR(SEARCH("Deferred",G114)))</formula>
    </cfRule>
    <cfRule type="containsText" dxfId="75" priority="105" operator="containsText" text="Deleted">
      <formula>NOT(ISERROR(SEARCH("Deleted",G114)))</formula>
    </cfRule>
    <cfRule type="containsText" dxfId="74" priority="106" operator="containsText" text="In Danger of Falling Behind Target">
      <formula>NOT(ISERROR(SEARCH("In Danger of Falling Behind Target",G114)))</formula>
    </cfRule>
    <cfRule type="containsText" dxfId="73" priority="107" operator="containsText" text="Not yet due">
      <formula>NOT(ISERROR(SEARCH("Not yet due",G114)))</formula>
    </cfRule>
    <cfRule type="containsText" dxfId="72" priority="108" operator="containsText" text="Update not Provided">
      <formula>NOT(ISERROR(SEARCH("Update not Provided",G114)))</formula>
    </cfRule>
  </conditionalFormatting>
  <conditionalFormatting sqref="G124">
    <cfRule type="containsText" dxfId="71" priority="37" operator="containsText" text="On track to be achieved">
      <formula>NOT(ISERROR(SEARCH("On track to be achieved",G124)))</formula>
    </cfRule>
    <cfRule type="containsText" dxfId="70" priority="38" operator="containsText" text="Deferred">
      <formula>NOT(ISERROR(SEARCH("Deferred",G124)))</formula>
    </cfRule>
    <cfRule type="containsText" dxfId="69" priority="39" operator="containsText" text="Deleted">
      <formula>NOT(ISERROR(SEARCH("Deleted",G124)))</formula>
    </cfRule>
    <cfRule type="containsText" dxfId="68" priority="40" operator="containsText" text="In Danger of Falling Behind Target">
      <formula>NOT(ISERROR(SEARCH("In Danger of Falling Behind Target",G124)))</formula>
    </cfRule>
    <cfRule type="containsText" dxfId="67" priority="41" operator="containsText" text="Not yet due">
      <formula>NOT(ISERROR(SEARCH("Not yet due",G124)))</formula>
    </cfRule>
    <cfRule type="containsText" dxfId="66" priority="42" operator="containsText" text="Update not Provided">
      <formula>NOT(ISERROR(SEARCH("Update not Provided",G124)))</formula>
    </cfRule>
    <cfRule type="containsText" dxfId="65" priority="43" operator="containsText" text="Not yet due">
      <formula>NOT(ISERROR(SEARCH("Not yet due",G124)))</formula>
    </cfRule>
    <cfRule type="containsText" dxfId="64" priority="44" operator="containsText" text="Completed Behind Schedule">
      <formula>NOT(ISERROR(SEARCH("Completed Behind Schedule",G124)))</formula>
    </cfRule>
    <cfRule type="containsText" dxfId="63" priority="45" operator="containsText" text="Off Target">
      <formula>NOT(ISERROR(SEARCH("Off Target",G124)))</formula>
    </cfRule>
    <cfRule type="containsText" dxfId="62" priority="46" operator="containsText" text="On Track to be Achieved">
      <formula>NOT(ISERROR(SEARCH("On Track to be Achieved",G124)))</formula>
    </cfRule>
    <cfRule type="containsText" dxfId="61" priority="47" operator="containsText" text="Fully Achieved">
      <formula>NOT(ISERROR(SEARCH("Fully Achieved",G124)))</formula>
    </cfRule>
    <cfRule type="containsText" dxfId="60" priority="48" operator="containsText" text="Not yet due">
      <formula>NOT(ISERROR(SEARCH("Not yet due",G124)))</formula>
    </cfRule>
    <cfRule type="containsText" dxfId="59" priority="49" operator="containsText" text="Not Yet Due">
      <formula>NOT(ISERROR(SEARCH("Not Yet Due",G124)))</formula>
    </cfRule>
    <cfRule type="containsText" dxfId="58" priority="50" operator="containsText" text="Deferred">
      <formula>NOT(ISERROR(SEARCH("Deferred",G124)))</formula>
    </cfRule>
    <cfRule type="containsText" dxfId="57" priority="51" operator="containsText" text="Deleted">
      <formula>NOT(ISERROR(SEARCH("Deleted",G124)))</formula>
    </cfRule>
    <cfRule type="containsText" dxfId="56" priority="52" operator="containsText" text="In Danger of Falling Behind Target">
      <formula>NOT(ISERROR(SEARCH("In Danger of Falling Behind Target",G124)))</formula>
    </cfRule>
    <cfRule type="containsText" dxfId="55" priority="53" operator="containsText" text="Not yet due">
      <formula>NOT(ISERROR(SEARCH("Not yet due",G124)))</formula>
    </cfRule>
    <cfRule type="containsText" dxfId="54" priority="54" operator="containsText" text="Completed Behind Schedule">
      <formula>NOT(ISERROR(SEARCH("Completed Behind Schedule",G124)))</formula>
    </cfRule>
    <cfRule type="containsText" dxfId="53" priority="55" operator="containsText" text="Off Target">
      <formula>NOT(ISERROR(SEARCH("Off Target",G124)))</formula>
    </cfRule>
    <cfRule type="containsText" dxfId="52" priority="56" operator="containsText" text="In Danger of Falling Behind Target">
      <formula>NOT(ISERROR(SEARCH("In Danger of Falling Behind Target",G124)))</formula>
    </cfRule>
    <cfRule type="containsText" dxfId="51" priority="57" operator="containsText" text="On Track to be Achieved">
      <formula>NOT(ISERROR(SEARCH("On Track to be Achieved",G124)))</formula>
    </cfRule>
    <cfRule type="containsText" dxfId="50" priority="58" operator="containsText" text="Fully Achieved">
      <formula>NOT(ISERROR(SEARCH("Fully Achieved",G124)))</formula>
    </cfRule>
    <cfRule type="containsText" dxfId="49" priority="59" operator="containsText" text="Update not Provided">
      <formula>NOT(ISERROR(SEARCH("Update not Provided",G124)))</formula>
    </cfRule>
    <cfRule type="containsText" dxfId="48" priority="60" operator="containsText" text="Not yet due">
      <formula>NOT(ISERROR(SEARCH("Not yet due",G124)))</formula>
    </cfRule>
    <cfRule type="containsText" dxfId="47" priority="61" operator="containsText" text="Completed Behind Schedule">
      <formula>NOT(ISERROR(SEARCH("Completed Behind Schedule",G124)))</formula>
    </cfRule>
    <cfRule type="containsText" dxfId="46" priority="62" operator="containsText" text="Off Target">
      <formula>NOT(ISERROR(SEARCH("Off Target",G124)))</formula>
    </cfRule>
    <cfRule type="containsText" dxfId="45" priority="63" operator="containsText" text="In Danger of Falling Behind Target">
      <formula>NOT(ISERROR(SEARCH("In Danger of Falling Behind Target",G124)))</formula>
    </cfRule>
    <cfRule type="containsText" dxfId="44" priority="64" operator="containsText" text="On Track to be Achieved">
      <formula>NOT(ISERROR(SEARCH("On Track to be Achieved",G124)))</formula>
    </cfRule>
    <cfRule type="containsText" dxfId="43" priority="65" operator="containsText" text="Fully Achieved">
      <formula>NOT(ISERROR(SEARCH("Fully Achieved",G124)))</formula>
    </cfRule>
    <cfRule type="containsText" dxfId="42" priority="66" operator="containsText" text="Fully Achieved">
      <formula>NOT(ISERROR(SEARCH("Fully Achieved",G124)))</formula>
    </cfRule>
    <cfRule type="containsText" dxfId="41" priority="67" operator="containsText" text="Fully Achieved">
      <formula>NOT(ISERROR(SEARCH("Fully Achieved",G124)))</formula>
    </cfRule>
    <cfRule type="containsText" dxfId="40" priority="68" operator="containsText" text="Deferred">
      <formula>NOT(ISERROR(SEARCH("Deferred",G124)))</formula>
    </cfRule>
    <cfRule type="containsText" dxfId="39" priority="69" operator="containsText" text="Deleted">
      <formula>NOT(ISERROR(SEARCH("Deleted",G124)))</formula>
    </cfRule>
    <cfRule type="containsText" dxfId="38" priority="70" operator="containsText" text="In Danger of Falling Behind Target">
      <formula>NOT(ISERROR(SEARCH("In Danger of Falling Behind Target",G124)))</formula>
    </cfRule>
    <cfRule type="containsText" dxfId="37" priority="71" operator="containsText" text="Not yet due">
      <formula>NOT(ISERROR(SEARCH("Not yet due",G124)))</formula>
    </cfRule>
    <cfRule type="containsText" dxfId="36" priority="72" operator="containsText" text="Update not Provided">
      <formula>NOT(ISERROR(SEARCH("Update not Provided",G124)))</formula>
    </cfRule>
  </conditionalFormatting>
  <conditionalFormatting sqref="G126:G127">
    <cfRule type="containsText" dxfId="35" priority="1" operator="containsText" text="On track to be achieved">
      <formula>NOT(ISERROR(SEARCH("On track to be achieved",G126)))</formula>
    </cfRule>
    <cfRule type="containsText" dxfId="34" priority="2" operator="containsText" text="Deferred">
      <formula>NOT(ISERROR(SEARCH("Deferred",G126)))</formula>
    </cfRule>
    <cfRule type="containsText" dxfId="33" priority="3" operator="containsText" text="Deleted">
      <formula>NOT(ISERROR(SEARCH("Deleted",G126)))</formula>
    </cfRule>
    <cfRule type="containsText" dxfId="32" priority="4" operator="containsText" text="In Danger of Falling Behind Target">
      <formula>NOT(ISERROR(SEARCH("In Danger of Falling Behind Target",G126)))</formula>
    </cfRule>
    <cfRule type="containsText" dxfId="31" priority="5" operator="containsText" text="Not yet due">
      <formula>NOT(ISERROR(SEARCH("Not yet due",G126)))</formula>
    </cfRule>
    <cfRule type="containsText" dxfId="30" priority="6" operator="containsText" text="Update not Provided">
      <formula>NOT(ISERROR(SEARCH("Update not Provided",G126)))</formula>
    </cfRule>
    <cfRule type="containsText" dxfId="29" priority="7" operator="containsText" text="Not yet due">
      <formula>NOT(ISERROR(SEARCH("Not yet due",G126)))</formula>
    </cfRule>
    <cfRule type="containsText" dxfId="28" priority="8" operator="containsText" text="Completed Behind Schedule">
      <formula>NOT(ISERROR(SEARCH("Completed Behind Schedule",G126)))</formula>
    </cfRule>
    <cfRule type="containsText" dxfId="27" priority="9" operator="containsText" text="Off Target">
      <formula>NOT(ISERROR(SEARCH("Off Target",G126)))</formula>
    </cfRule>
    <cfRule type="containsText" dxfId="26" priority="10" operator="containsText" text="On Track to be Achieved">
      <formula>NOT(ISERROR(SEARCH("On Track to be Achieved",G126)))</formula>
    </cfRule>
    <cfRule type="containsText" dxfId="25" priority="11" operator="containsText" text="Fully Achieved">
      <formula>NOT(ISERROR(SEARCH("Fully Achieved",G126)))</formula>
    </cfRule>
    <cfRule type="containsText" dxfId="24" priority="12" operator="containsText" text="Not yet due">
      <formula>NOT(ISERROR(SEARCH("Not yet due",G126)))</formula>
    </cfRule>
    <cfRule type="containsText" dxfId="23" priority="13" operator="containsText" text="Not Yet Due">
      <formula>NOT(ISERROR(SEARCH("Not Yet Due",G126)))</formula>
    </cfRule>
    <cfRule type="containsText" dxfId="22" priority="14" operator="containsText" text="Deferred">
      <formula>NOT(ISERROR(SEARCH("Deferred",G126)))</formula>
    </cfRule>
    <cfRule type="containsText" dxfId="21" priority="15" operator="containsText" text="Deleted">
      <formula>NOT(ISERROR(SEARCH("Deleted",G126)))</formula>
    </cfRule>
    <cfRule type="containsText" dxfId="20" priority="16" operator="containsText" text="In Danger of Falling Behind Target">
      <formula>NOT(ISERROR(SEARCH("In Danger of Falling Behind Target",G126)))</formula>
    </cfRule>
    <cfRule type="containsText" dxfId="19" priority="17" operator="containsText" text="Not yet due">
      <formula>NOT(ISERROR(SEARCH("Not yet due",G126)))</formula>
    </cfRule>
    <cfRule type="containsText" dxfId="18" priority="18" operator="containsText" text="Completed Behind Schedule">
      <formula>NOT(ISERROR(SEARCH("Completed Behind Schedule",G126)))</formula>
    </cfRule>
    <cfRule type="containsText" dxfId="17" priority="19" operator="containsText" text="Off Target">
      <formula>NOT(ISERROR(SEARCH("Off Target",G126)))</formula>
    </cfRule>
    <cfRule type="containsText" dxfId="16" priority="20" operator="containsText" text="In Danger of Falling Behind Target">
      <formula>NOT(ISERROR(SEARCH("In Danger of Falling Behind Target",G126)))</formula>
    </cfRule>
    <cfRule type="containsText" dxfId="15" priority="21" operator="containsText" text="On Track to be Achieved">
      <formula>NOT(ISERROR(SEARCH("On Track to be Achieved",G126)))</formula>
    </cfRule>
    <cfRule type="containsText" dxfId="14" priority="22" operator="containsText" text="Fully Achieved">
      <formula>NOT(ISERROR(SEARCH("Fully Achieved",G126)))</formula>
    </cfRule>
    <cfRule type="containsText" dxfId="13" priority="23" operator="containsText" text="Update not Provided">
      <formula>NOT(ISERROR(SEARCH("Update not Provided",G126)))</formula>
    </cfRule>
    <cfRule type="containsText" dxfId="12" priority="24" operator="containsText" text="Not yet due">
      <formula>NOT(ISERROR(SEARCH("Not yet due",G126)))</formula>
    </cfRule>
    <cfRule type="containsText" dxfId="11" priority="25" operator="containsText" text="Completed Behind Schedule">
      <formula>NOT(ISERROR(SEARCH("Completed Behind Schedule",G126)))</formula>
    </cfRule>
    <cfRule type="containsText" dxfId="10" priority="26" operator="containsText" text="Off Target">
      <formula>NOT(ISERROR(SEARCH("Off Target",G126)))</formula>
    </cfRule>
    <cfRule type="containsText" dxfId="9" priority="27" operator="containsText" text="In Danger of Falling Behind Target">
      <formula>NOT(ISERROR(SEARCH("In Danger of Falling Behind Target",G126)))</formula>
    </cfRule>
    <cfRule type="containsText" dxfId="8" priority="28" operator="containsText" text="On Track to be Achieved">
      <formula>NOT(ISERROR(SEARCH("On Track to be Achieved",G126)))</formula>
    </cfRule>
    <cfRule type="containsText" dxfId="7" priority="29" operator="containsText" text="Fully Achieved">
      <formula>NOT(ISERROR(SEARCH("Fully Achieved",G126)))</formula>
    </cfRule>
    <cfRule type="containsText" dxfId="6" priority="30" operator="containsText" text="Fully Achieved">
      <formula>NOT(ISERROR(SEARCH("Fully Achieved",G126)))</formula>
    </cfRule>
    <cfRule type="containsText" dxfId="5" priority="31" operator="containsText" text="Fully Achieved">
      <formula>NOT(ISERROR(SEARCH("Fully Achieved",G126)))</formula>
    </cfRule>
    <cfRule type="containsText" dxfId="4" priority="32" operator="containsText" text="Deferred">
      <formula>NOT(ISERROR(SEARCH("Deferred",G126)))</formula>
    </cfRule>
    <cfRule type="containsText" dxfId="3" priority="33" operator="containsText" text="Deleted">
      <formula>NOT(ISERROR(SEARCH("Deleted",G126)))</formula>
    </cfRule>
    <cfRule type="containsText" dxfId="2" priority="34" operator="containsText" text="In Danger of Falling Behind Target">
      <formula>NOT(ISERROR(SEARCH("In Danger of Falling Behind Target",G126)))</formula>
    </cfRule>
    <cfRule type="containsText" dxfId="1" priority="35" operator="containsText" text="Not yet due">
      <formula>NOT(ISERROR(SEARCH("Not yet due",G126)))</formula>
    </cfRule>
    <cfRule type="containsText" dxfId="0" priority="36" operator="containsText" text="Update not Provided">
      <formula>NOT(ISERROR(SEARCH("Update not Provided",G126)))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topLeftCell="F1" zoomScale="70" zoomScaleNormal="70" workbookViewId="0">
      <pane ySplit="1" topLeftCell="A2" activePane="bottomLeft" state="frozen"/>
      <selection pane="bottomLeft" activeCell="Q6" sqref="Q6:Q7"/>
    </sheetView>
  </sheetViews>
  <sheetFormatPr defaultColWidth="9.140625" defaultRowHeight="14.25" x14ac:dyDescent="0.25"/>
  <cols>
    <col min="1" max="1" width="2.140625" style="58" customWidth="1"/>
    <col min="2" max="2" width="38.85546875" style="58" customWidth="1"/>
    <col min="3" max="3" width="13.7109375" style="79" customWidth="1"/>
    <col min="4" max="4" width="13.85546875" style="79" customWidth="1"/>
    <col min="5" max="5" width="16.28515625" style="79" customWidth="1"/>
    <col min="6" max="6" width="14.140625" style="79" customWidth="1"/>
    <col min="7" max="7" width="17.140625" style="79" customWidth="1"/>
    <col min="8" max="8" width="4.7109375" style="79" customWidth="1"/>
    <col min="9" max="9" width="40.140625" style="79" customWidth="1"/>
    <col min="10" max="14" width="17.140625" style="79" customWidth="1"/>
    <col min="15" max="15" width="4.7109375" style="79" customWidth="1"/>
    <col min="16" max="16" width="40.140625" style="79" customWidth="1"/>
    <col min="17" max="20" width="17.140625" style="79" customWidth="1"/>
    <col min="21" max="21" width="17.140625" style="87" customWidth="1"/>
    <col min="22" max="22" width="4.7109375" style="79" customWidth="1"/>
    <col min="23" max="23" width="55.28515625" style="79" customWidth="1"/>
    <col min="24" max="24" width="14.5703125" style="79" customWidth="1"/>
    <col min="25" max="27" width="17.140625" style="79" customWidth="1"/>
    <col min="28" max="28" width="17.140625" style="234" customWidth="1"/>
    <col min="29" max="32" width="9.140625" style="58" customWidth="1"/>
    <col min="33" max="16384" width="9.140625" style="58"/>
  </cols>
  <sheetData>
    <row r="1" spans="2:32" s="56" customFormat="1" ht="20.25" x14ac:dyDescent="0.25">
      <c r="B1" s="64"/>
      <c r="C1" s="254" t="s">
        <v>13</v>
      </c>
      <c r="D1" s="55"/>
      <c r="E1" s="55"/>
      <c r="F1" s="55"/>
      <c r="G1" s="55"/>
      <c r="H1" s="255"/>
      <c r="I1" s="254" t="s">
        <v>14</v>
      </c>
      <c r="J1" s="256"/>
      <c r="K1" s="94"/>
      <c r="L1" s="94"/>
      <c r="M1" s="94"/>
      <c r="N1" s="94"/>
      <c r="O1" s="255"/>
      <c r="P1" s="94" t="s">
        <v>15</v>
      </c>
      <c r="Q1" s="94"/>
      <c r="R1" s="94"/>
      <c r="S1" s="94"/>
      <c r="T1" s="94"/>
      <c r="U1" s="82"/>
      <c r="V1" s="255"/>
      <c r="W1" s="94" t="s">
        <v>16</v>
      </c>
      <c r="X1" s="94"/>
      <c r="Y1" s="94"/>
      <c r="Z1" s="94"/>
      <c r="AA1" s="94"/>
      <c r="AB1" s="228"/>
    </row>
    <row r="2" spans="2:32" ht="15.75" x14ac:dyDescent="0.25">
      <c r="B2" s="65"/>
      <c r="C2" s="57"/>
      <c r="D2" s="57"/>
      <c r="E2" s="57"/>
      <c r="F2" s="57"/>
      <c r="G2" s="57"/>
      <c r="I2" s="95"/>
      <c r="J2" s="95"/>
      <c r="K2" s="95"/>
      <c r="L2" s="95"/>
      <c r="M2" s="95"/>
      <c r="N2" s="95"/>
      <c r="P2" s="95"/>
      <c r="Q2" s="95"/>
      <c r="R2" s="95"/>
      <c r="S2" s="95"/>
      <c r="T2" s="95"/>
      <c r="U2" s="83"/>
      <c r="W2" s="95"/>
      <c r="X2" s="95"/>
      <c r="Y2" s="95"/>
      <c r="Z2" s="95"/>
      <c r="AA2" s="95"/>
      <c r="AB2" s="229"/>
    </row>
    <row r="3" spans="2:32" ht="15.75" x14ac:dyDescent="0.25">
      <c r="B3" s="67" t="s">
        <v>17</v>
      </c>
      <c r="C3" s="175"/>
      <c r="D3" s="175"/>
      <c r="E3" s="175"/>
      <c r="F3" s="175"/>
      <c r="G3" s="176"/>
      <c r="I3" s="303" t="s">
        <v>17</v>
      </c>
      <c r="J3" s="175"/>
      <c r="K3" s="175"/>
      <c r="L3" s="175"/>
      <c r="M3" s="175"/>
      <c r="N3" s="176"/>
      <c r="P3" s="303" t="s">
        <v>17</v>
      </c>
      <c r="Q3" s="77"/>
      <c r="R3" s="77"/>
      <c r="S3" s="77"/>
      <c r="T3" s="77"/>
      <c r="U3" s="84"/>
      <c r="W3" s="303" t="s">
        <v>17</v>
      </c>
      <c r="X3" s="77"/>
      <c r="Y3" s="77"/>
      <c r="Z3" s="77"/>
      <c r="AA3" s="77"/>
      <c r="AB3" s="230"/>
    </row>
    <row r="4" spans="2:32" s="79" customFormat="1" ht="39" customHeight="1" x14ac:dyDescent="0.25">
      <c r="B4" s="78" t="s">
        <v>23</v>
      </c>
      <c r="C4" s="78" t="s">
        <v>24</v>
      </c>
      <c r="D4" s="78" t="s">
        <v>18</v>
      </c>
      <c r="E4" s="78" t="s">
        <v>48</v>
      </c>
      <c r="F4" s="78" t="s">
        <v>29</v>
      </c>
      <c r="G4" s="78" t="s">
        <v>49</v>
      </c>
      <c r="I4" s="78" t="s">
        <v>23</v>
      </c>
      <c r="J4" s="78" t="s">
        <v>24</v>
      </c>
      <c r="K4" s="78" t="s">
        <v>18</v>
      </c>
      <c r="L4" s="78" t="s">
        <v>48</v>
      </c>
      <c r="M4" s="78" t="s">
        <v>29</v>
      </c>
      <c r="N4" s="78" t="s">
        <v>49</v>
      </c>
      <c r="P4" s="78" t="s">
        <v>23</v>
      </c>
      <c r="Q4" s="78" t="s">
        <v>24</v>
      </c>
      <c r="R4" s="78" t="s">
        <v>18</v>
      </c>
      <c r="S4" s="78" t="s">
        <v>48</v>
      </c>
      <c r="T4" s="78" t="s">
        <v>29</v>
      </c>
      <c r="U4" s="85" t="s">
        <v>49</v>
      </c>
      <c r="W4" s="78" t="s">
        <v>23</v>
      </c>
      <c r="X4" s="78" t="s">
        <v>24</v>
      </c>
      <c r="Y4" s="78" t="s">
        <v>18</v>
      </c>
      <c r="Z4" s="78" t="s">
        <v>48</v>
      </c>
      <c r="AA4" s="78" t="s">
        <v>29</v>
      </c>
      <c r="AB4" s="231" t="s">
        <v>49</v>
      </c>
    </row>
    <row r="5" spans="2:32" s="61" customFormat="1" ht="5.25" customHeight="1" x14ac:dyDescent="0.25">
      <c r="B5" s="167"/>
      <c r="C5" s="177"/>
      <c r="D5" s="177"/>
      <c r="E5" s="177"/>
      <c r="F5" s="177"/>
      <c r="G5" s="177"/>
      <c r="H5" s="1"/>
      <c r="I5" s="177"/>
      <c r="J5" s="177"/>
      <c r="K5" s="177"/>
      <c r="L5" s="177"/>
      <c r="M5" s="177"/>
      <c r="N5" s="177"/>
      <c r="O5" s="1"/>
      <c r="P5" s="177"/>
      <c r="Q5" s="177"/>
      <c r="R5" s="177"/>
      <c r="S5" s="177"/>
      <c r="T5" s="177"/>
      <c r="U5" s="178"/>
      <c r="V5" s="1"/>
      <c r="W5" s="177"/>
      <c r="X5" s="177"/>
      <c r="Y5" s="177"/>
      <c r="Z5" s="177"/>
      <c r="AA5" s="177"/>
      <c r="AB5" s="232"/>
    </row>
    <row r="6" spans="2:32" ht="30.75" customHeight="1" x14ac:dyDescent="0.25">
      <c r="B6" s="247" t="s">
        <v>45</v>
      </c>
      <c r="C6" s="257">
        <f>COUNTIF('1. ALL DATA'!$H$5:$H$128,"Fully Achieved")</f>
        <v>17</v>
      </c>
      <c r="D6" s="258">
        <f>C6/C20</f>
        <v>0.13934426229508196</v>
      </c>
      <c r="E6" s="462">
        <f>D6+D7</f>
        <v>0.61475409836065564</v>
      </c>
      <c r="F6" s="258">
        <f>C6/C21</f>
        <v>0.21794871794871795</v>
      </c>
      <c r="G6" s="459">
        <f>F6+F7</f>
        <v>0.96153846153846156</v>
      </c>
      <c r="I6" s="291" t="s">
        <v>45</v>
      </c>
      <c r="J6" s="257">
        <f>COUNTIF('1. ALL DATA'!$M$5:$M$128,"Fully Achieved")</f>
        <v>43</v>
      </c>
      <c r="K6" s="258">
        <f>J6/J20</f>
        <v>0.35245901639344263</v>
      </c>
      <c r="L6" s="462">
        <f>K6+K7</f>
        <v>0.84426229508196715</v>
      </c>
      <c r="M6" s="258">
        <f>J6/J21</f>
        <v>0.40186915887850466</v>
      </c>
      <c r="N6" s="459">
        <f>M6+M7</f>
        <v>0.96261682242990654</v>
      </c>
      <c r="P6" s="296" t="s">
        <v>45</v>
      </c>
      <c r="Q6" s="257">
        <f>COUNTIF('1. ALL DATA'!R5:R128,"Fully Achieved")</f>
        <v>64</v>
      </c>
      <c r="R6" s="258">
        <f>Q6/Q20</f>
        <v>0.52459016393442626</v>
      </c>
      <c r="S6" s="462">
        <f>R6+R7</f>
        <v>0.88524590163934436</v>
      </c>
      <c r="T6" s="258">
        <f>Q6/Q21</f>
        <v>0.5663716814159292</v>
      </c>
      <c r="U6" s="459">
        <f>T6+T7</f>
        <v>0.95575221238938046</v>
      </c>
      <c r="W6" s="296" t="s">
        <v>40</v>
      </c>
      <c r="X6" s="259">
        <f>COUNTIF('1. ALL DATA'!V5:V128,"Fully Achieved")</f>
        <v>0</v>
      </c>
      <c r="Y6" s="258">
        <f>X6/$X$20</f>
        <v>0</v>
      </c>
      <c r="Z6" s="462">
        <f>Y6+Y7</f>
        <v>0</v>
      </c>
      <c r="AA6" s="258" t="e">
        <f>X6/$X$21</f>
        <v>#DIV/0!</v>
      </c>
      <c r="AB6" s="459" t="e">
        <f>AA6+AA7</f>
        <v>#DIV/0!</v>
      </c>
    </row>
    <row r="7" spans="2:32" ht="30.75" customHeight="1" x14ac:dyDescent="0.25">
      <c r="B7" s="247" t="s">
        <v>41</v>
      </c>
      <c r="C7" s="257">
        <f>COUNTIF('1. ALL DATA'!H5:H128,"On Track to be Achieved")</f>
        <v>58</v>
      </c>
      <c r="D7" s="258">
        <f>C7/C20</f>
        <v>0.47540983606557374</v>
      </c>
      <c r="E7" s="462"/>
      <c r="F7" s="258">
        <f>C7/C21</f>
        <v>0.74358974358974361</v>
      </c>
      <c r="G7" s="459"/>
      <c r="I7" s="291" t="s">
        <v>41</v>
      </c>
      <c r="J7" s="257">
        <f>COUNTIF('1. ALL DATA'!M5:M128,"On Track to be Achieved")</f>
        <v>60</v>
      </c>
      <c r="K7" s="258">
        <f>J7/J20</f>
        <v>0.49180327868852458</v>
      </c>
      <c r="L7" s="462"/>
      <c r="M7" s="258">
        <f>J7/J21</f>
        <v>0.56074766355140182</v>
      </c>
      <c r="N7" s="459"/>
      <c r="P7" s="296" t="s">
        <v>41</v>
      </c>
      <c r="Q7" s="257">
        <f>COUNTIF('1. ALL DATA'!R5:R128,"On Track to be Achieved")</f>
        <v>44</v>
      </c>
      <c r="R7" s="258">
        <f>Q7/Q20</f>
        <v>0.36065573770491804</v>
      </c>
      <c r="S7" s="462"/>
      <c r="T7" s="258">
        <f>Q7/Q21</f>
        <v>0.38938053097345132</v>
      </c>
      <c r="U7" s="459"/>
      <c r="W7" s="296" t="s">
        <v>79</v>
      </c>
      <c r="X7" s="259">
        <f>COUNTIF('1. ALL DATA'!V5:V128,"Numerical Outturn Within 5% Tolerance")</f>
        <v>0</v>
      </c>
      <c r="Y7" s="258">
        <f>X7/$X$20</f>
        <v>0</v>
      </c>
      <c r="Z7" s="462"/>
      <c r="AA7" s="258" t="e">
        <f>X7/$X$21</f>
        <v>#DIV/0!</v>
      </c>
      <c r="AB7" s="459"/>
    </row>
    <row r="8" spans="2:32" s="59" customFormat="1" ht="6" customHeight="1" x14ac:dyDescent="0.25">
      <c r="B8" s="51"/>
      <c r="C8" s="260"/>
      <c r="D8" s="192"/>
      <c r="E8" s="192"/>
      <c r="F8" s="192"/>
      <c r="G8" s="52"/>
      <c r="H8" s="261"/>
      <c r="I8" s="292"/>
      <c r="J8" s="260"/>
      <c r="K8" s="192"/>
      <c r="L8" s="192"/>
      <c r="M8" s="192"/>
      <c r="N8" s="52"/>
      <c r="O8" s="261"/>
      <c r="P8" s="297"/>
      <c r="Q8" s="260"/>
      <c r="R8" s="192"/>
      <c r="S8" s="192"/>
      <c r="T8" s="192"/>
      <c r="U8" s="52"/>
      <c r="V8" s="261"/>
      <c r="W8" s="304"/>
      <c r="X8" s="54"/>
      <c r="Y8" s="192"/>
      <c r="Z8" s="192"/>
      <c r="AA8" s="192"/>
      <c r="AB8" s="52"/>
      <c r="AD8" s="61"/>
      <c r="AE8" s="61"/>
      <c r="AF8" s="61"/>
    </row>
    <row r="9" spans="2:32" ht="18.75" customHeight="1" x14ac:dyDescent="0.25">
      <c r="B9" s="460" t="s">
        <v>26</v>
      </c>
      <c r="C9" s="461">
        <f>COUNTIF('1. ALL DATA'!H5:H128,"in danger of falling behind target")</f>
        <v>0</v>
      </c>
      <c r="D9" s="462">
        <f>C9/C20</f>
        <v>0</v>
      </c>
      <c r="E9" s="462">
        <f>D9</f>
        <v>0</v>
      </c>
      <c r="F9" s="462">
        <f>C9/C21</f>
        <v>0</v>
      </c>
      <c r="G9" s="464">
        <f>F9</f>
        <v>0</v>
      </c>
      <c r="I9" s="460" t="s">
        <v>26</v>
      </c>
      <c r="J9" s="461">
        <f>COUNTIF('1. ALL DATA'!M5:M128,"in danger of falling behind target")</f>
        <v>0</v>
      </c>
      <c r="K9" s="462">
        <f>J9/J20</f>
        <v>0</v>
      </c>
      <c r="L9" s="462">
        <f>K9</f>
        <v>0</v>
      </c>
      <c r="M9" s="462">
        <f>J9/J21</f>
        <v>0</v>
      </c>
      <c r="N9" s="464">
        <f>M9</f>
        <v>0</v>
      </c>
      <c r="P9" s="460" t="s">
        <v>26</v>
      </c>
      <c r="Q9" s="461">
        <f>COUNTIF('1. ALL DATA'!R5:R128,"in danger of falling behind target")</f>
        <v>1</v>
      </c>
      <c r="R9" s="462">
        <f>Q9/Q20</f>
        <v>8.1967213114754103E-3</v>
      </c>
      <c r="S9" s="462">
        <f>R9</f>
        <v>8.1967213114754103E-3</v>
      </c>
      <c r="T9" s="462">
        <f>Q9/Q21</f>
        <v>8.8495575221238937E-3</v>
      </c>
      <c r="U9" s="464">
        <f>T9</f>
        <v>8.8495575221238937E-3</v>
      </c>
      <c r="W9" s="298" t="s">
        <v>80</v>
      </c>
      <c r="X9" s="259">
        <f>COUNTIF('1. ALL DATA'!V5:V128,"Numerical Outturn Within 10% Tolerance")</f>
        <v>0</v>
      </c>
      <c r="Y9" s="258">
        <f>X9/$X$20</f>
        <v>0</v>
      </c>
      <c r="Z9" s="465">
        <f>SUM(Y9:Y11)</f>
        <v>0</v>
      </c>
      <c r="AA9" s="263" t="e">
        <f>X9/$X$21</f>
        <v>#DIV/0!</v>
      </c>
      <c r="AB9" s="464" t="e">
        <f>SUM(AA9:AA11)</f>
        <v>#DIV/0!</v>
      </c>
      <c r="AD9" s="239"/>
    </row>
    <row r="10" spans="2:32" ht="19.5" customHeight="1" x14ac:dyDescent="0.25">
      <c r="B10" s="460"/>
      <c r="C10" s="461"/>
      <c r="D10" s="462"/>
      <c r="E10" s="462"/>
      <c r="F10" s="462"/>
      <c r="G10" s="464"/>
      <c r="I10" s="460"/>
      <c r="J10" s="461"/>
      <c r="K10" s="462"/>
      <c r="L10" s="462"/>
      <c r="M10" s="462"/>
      <c r="N10" s="464"/>
      <c r="P10" s="460"/>
      <c r="Q10" s="461"/>
      <c r="R10" s="462"/>
      <c r="S10" s="462"/>
      <c r="T10" s="462"/>
      <c r="U10" s="464"/>
      <c r="W10" s="298" t="s">
        <v>81</v>
      </c>
      <c r="X10" s="259">
        <f>COUNTIF('1. ALL DATA'!V5:V128,"Target Partially Met")</f>
        <v>0</v>
      </c>
      <c r="Y10" s="258">
        <f>X10/$X$20</f>
        <v>0</v>
      </c>
      <c r="Z10" s="466"/>
      <c r="AA10" s="263" t="e">
        <f>X10/$X$21</f>
        <v>#DIV/0!</v>
      </c>
      <c r="AB10" s="464"/>
      <c r="AD10" s="239"/>
    </row>
    <row r="11" spans="2:32" ht="19.5" customHeight="1" x14ac:dyDescent="0.25">
      <c r="B11" s="460"/>
      <c r="C11" s="461"/>
      <c r="D11" s="462"/>
      <c r="E11" s="462"/>
      <c r="F11" s="462"/>
      <c r="G11" s="464"/>
      <c r="I11" s="460"/>
      <c r="J11" s="461"/>
      <c r="K11" s="462"/>
      <c r="L11" s="462"/>
      <c r="M11" s="462"/>
      <c r="N11" s="464"/>
      <c r="P11" s="460"/>
      <c r="Q11" s="461"/>
      <c r="R11" s="462"/>
      <c r="S11" s="462"/>
      <c r="T11" s="462"/>
      <c r="U11" s="464"/>
      <c r="W11" s="298" t="s">
        <v>83</v>
      </c>
      <c r="X11" s="259">
        <f>COUNTIF('1. ALL DATA'!V5:V128,"Completion Date Within Reasonable Tolerance")</f>
        <v>0</v>
      </c>
      <c r="Y11" s="258">
        <f>X11/$X$20</f>
        <v>0</v>
      </c>
      <c r="Z11" s="467"/>
      <c r="AA11" s="263" t="e">
        <f>X11/$X$21</f>
        <v>#DIV/0!</v>
      </c>
      <c r="AB11" s="464"/>
      <c r="AD11" s="239"/>
    </row>
    <row r="12" spans="2:32" s="61" customFormat="1" ht="6" customHeight="1" x14ac:dyDescent="0.25">
      <c r="B12" s="167"/>
      <c r="C12" s="177"/>
      <c r="D12" s="251"/>
      <c r="E12" s="251"/>
      <c r="F12" s="251"/>
      <c r="G12" s="169"/>
      <c r="H12" s="1"/>
      <c r="I12" s="294"/>
      <c r="J12" s="177"/>
      <c r="K12" s="251"/>
      <c r="L12" s="251"/>
      <c r="M12" s="251"/>
      <c r="N12" s="169"/>
      <c r="O12" s="1"/>
      <c r="P12" s="299"/>
      <c r="Q12" s="177"/>
      <c r="R12" s="251"/>
      <c r="S12" s="251"/>
      <c r="T12" s="251"/>
      <c r="U12" s="169"/>
      <c r="V12" s="1"/>
      <c r="W12" s="304"/>
      <c r="X12" s="177"/>
      <c r="Y12" s="251"/>
      <c r="Z12" s="251"/>
      <c r="AA12" s="251"/>
      <c r="AB12" s="169"/>
      <c r="AD12" s="171"/>
    </row>
    <row r="13" spans="2:32" ht="29.25" customHeight="1" x14ac:dyDescent="0.25">
      <c r="B13" s="335" t="s">
        <v>42</v>
      </c>
      <c r="C13" s="257">
        <f>COUNTIF('1. ALL DATA'!H5:H128,"completed behind schedule")</f>
        <v>0</v>
      </c>
      <c r="D13" s="258">
        <f>C13/C20</f>
        <v>0</v>
      </c>
      <c r="E13" s="462">
        <f>D13+D14</f>
        <v>2.4590163934426229E-2</v>
      </c>
      <c r="F13" s="258">
        <f>C13/C21</f>
        <v>0</v>
      </c>
      <c r="G13" s="463">
        <f>F13+F14</f>
        <v>3.8461538461538464E-2</v>
      </c>
      <c r="I13" s="336" t="s">
        <v>42</v>
      </c>
      <c r="J13" s="257">
        <f>COUNTIF('1. ALL DATA'!M5:M128,"completed behind schedule")</f>
        <v>1</v>
      </c>
      <c r="K13" s="258">
        <f>J13/J20</f>
        <v>8.1967213114754103E-3</v>
      </c>
      <c r="L13" s="462">
        <f>K13+K14</f>
        <v>3.2786885245901641E-2</v>
      </c>
      <c r="M13" s="258">
        <f>J13/J21</f>
        <v>9.3457943925233638E-3</v>
      </c>
      <c r="N13" s="463">
        <f>M13+M14</f>
        <v>3.7383177570093455E-2</v>
      </c>
      <c r="P13" s="337" t="s">
        <v>42</v>
      </c>
      <c r="Q13" s="257">
        <f>COUNTIF('1. ALL DATA'!R5:R128,"completed behind schedule")</f>
        <v>2</v>
      </c>
      <c r="R13" s="258">
        <f>Q13/Q20</f>
        <v>1.6393442622950821E-2</v>
      </c>
      <c r="S13" s="462">
        <f>R13+R14</f>
        <v>3.2786885245901641E-2</v>
      </c>
      <c r="T13" s="258">
        <f>Q13/Q21</f>
        <v>1.7699115044247787E-2</v>
      </c>
      <c r="U13" s="463">
        <f>T13+T14</f>
        <v>3.5398230088495575E-2</v>
      </c>
      <c r="W13" s="337" t="s">
        <v>82</v>
      </c>
      <c r="X13" s="264">
        <f>COUNTIF('1. ALL DATA'!V5:V128,"Completed Significantly After Target Deadline")</f>
        <v>0</v>
      </c>
      <c r="Y13" s="258">
        <f>X13/$X$20</f>
        <v>0</v>
      </c>
      <c r="Z13" s="462">
        <f>Y13+Y14</f>
        <v>0</v>
      </c>
      <c r="AA13" s="258" t="e">
        <f>X13/$X$21</f>
        <v>#DIV/0!</v>
      </c>
      <c r="AB13" s="463" t="e">
        <f>AA13+AA14</f>
        <v>#DIV/0!</v>
      </c>
    </row>
    <row r="14" spans="2:32" ht="29.25" customHeight="1" x14ac:dyDescent="0.25">
      <c r="B14" s="335" t="s">
        <v>27</v>
      </c>
      <c r="C14" s="257">
        <f>COUNTIF('1. ALL DATA'!H5:H128,"off target")</f>
        <v>3</v>
      </c>
      <c r="D14" s="258">
        <f>C14/C20</f>
        <v>2.4590163934426229E-2</v>
      </c>
      <c r="E14" s="462"/>
      <c r="F14" s="258">
        <f>C14/C21</f>
        <v>3.8461538461538464E-2</v>
      </c>
      <c r="G14" s="463"/>
      <c r="I14" s="336" t="s">
        <v>27</v>
      </c>
      <c r="J14" s="257">
        <f>COUNTIF('1. ALL DATA'!M5:M128,"off target")</f>
        <v>3</v>
      </c>
      <c r="K14" s="258">
        <f>J14/J20</f>
        <v>2.4590163934426229E-2</v>
      </c>
      <c r="L14" s="462"/>
      <c r="M14" s="258">
        <f>J14/J21</f>
        <v>2.8037383177570093E-2</v>
      </c>
      <c r="N14" s="463"/>
      <c r="P14" s="337" t="s">
        <v>27</v>
      </c>
      <c r="Q14" s="257">
        <f>COUNTIF('1. ALL DATA'!R5:R128,"off target")</f>
        <v>2</v>
      </c>
      <c r="R14" s="258">
        <f>Q14/Q20</f>
        <v>1.6393442622950821E-2</v>
      </c>
      <c r="S14" s="462"/>
      <c r="T14" s="258">
        <f>Q14/Q21</f>
        <v>1.7699115044247787E-2</v>
      </c>
      <c r="U14" s="463"/>
      <c r="W14" s="337" t="s">
        <v>27</v>
      </c>
      <c r="X14" s="264">
        <f>COUNTIF('1. ALL DATA'!V5:V128,"off target")</f>
        <v>0</v>
      </c>
      <c r="Y14" s="258">
        <f>X14/$X$20</f>
        <v>0</v>
      </c>
      <c r="Z14" s="462"/>
      <c r="AA14" s="258" t="e">
        <f>X14/$X$21</f>
        <v>#DIV/0!</v>
      </c>
      <c r="AB14" s="463"/>
    </row>
    <row r="15" spans="2:32" s="61" customFormat="1" ht="7.5" customHeight="1" x14ac:dyDescent="0.25">
      <c r="B15" s="167"/>
      <c r="C15" s="265"/>
      <c r="D15" s="251"/>
      <c r="E15" s="251"/>
      <c r="F15" s="251"/>
      <c r="G15" s="172"/>
      <c r="H15" s="1"/>
      <c r="I15" s="294"/>
      <c r="J15" s="265"/>
      <c r="K15" s="251"/>
      <c r="L15" s="251"/>
      <c r="M15" s="251"/>
      <c r="N15" s="172"/>
      <c r="O15" s="1"/>
      <c r="P15" s="177"/>
      <c r="Q15" s="265"/>
      <c r="R15" s="251"/>
      <c r="S15" s="251"/>
      <c r="T15" s="251"/>
      <c r="U15" s="172"/>
      <c r="V15" s="1"/>
      <c r="W15" s="266"/>
      <c r="X15" s="266"/>
      <c r="Y15" s="267"/>
      <c r="Z15" s="267"/>
      <c r="AA15" s="268"/>
      <c r="AB15" s="233"/>
    </row>
    <row r="16" spans="2:32" ht="20.25" customHeight="1" x14ac:dyDescent="0.25">
      <c r="B16" s="46" t="s">
        <v>1</v>
      </c>
      <c r="C16" s="269">
        <f>COUNTIF('1. ALL DATA'!H5:H128,"not yet due")</f>
        <v>44</v>
      </c>
      <c r="D16" s="252">
        <f>C16/C20</f>
        <v>0.36065573770491804</v>
      </c>
      <c r="E16" s="252">
        <f>D16</f>
        <v>0.36065573770491804</v>
      </c>
      <c r="F16" s="49"/>
      <c r="G16" s="45"/>
      <c r="I16" s="284" t="s">
        <v>1</v>
      </c>
      <c r="J16" s="269">
        <f>COUNTIF('1. ALL DATA'!M5:M128,"not yet due")</f>
        <v>14</v>
      </c>
      <c r="K16" s="252">
        <f>J16/J20</f>
        <v>0.11475409836065574</v>
      </c>
      <c r="L16" s="252">
        <f>K16</f>
        <v>0.11475409836065574</v>
      </c>
      <c r="M16" s="49"/>
      <c r="N16" s="45"/>
      <c r="P16" s="284" t="s">
        <v>1</v>
      </c>
      <c r="Q16" s="269">
        <f>COUNTIF('1. ALL DATA'!R5:R128,"not yet due")</f>
        <v>7</v>
      </c>
      <c r="R16" s="252">
        <f>Q16/Q20</f>
        <v>5.737704918032787E-2</v>
      </c>
      <c r="S16" s="252">
        <f>R16</f>
        <v>5.737704918032787E-2</v>
      </c>
      <c r="T16" s="49"/>
      <c r="U16" s="91"/>
      <c r="W16" s="288" t="s">
        <v>1</v>
      </c>
      <c r="X16" s="264">
        <f>COUNTIF('1. ALL DATA'!V5:V128,"not yet due")</f>
        <v>0</v>
      </c>
      <c r="Y16" s="252">
        <f>X16/$X$20</f>
        <v>0</v>
      </c>
      <c r="Z16" s="252">
        <f>Y16</f>
        <v>0</v>
      </c>
      <c r="AA16" s="282"/>
      <c r="AB16" s="283"/>
    </row>
    <row r="17" spans="2:30" ht="20.25" customHeight="1" x14ac:dyDescent="0.25">
      <c r="B17" s="46" t="s">
        <v>46</v>
      </c>
      <c r="C17" s="269">
        <f>COUNTIF('1. ALL DATA'!H5:H128,"update not provided")</f>
        <v>0</v>
      </c>
      <c r="D17" s="252">
        <f>C17/C20</f>
        <v>0</v>
      </c>
      <c r="E17" s="252">
        <f>D17</f>
        <v>0</v>
      </c>
      <c r="F17" s="49"/>
      <c r="G17" s="96"/>
      <c r="I17" s="284" t="s">
        <v>46</v>
      </c>
      <c r="J17" s="269">
        <f>COUNTIF('1. ALL DATA'!M5:M128,"update not provided")</f>
        <v>0</v>
      </c>
      <c r="K17" s="252">
        <f>J17/J20</f>
        <v>0</v>
      </c>
      <c r="L17" s="252">
        <f>K17</f>
        <v>0</v>
      </c>
      <c r="M17" s="49"/>
      <c r="N17" s="96"/>
      <c r="P17" s="284" t="s">
        <v>46</v>
      </c>
      <c r="Q17" s="269">
        <f>COUNTIF('1. ALL DATA'!R5:R128,"update not provided")</f>
        <v>1</v>
      </c>
      <c r="R17" s="252">
        <f>Q17/Q20</f>
        <v>8.1967213114754103E-3</v>
      </c>
      <c r="S17" s="252">
        <f>R17</f>
        <v>8.1967213114754103E-3</v>
      </c>
      <c r="T17" s="49"/>
      <c r="U17" s="92"/>
      <c r="W17" s="289" t="s">
        <v>46</v>
      </c>
      <c r="X17" s="264">
        <f>COUNTIF('1. ALL DATA'!V5:V128,"update not provided")</f>
        <v>122</v>
      </c>
      <c r="Y17" s="252">
        <f>X17/$X$20</f>
        <v>1</v>
      </c>
      <c r="Z17" s="252">
        <f>Y17</f>
        <v>1</v>
      </c>
      <c r="AA17" s="282"/>
    </row>
    <row r="18" spans="2:30" ht="15.75" customHeight="1" x14ac:dyDescent="0.25">
      <c r="B18" s="47" t="s">
        <v>22</v>
      </c>
      <c r="C18" s="269">
        <f>COUNTIF('1. ALL DATA'!H5:H128,"deferred")</f>
        <v>0</v>
      </c>
      <c r="D18" s="253">
        <f>C18/C20</f>
        <v>0</v>
      </c>
      <c r="E18" s="253">
        <f>D18</f>
        <v>0</v>
      </c>
      <c r="F18" s="44"/>
      <c r="G18" s="45"/>
      <c r="I18" s="285" t="s">
        <v>22</v>
      </c>
      <c r="J18" s="269">
        <f>COUNTIF('1. ALL DATA'!M5:M128,"deferred")</f>
        <v>1</v>
      </c>
      <c r="K18" s="253">
        <f>J18/J20</f>
        <v>8.1967213114754103E-3</v>
      </c>
      <c r="L18" s="253">
        <f>K18</f>
        <v>8.1967213114754103E-3</v>
      </c>
      <c r="M18" s="44"/>
      <c r="N18" s="45"/>
      <c r="P18" s="285" t="s">
        <v>22</v>
      </c>
      <c r="Q18" s="269">
        <f>COUNTIF('1. ALL DATA'!R5:R128,"deferred")</f>
        <v>1</v>
      </c>
      <c r="R18" s="253">
        <f>Q18/Q20</f>
        <v>8.1967213114754103E-3</v>
      </c>
      <c r="S18" s="253">
        <f>R18</f>
        <v>8.1967213114754103E-3</v>
      </c>
      <c r="T18" s="44"/>
      <c r="U18" s="91"/>
      <c r="W18" s="285" t="s">
        <v>22</v>
      </c>
      <c r="X18" s="264">
        <f>COUNTIF('1. ALL DATA'!V5:V128,"deferred")</f>
        <v>0</v>
      </c>
      <c r="Y18" s="253">
        <f>X18/$X$20</f>
        <v>0</v>
      </c>
      <c r="Z18" s="253">
        <f>Y18</f>
        <v>0</v>
      </c>
      <c r="AA18" s="282"/>
      <c r="AB18" s="235"/>
      <c r="AD18" s="239"/>
    </row>
    <row r="19" spans="2:30" ht="15.75" customHeight="1" x14ac:dyDescent="0.25">
      <c r="B19" s="47" t="s">
        <v>28</v>
      </c>
      <c r="C19" s="269">
        <f>COUNTIF('1. ALL DATA'!H5:H128,"deleted")</f>
        <v>0</v>
      </c>
      <c r="D19" s="270">
        <f>C19/C20</f>
        <v>0</v>
      </c>
      <c r="E19" s="253">
        <f>D19</f>
        <v>0</v>
      </c>
      <c r="F19" s="44"/>
      <c r="G19" s="236" t="s">
        <v>62</v>
      </c>
      <c r="I19" s="285" t="s">
        <v>28</v>
      </c>
      <c r="J19" s="269">
        <f>COUNTIF('1. ALL DATA'!M5:M128,"deleted")</f>
        <v>0</v>
      </c>
      <c r="K19" s="253">
        <f>J19/J20</f>
        <v>0</v>
      </c>
      <c r="L19" s="253">
        <f>K19</f>
        <v>0</v>
      </c>
      <c r="M19" s="44"/>
      <c r="N19" s="236" t="s">
        <v>62</v>
      </c>
      <c r="P19" s="285" t="s">
        <v>28</v>
      </c>
      <c r="Q19" s="269">
        <f>COUNTIF('1. ALL DATA'!R5:R128,"deleted")</f>
        <v>0</v>
      </c>
      <c r="R19" s="253">
        <f>Q19/Q20</f>
        <v>0</v>
      </c>
      <c r="S19" s="253">
        <f>R19</f>
        <v>0</v>
      </c>
      <c r="T19" s="44"/>
      <c r="U19" s="236" t="s">
        <v>62</v>
      </c>
      <c r="W19" s="285" t="s">
        <v>28</v>
      </c>
      <c r="X19" s="264">
        <f>COUNTIF('1. ALL DATA'!V5:V128,"deleted")</f>
        <v>0</v>
      </c>
      <c r="Y19" s="253">
        <f>X19/$X$20</f>
        <v>0</v>
      </c>
      <c r="Z19" s="253">
        <f>Y19</f>
        <v>0</v>
      </c>
      <c r="AA19" s="282"/>
      <c r="AB19" s="236" t="s">
        <v>62</v>
      </c>
    </row>
    <row r="20" spans="2:30" ht="15.75" customHeight="1" x14ac:dyDescent="0.25">
      <c r="B20" s="48" t="s">
        <v>30</v>
      </c>
      <c r="C20" s="271">
        <f>SUM(C6:C19)</f>
        <v>122</v>
      </c>
      <c r="D20" s="44"/>
      <c r="E20" s="44"/>
      <c r="F20" s="45"/>
      <c r="G20" s="45"/>
      <c r="I20" s="286" t="s">
        <v>30</v>
      </c>
      <c r="J20" s="271">
        <f>SUM(J6:J19)</f>
        <v>122</v>
      </c>
      <c r="K20" s="44"/>
      <c r="L20" s="44"/>
      <c r="M20" s="45"/>
      <c r="N20" s="45"/>
      <c r="P20" s="286" t="s">
        <v>30</v>
      </c>
      <c r="Q20" s="271">
        <f>SUM(Q6:Q19)</f>
        <v>122</v>
      </c>
      <c r="R20" s="44"/>
      <c r="S20" s="44"/>
      <c r="T20" s="45"/>
      <c r="U20" s="91"/>
      <c r="W20" s="286" t="s">
        <v>30</v>
      </c>
      <c r="X20" s="272">
        <f>SUM(X6:X19)</f>
        <v>122</v>
      </c>
      <c r="Y20" s="44"/>
      <c r="Z20" s="44"/>
      <c r="AA20" s="282"/>
      <c r="AB20" s="235"/>
    </row>
    <row r="21" spans="2:30" ht="15.75" customHeight="1" x14ac:dyDescent="0.25">
      <c r="B21" s="48" t="s">
        <v>31</v>
      </c>
      <c r="C21" s="271">
        <f>C20-C19-C18-C17-C16</f>
        <v>78</v>
      </c>
      <c r="D21" s="45"/>
      <c r="E21" s="45"/>
      <c r="F21" s="45"/>
      <c r="G21" s="45"/>
      <c r="I21" s="286" t="s">
        <v>31</v>
      </c>
      <c r="J21" s="271">
        <f>J20-J19-J18-J17-J16</f>
        <v>107</v>
      </c>
      <c r="K21" s="45"/>
      <c r="L21" s="45"/>
      <c r="M21" s="45"/>
      <c r="N21" s="45"/>
      <c r="P21" s="286" t="s">
        <v>31</v>
      </c>
      <c r="Q21" s="271">
        <f>Q20-Q19-Q18-Q17-Q16</f>
        <v>113</v>
      </c>
      <c r="R21" s="45"/>
      <c r="S21" s="45"/>
      <c r="T21" s="45"/>
      <c r="U21" s="91"/>
      <c r="W21" s="286" t="s">
        <v>31</v>
      </c>
      <c r="X21" s="272">
        <f>X20-X19-X18-X17-X16</f>
        <v>0</v>
      </c>
      <c r="Y21" s="45"/>
      <c r="Z21" s="45"/>
      <c r="AA21" s="282"/>
      <c r="AB21" s="235"/>
      <c r="AD21" s="239"/>
    </row>
    <row r="22" spans="2:30" ht="15.75" customHeight="1" x14ac:dyDescent="0.25">
      <c r="W22" s="287"/>
      <c r="AA22" s="282"/>
      <c r="AD22" s="239"/>
    </row>
    <row r="23" spans="2:30" ht="15.75" customHeight="1" x14ac:dyDescent="0.25">
      <c r="AA23" s="282"/>
    </row>
    <row r="24" spans="2:30" ht="15" customHeight="1" x14ac:dyDescent="0.25">
      <c r="AA24" s="282"/>
    </row>
    <row r="25" spans="2:30" ht="19.5" customHeight="1" x14ac:dyDescent="0.25">
      <c r="B25" s="180" t="s">
        <v>213</v>
      </c>
      <c r="C25" s="181"/>
      <c r="D25" s="181"/>
      <c r="E25" s="181"/>
      <c r="F25" s="175"/>
      <c r="G25" s="182"/>
      <c r="I25" s="295" t="s">
        <v>213</v>
      </c>
      <c r="J25" s="302"/>
      <c r="K25" s="302"/>
      <c r="L25" s="302"/>
      <c r="M25" s="175"/>
      <c r="N25" s="176"/>
      <c r="P25" s="300" t="s">
        <v>213</v>
      </c>
      <c r="Q25" s="301"/>
      <c r="R25" s="301"/>
      <c r="S25" s="301"/>
      <c r="T25" s="77"/>
      <c r="U25" s="84"/>
      <c r="W25" s="300" t="s">
        <v>213</v>
      </c>
      <c r="X25" s="77"/>
      <c r="Y25" s="77"/>
      <c r="Z25" s="77"/>
      <c r="AA25" s="77"/>
      <c r="AB25" s="230"/>
    </row>
    <row r="26" spans="2:30" ht="42" customHeight="1" x14ac:dyDescent="0.25">
      <c r="B26" s="68" t="s">
        <v>23</v>
      </c>
      <c r="C26" s="78" t="s">
        <v>24</v>
      </c>
      <c r="D26" s="78" t="s">
        <v>18</v>
      </c>
      <c r="E26" s="78" t="s">
        <v>48</v>
      </c>
      <c r="F26" s="78" t="s">
        <v>29</v>
      </c>
      <c r="G26" s="78" t="s">
        <v>49</v>
      </c>
      <c r="I26" s="78" t="s">
        <v>23</v>
      </c>
      <c r="J26" s="78" t="s">
        <v>24</v>
      </c>
      <c r="K26" s="78" t="s">
        <v>18</v>
      </c>
      <c r="L26" s="78" t="s">
        <v>48</v>
      </c>
      <c r="M26" s="78" t="s">
        <v>29</v>
      </c>
      <c r="N26" s="78" t="s">
        <v>49</v>
      </c>
      <c r="P26" s="78" t="s">
        <v>23</v>
      </c>
      <c r="Q26" s="78" t="s">
        <v>24</v>
      </c>
      <c r="R26" s="78" t="s">
        <v>18</v>
      </c>
      <c r="S26" s="78" t="s">
        <v>48</v>
      </c>
      <c r="T26" s="78" t="s">
        <v>29</v>
      </c>
      <c r="U26" s="85" t="s">
        <v>49</v>
      </c>
      <c r="W26" s="78" t="s">
        <v>23</v>
      </c>
      <c r="X26" s="78" t="s">
        <v>24</v>
      </c>
      <c r="Y26" s="78" t="s">
        <v>18</v>
      </c>
      <c r="Z26" s="78" t="s">
        <v>48</v>
      </c>
      <c r="AA26" s="78" t="s">
        <v>29</v>
      </c>
      <c r="AB26" s="231" t="s">
        <v>49</v>
      </c>
    </row>
    <row r="27" spans="2:30" s="61" customFormat="1" ht="6" customHeight="1" x14ac:dyDescent="0.25">
      <c r="B27" s="167"/>
      <c r="C27" s="177"/>
      <c r="D27" s="177"/>
      <c r="E27" s="177"/>
      <c r="F27" s="177"/>
      <c r="G27" s="177"/>
      <c r="H27" s="1"/>
      <c r="I27" s="177"/>
      <c r="J27" s="177"/>
      <c r="K27" s="177"/>
      <c r="L27" s="177"/>
      <c r="M27" s="177"/>
      <c r="N27" s="177"/>
      <c r="O27" s="1"/>
      <c r="P27" s="177"/>
      <c r="Q27" s="177"/>
      <c r="R27" s="177"/>
      <c r="S27" s="177"/>
      <c r="T27" s="177"/>
      <c r="U27" s="178"/>
      <c r="V27" s="1"/>
      <c r="W27" s="177"/>
      <c r="X27" s="177"/>
      <c r="Y27" s="262"/>
      <c r="Z27" s="177"/>
      <c r="AA27" s="177"/>
      <c r="AB27" s="232"/>
    </row>
    <row r="28" spans="2:30" ht="21.75" customHeight="1" x14ac:dyDescent="0.25">
      <c r="B28" s="247" t="s">
        <v>45</v>
      </c>
      <c r="C28" s="257">
        <f>COUNTIFS('1. ALL DATA'!$X$5:$X$128,"Value For Money Council Services",'1. ALL DATA'!$H$5:$H$128,"Fully Achieved")</f>
        <v>7</v>
      </c>
      <c r="D28" s="258">
        <f>C28/C42</f>
        <v>0.1206896551724138</v>
      </c>
      <c r="E28" s="462">
        <f>D28+D29</f>
        <v>0.63793103448275867</v>
      </c>
      <c r="F28" s="258">
        <f>C28/C43</f>
        <v>0.17948717948717949</v>
      </c>
      <c r="G28" s="459">
        <f>F28+F29</f>
        <v>0.94871794871794879</v>
      </c>
      <c r="I28" s="291" t="s">
        <v>45</v>
      </c>
      <c r="J28" s="257">
        <f>COUNTIFS('1. ALL DATA'!$X$5:$X$128,"Value For Money Council Services",'1. ALL DATA'!$M$5:$M$128,"Fully Achieved")</f>
        <v>19</v>
      </c>
      <c r="K28" s="258">
        <f>J28/J42</f>
        <v>0.32758620689655171</v>
      </c>
      <c r="L28" s="462">
        <f>K28+K29</f>
        <v>0.81034482758620685</v>
      </c>
      <c r="M28" s="258">
        <f>J28/J43</f>
        <v>0.38</v>
      </c>
      <c r="N28" s="459">
        <f>M28+M29</f>
        <v>0.94000000000000006</v>
      </c>
      <c r="P28" s="296" t="s">
        <v>45</v>
      </c>
      <c r="Q28" s="257">
        <f>COUNTIFS('1. ALL DATA'!$X$5:$X$128,"Value For Money Council Services",'1. ALL DATA'!$R$5:$R$128,"Fully Achieved")</f>
        <v>26</v>
      </c>
      <c r="R28" s="258">
        <f>Q28/Q42</f>
        <v>0.44827586206896552</v>
      </c>
      <c r="S28" s="462">
        <f>R28+R29</f>
        <v>0.84482758620689657</v>
      </c>
      <c r="T28" s="258">
        <f>Q28/Q43</f>
        <v>0.5</v>
      </c>
      <c r="U28" s="459">
        <f>T28+T29</f>
        <v>0.94230769230769229</v>
      </c>
      <c r="W28" s="296" t="s">
        <v>40</v>
      </c>
      <c r="X28" s="259">
        <f>COUNTIFS('1. ALL DATA'!$X$5:$X$128,"Value For Money Council Services",'1. ALL DATA'!$V$5:$V$128,"Fully Achieved")</f>
        <v>0</v>
      </c>
      <c r="Y28" s="342">
        <f>X28/$X$42</f>
        <v>0</v>
      </c>
      <c r="Z28" s="462">
        <f>Y28+Y29</f>
        <v>0</v>
      </c>
      <c r="AA28" s="258" t="e">
        <f>X28/$X$43</f>
        <v>#DIV/0!</v>
      </c>
      <c r="AB28" s="459" t="e">
        <f>AA28+AA29</f>
        <v>#DIV/0!</v>
      </c>
    </row>
    <row r="29" spans="2:30" ht="18.75" customHeight="1" x14ac:dyDescent="0.25">
      <c r="B29" s="247" t="s">
        <v>41</v>
      </c>
      <c r="C29" s="257">
        <f>COUNTIFS('1. ALL DATA'!$X$5:$X$128,"Value For Money Council Services",'1. ALL DATA'!$H$5:$H$128,"On track to be achieved")</f>
        <v>30</v>
      </c>
      <c r="D29" s="258">
        <f>C29/C42</f>
        <v>0.51724137931034486</v>
      </c>
      <c r="E29" s="462"/>
      <c r="F29" s="258">
        <f>C29/C43</f>
        <v>0.76923076923076927</v>
      </c>
      <c r="G29" s="459"/>
      <c r="I29" s="291" t="s">
        <v>41</v>
      </c>
      <c r="J29" s="257">
        <f>COUNTIFS('1. ALL DATA'!$X$5:$X$128,"Value For Money Council Services",'1. ALL DATA'!$M$5:$M$128,"On track to be achieved")</f>
        <v>28</v>
      </c>
      <c r="K29" s="258">
        <f>J29/J42</f>
        <v>0.48275862068965519</v>
      </c>
      <c r="L29" s="462"/>
      <c r="M29" s="258">
        <f>J29/J43</f>
        <v>0.56000000000000005</v>
      </c>
      <c r="N29" s="459"/>
      <c r="P29" s="296" t="s">
        <v>41</v>
      </c>
      <c r="Q29" s="257">
        <f>COUNTIFS('1. ALL DATA'!$X$5:$X$128,"Value For Money Council Services",'1. ALL DATA'!$R$5:$R$128,"On track to be achieved")</f>
        <v>23</v>
      </c>
      <c r="R29" s="258">
        <f>Q29/Q42</f>
        <v>0.39655172413793105</v>
      </c>
      <c r="S29" s="462"/>
      <c r="T29" s="258">
        <f>Q29/Q43</f>
        <v>0.44230769230769229</v>
      </c>
      <c r="U29" s="459"/>
      <c r="W29" s="296" t="s">
        <v>79</v>
      </c>
      <c r="X29" s="264">
        <f>COUNTIFS('1. ALL DATA'!$X$5:$X$128,"Value For Money Council Services",'1. ALL DATA'!$V$5:$V$128,"Numerical Outturn Within 5% Tolerance")</f>
        <v>0</v>
      </c>
      <c r="Y29" s="342">
        <f>X29/$X$42</f>
        <v>0</v>
      </c>
      <c r="Z29" s="462"/>
      <c r="AA29" s="258" t="e">
        <f>X29/$X$43</f>
        <v>#DIV/0!</v>
      </c>
      <c r="AB29" s="459"/>
    </row>
    <row r="30" spans="2:30" s="61" customFormat="1" ht="6" customHeight="1" x14ac:dyDescent="0.25">
      <c r="B30" s="51"/>
      <c r="C30" s="265"/>
      <c r="D30" s="251"/>
      <c r="E30" s="251"/>
      <c r="F30" s="251"/>
      <c r="G30" s="52"/>
      <c r="H30" s="1"/>
      <c r="I30" s="292"/>
      <c r="J30" s="265"/>
      <c r="K30" s="251"/>
      <c r="L30" s="251"/>
      <c r="M30" s="251"/>
      <c r="N30" s="52"/>
      <c r="O30" s="1"/>
      <c r="P30" s="297"/>
      <c r="Q30" s="265"/>
      <c r="R30" s="251"/>
      <c r="S30" s="251"/>
      <c r="T30" s="251"/>
      <c r="U30" s="52"/>
      <c r="V30" s="1"/>
      <c r="W30" s="304"/>
      <c r="X30" s="177"/>
      <c r="Y30" s="54"/>
      <c r="Z30" s="251"/>
      <c r="AA30" s="251"/>
      <c r="AB30" s="52"/>
    </row>
    <row r="31" spans="2:30" ht="21" customHeight="1" x14ac:dyDescent="0.25">
      <c r="B31" s="460" t="s">
        <v>26</v>
      </c>
      <c r="C31" s="461">
        <f>COUNTIFS('1. ALL DATA'!$X$5:$X$128,"Value For Money Council Services",'1. ALL DATA'!$H$5:$H$128,"In danger of falling behind target")</f>
        <v>0</v>
      </c>
      <c r="D31" s="462">
        <f>C31/C42</f>
        <v>0</v>
      </c>
      <c r="E31" s="462">
        <f>D31</f>
        <v>0</v>
      </c>
      <c r="F31" s="462">
        <f>C31/C43</f>
        <v>0</v>
      </c>
      <c r="G31" s="464">
        <f>F31</f>
        <v>0</v>
      </c>
      <c r="I31" s="460" t="s">
        <v>26</v>
      </c>
      <c r="J31" s="461">
        <f>COUNTIFS('1. ALL DATA'!$X$5:$X$128,"Value For Money Council Services",'1. ALL DATA'!$M$5:$M$128,"In danger of falling behind target")</f>
        <v>0</v>
      </c>
      <c r="K31" s="462">
        <f>J31/J42</f>
        <v>0</v>
      </c>
      <c r="L31" s="462">
        <f>K31</f>
        <v>0</v>
      </c>
      <c r="M31" s="462">
        <f>J31/J43</f>
        <v>0</v>
      </c>
      <c r="N31" s="464">
        <f>M31</f>
        <v>0</v>
      </c>
      <c r="P31" s="460" t="s">
        <v>26</v>
      </c>
      <c r="Q31" s="461">
        <f>COUNTIFS('1. ALL DATA'!$X$5:$X$128,"Value For Money Council Services",'1. ALL DATA'!$R$5:$R$128,"In danger of falling behind target")</f>
        <v>0</v>
      </c>
      <c r="R31" s="462">
        <f>Q31/Q42</f>
        <v>0</v>
      </c>
      <c r="S31" s="462">
        <f>R31</f>
        <v>0</v>
      </c>
      <c r="T31" s="462">
        <f>Q31/Q43</f>
        <v>0</v>
      </c>
      <c r="U31" s="464">
        <f>T31</f>
        <v>0</v>
      </c>
      <c r="W31" s="298" t="s">
        <v>80</v>
      </c>
      <c r="X31" s="264">
        <f>COUNTIFS('1. ALL DATA'!$X$5:$X$128,"Value For Money Council Services",'1. ALL DATA'!$V$5:$V$128,"Numerical Outturn within 10% Tolerance")</f>
        <v>0</v>
      </c>
      <c r="Y31" s="342">
        <f>X31/$X$42</f>
        <v>0</v>
      </c>
      <c r="Z31" s="462">
        <f>SUM(Y31:Y33)</f>
        <v>0</v>
      </c>
      <c r="AA31" s="263" t="e">
        <f>X31/$X$43</f>
        <v>#DIV/0!</v>
      </c>
      <c r="AB31" s="464" t="e">
        <f>SUM(AA31:AA33)</f>
        <v>#DIV/0!</v>
      </c>
    </row>
    <row r="32" spans="2:30" ht="20.25" customHeight="1" x14ac:dyDescent="0.25">
      <c r="B32" s="460"/>
      <c r="C32" s="461"/>
      <c r="D32" s="462"/>
      <c r="E32" s="462"/>
      <c r="F32" s="462"/>
      <c r="G32" s="464"/>
      <c r="I32" s="460"/>
      <c r="J32" s="461"/>
      <c r="K32" s="462"/>
      <c r="L32" s="462"/>
      <c r="M32" s="462"/>
      <c r="N32" s="464"/>
      <c r="P32" s="460"/>
      <c r="Q32" s="461"/>
      <c r="R32" s="462"/>
      <c r="S32" s="462"/>
      <c r="T32" s="462"/>
      <c r="U32" s="464"/>
      <c r="W32" s="298" t="s">
        <v>81</v>
      </c>
      <c r="X32" s="264">
        <f>COUNTIFS('1. ALL DATA'!$X$5:$X$128,"Value For Money Council Services",'1. ALL DATA'!$V$5:$V$128,"Target Partially Met")</f>
        <v>0</v>
      </c>
      <c r="Y32" s="342">
        <f>X32/$X$42</f>
        <v>0</v>
      </c>
      <c r="Z32" s="462"/>
      <c r="AA32" s="263" t="e">
        <f>X32/$X$43</f>
        <v>#DIV/0!</v>
      </c>
      <c r="AB32" s="464"/>
    </row>
    <row r="33" spans="2:28" ht="18.75" customHeight="1" x14ac:dyDescent="0.25">
      <c r="B33" s="460"/>
      <c r="C33" s="461"/>
      <c r="D33" s="462"/>
      <c r="E33" s="462"/>
      <c r="F33" s="462"/>
      <c r="G33" s="464"/>
      <c r="I33" s="460"/>
      <c r="J33" s="461"/>
      <c r="K33" s="462"/>
      <c r="L33" s="462"/>
      <c r="M33" s="462"/>
      <c r="N33" s="464"/>
      <c r="P33" s="460"/>
      <c r="Q33" s="461"/>
      <c r="R33" s="462"/>
      <c r="S33" s="462"/>
      <c r="T33" s="462"/>
      <c r="U33" s="464"/>
      <c r="W33" s="298" t="s">
        <v>83</v>
      </c>
      <c r="X33" s="264">
        <f>COUNTIFS('1. ALL DATA'!$X$5:$X$128,"Value For Money Council Services",'1. ALL DATA'!$V$5:$V$128,"Completion Date Within Reasonable Tolerance")</f>
        <v>0</v>
      </c>
      <c r="Y33" s="342">
        <f>X33/$X$42</f>
        <v>0</v>
      </c>
      <c r="Z33" s="462"/>
      <c r="AA33" s="263" t="e">
        <f>X33/$X$43</f>
        <v>#DIV/0!</v>
      </c>
      <c r="AB33" s="464"/>
    </row>
    <row r="34" spans="2:28" s="61" customFormat="1" ht="6" customHeight="1" x14ac:dyDescent="0.25">
      <c r="B34" s="167"/>
      <c r="C34" s="177"/>
      <c r="D34" s="251"/>
      <c r="E34" s="251"/>
      <c r="F34" s="251"/>
      <c r="G34" s="169"/>
      <c r="H34" s="1"/>
      <c r="I34" s="294"/>
      <c r="J34" s="177"/>
      <c r="K34" s="251"/>
      <c r="L34" s="251"/>
      <c r="M34" s="251"/>
      <c r="N34" s="169"/>
      <c r="O34" s="1"/>
      <c r="P34" s="299"/>
      <c r="Q34" s="177"/>
      <c r="R34" s="251"/>
      <c r="S34" s="251"/>
      <c r="T34" s="251"/>
      <c r="U34" s="169"/>
      <c r="V34" s="1"/>
      <c r="W34" s="304"/>
      <c r="X34" s="177"/>
      <c r="Y34" s="192"/>
      <c r="Z34" s="251"/>
      <c r="AA34" s="251"/>
      <c r="AB34" s="169"/>
    </row>
    <row r="35" spans="2:28" ht="20.25" customHeight="1" x14ac:dyDescent="0.25">
      <c r="B35" s="335" t="s">
        <v>42</v>
      </c>
      <c r="C35" s="257">
        <f>COUNTIFS('1. ALL DATA'!$X$5:$X$128,"Value For Money Council Services",'1. ALL DATA'!$H$5:$H$128,"Completed behind schedule")</f>
        <v>0</v>
      </c>
      <c r="D35" s="258">
        <f>C35/C42</f>
        <v>0</v>
      </c>
      <c r="E35" s="462">
        <f>D35+D36</f>
        <v>3.4482758620689655E-2</v>
      </c>
      <c r="F35" s="258">
        <f>C35/C43</f>
        <v>0</v>
      </c>
      <c r="G35" s="463">
        <f>F35+F36</f>
        <v>5.128205128205128E-2</v>
      </c>
      <c r="I35" s="336" t="s">
        <v>42</v>
      </c>
      <c r="J35" s="257">
        <f>COUNTIFS('1. ALL DATA'!$X$5:$X$128,"Value For Money Council Services",'1. ALL DATA'!$M$5:$M$128,"Completed behind schedule")</f>
        <v>1</v>
      </c>
      <c r="K35" s="258">
        <f>J35/J42</f>
        <v>1.7241379310344827E-2</v>
      </c>
      <c r="L35" s="462">
        <f>K35+K36</f>
        <v>5.1724137931034482E-2</v>
      </c>
      <c r="M35" s="258">
        <f>J35/J43</f>
        <v>0.02</v>
      </c>
      <c r="N35" s="463">
        <f>M35+M36</f>
        <v>0.06</v>
      </c>
      <c r="P35" s="337" t="s">
        <v>42</v>
      </c>
      <c r="Q35" s="257">
        <f>COUNTIFS('1. ALL DATA'!$X$5:$X$128,"Value For Money Council Services",'1. ALL DATA'!$R$5:$R$128,"Completed behind schedule")</f>
        <v>2</v>
      </c>
      <c r="R35" s="258">
        <f>Q35/Q42</f>
        <v>3.4482758620689655E-2</v>
      </c>
      <c r="S35" s="462">
        <f>R35+R36</f>
        <v>5.1724137931034482E-2</v>
      </c>
      <c r="T35" s="258">
        <f>Q35/Q43</f>
        <v>3.8461538461538464E-2</v>
      </c>
      <c r="U35" s="463">
        <f>T35+T36</f>
        <v>5.7692307692307696E-2</v>
      </c>
      <c r="W35" s="337" t="s">
        <v>82</v>
      </c>
      <c r="X35" s="264">
        <f>COUNTIFS('1. ALL DATA'!$X$5:$X$128,"Value For Money Council Services",'1. ALL DATA'!$V$5:$V$128,"Completed Significantly After Target Deadline")</f>
        <v>0</v>
      </c>
      <c r="Y35" s="258">
        <f>X35/$X$42</f>
        <v>0</v>
      </c>
      <c r="Z35" s="462">
        <f>Y35+Y36</f>
        <v>0</v>
      </c>
      <c r="AA35" s="258" t="e">
        <f>X35/X43</f>
        <v>#DIV/0!</v>
      </c>
      <c r="AB35" s="463" t="e">
        <f>AA35+AA36</f>
        <v>#DIV/0!</v>
      </c>
    </row>
    <row r="36" spans="2:28" ht="20.25" customHeight="1" x14ac:dyDescent="0.25">
      <c r="B36" s="335" t="s">
        <v>27</v>
      </c>
      <c r="C36" s="257">
        <f>COUNTIFS('1. ALL DATA'!$X$5:$X$128,"Value For Money Council Services",'1. ALL DATA'!$H$5:$H$128,"Off target")</f>
        <v>2</v>
      </c>
      <c r="D36" s="258">
        <f>C36/C42</f>
        <v>3.4482758620689655E-2</v>
      </c>
      <c r="E36" s="462"/>
      <c r="F36" s="258">
        <f>C36/C43</f>
        <v>5.128205128205128E-2</v>
      </c>
      <c r="G36" s="463"/>
      <c r="I36" s="336" t="s">
        <v>27</v>
      </c>
      <c r="J36" s="257">
        <f>COUNTIFS('1. ALL DATA'!$X$5:$X$128,"Value For Money Council Services",'1. ALL DATA'!$M$5:$M$128,"Off target")</f>
        <v>2</v>
      </c>
      <c r="K36" s="258">
        <f>J36/J42</f>
        <v>3.4482758620689655E-2</v>
      </c>
      <c r="L36" s="462"/>
      <c r="M36" s="258">
        <f>J36/J43</f>
        <v>0.04</v>
      </c>
      <c r="N36" s="463"/>
      <c r="P36" s="337" t="s">
        <v>27</v>
      </c>
      <c r="Q36" s="257">
        <f>COUNTIFS('1. ALL DATA'!$X$5:$X$128,"Value For Money Council Services",'1. ALL DATA'!$R$5:$R$128,"Off target")</f>
        <v>1</v>
      </c>
      <c r="R36" s="258">
        <f>Q36/Q42</f>
        <v>1.7241379310344827E-2</v>
      </c>
      <c r="S36" s="462"/>
      <c r="T36" s="258">
        <f>Q36/Q43</f>
        <v>1.9230769230769232E-2</v>
      </c>
      <c r="U36" s="463"/>
      <c r="W36" s="337" t="s">
        <v>27</v>
      </c>
      <c r="X36" s="264">
        <f>COUNTIFS('1. ALL DATA'!$X$5:$X$128,"Value For Money Council Services",'1. ALL DATA'!$V$5:$V$128,"Off Target")</f>
        <v>0</v>
      </c>
      <c r="Y36" s="258">
        <f>X36/$X$42</f>
        <v>0</v>
      </c>
      <c r="Z36" s="462"/>
      <c r="AA36" s="258" t="e">
        <f>X36/X43</f>
        <v>#DIV/0!</v>
      </c>
      <c r="AB36" s="463"/>
    </row>
    <row r="37" spans="2:28" s="61" customFormat="1" ht="6.75" customHeight="1" x14ac:dyDescent="0.25">
      <c r="B37" s="167"/>
      <c r="C37" s="265"/>
      <c r="D37" s="251"/>
      <c r="E37" s="251"/>
      <c r="F37" s="251"/>
      <c r="G37" s="172"/>
      <c r="H37" s="1"/>
      <c r="I37" s="294"/>
      <c r="J37" s="265"/>
      <c r="K37" s="251"/>
      <c r="L37" s="251"/>
      <c r="M37" s="251"/>
      <c r="N37" s="172"/>
      <c r="O37" s="1"/>
      <c r="P37" s="177"/>
      <c r="Q37" s="265"/>
      <c r="R37" s="251"/>
      <c r="S37" s="251"/>
      <c r="T37" s="251"/>
      <c r="U37" s="172"/>
      <c r="V37" s="1"/>
      <c r="W37" s="266"/>
      <c r="X37" s="266"/>
      <c r="Y37" s="267"/>
      <c r="Z37" s="267"/>
      <c r="AA37" s="268"/>
      <c r="AB37" s="233"/>
    </row>
    <row r="38" spans="2:28" ht="15" customHeight="1" x14ac:dyDescent="0.25">
      <c r="B38" s="46" t="s">
        <v>1</v>
      </c>
      <c r="C38" s="269">
        <f>COUNTIFS('1. ALL DATA'!$X$5:$X$128,"Value For Money Council Services",'1. ALL DATA'!$H$5:$H$128,"Not yet due")</f>
        <v>19</v>
      </c>
      <c r="D38" s="252">
        <f>C38/C42</f>
        <v>0.32758620689655171</v>
      </c>
      <c r="E38" s="252">
        <f>D38</f>
        <v>0.32758620689655171</v>
      </c>
      <c r="F38" s="49"/>
      <c r="G38" s="45"/>
      <c r="I38" s="284" t="s">
        <v>1</v>
      </c>
      <c r="J38" s="269">
        <f>COUNTIFS('1. ALL DATA'!$X$5:$X$128,"Value For Money Council Services",'1. ALL DATA'!$M$5:$M$128,"Not yet due")</f>
        <v>8</v>
      </c>
      <c r="K38" s="252">
        <f>J38/J42</f>
        <v>0.13793103448275862</v>
      </c>
      <c r="L38" s="252">
        <f>K38</f>
        <v>0.13793103448275862</v>
      </c>
      <c r="M38" s="49"/>
      <c r="N38" s="45"/>
      <c r="P38" s="284" t="s">
        <v>1</v>
      </c>
      <c r="Q38" s="269">
        <f>COUNTIFS('1. ALL DATA'!$X$5:$X$128,"Value For Money Council Services",'1. ALL DATA'!$R$5:$R$128,"Not yet due")</f>
        <v>5</v>
      </c>
      <c r="R38" s="252">
        <f>Q38/Q42</f>
        <v>8.6206896551724144E-2</v>
      </c>
      <c r="S38" s="252">
        <f>R38</f>
        <v>8.6206896551724144E-2</v>
      </c>
      <c r="T38" s="49"/>
      <c r="U38" s="91"/>
      <c r="W38" s="288" t="s">
        <v>1</v>
      </c>
      <c r="X38" s="264">
        <f>COUNTIFS('1. ALL DATA'!$X$5:$X$128,"Value For Money Council Services",'1. ALL DATA'!$V$5:$V$128,"not yet due")</f>
        <v>0</v>
      </c>
      <c r="Y38" s="252">
        <f>X38/$X$42</f>
        <v>0</v>
      </c>
      <c r="Z38" s="252">
        <f>Y38</f>
        <v>0</v>
      </c>
      <c r="AA38" s="49"/>
      <c r="AB38" s="235"/>
    </row>
    <row r="39" spans="2:28" ht="15" customHeight="1" x14ac:dyDescent="0.25">
      <c r="B39" s="46" t="s">
        <v>46</v>
      </c>
      <c r="C39" s="269">
        <f>COUNTIFS('1. ALL DATA'!$X$5:$X$128,"Value For Money Council Services",'1. ALL DATA'!$H$5:$H$128,"Update not provided")</f>
        <v>0</v>
      </c>
      <c r="D39" s="252">
        <f>C39/C42</f>
        <v>0</v>
      </c>
      <c r="E39" s="252">
        <f>D39</f>
        <v>0</v>
      </c>
      <c r="F39" s="49"/>
      <c r="G39" s="96"/>
      <c r="I39" s="284" t="s">
        <v>46</v>
      </c>
      <c r="J39" s="269">
        <f>COUNTIFS('1. ALL DATA'!$X$5:$X$128,"Value For Money Council Services",'1. ALL DATA'!$M$5:$M$128,"Update not provided")</f>
        <v>0</v>
      </c>
      <c r="K39" s="252">
        <f>J39/J42</f>
        <v>0</v>
      </c>
      <c r="L39" s="252">
        <f>K39</f>
        <v>0</v>
      </c>
      <c r="M39" s="49"/>
      <c r="N39" s="96"/>
      <c r="P39" s="284" t="s">
        <v>46</v>
      </c>
      <c r="Q39" s="269">
        <f>COUNTIFS('1. ALL DATA'!$X$5:$X$128,"Value For Money Council Services",'1. ALL DATA'!$R$5:$R$128,"Update not provided")</f>
        <v>1</v>
      </c>
      <c r="R39" s="252">
        <f>Q39/Q42</f>
        <v>1.7241379310344827E-2</v>
      </c>
      <c r="S39" s="252">
        <f>R39</f>
        <v>1.7241379310344827E-2</v>
      </c>
      <c r="T39" s="49"/>
      <c r="U39" s="92"/>
      <c r="W39" s="289" t="s">
        <v>46</v>
      </c>
      <c r="X39" s="264">
        <f>COUNTIFS('1. ALL DATA'!$X$5:$X$128,"Value For Money Council Services",'1. ALL DATA'!$V$5:$V$128,"update not provided")</f>
        <v>58</v>
      </c>
      <c r="Y39" s="252">
        <f>X39/$X$42</f>
        <v>1</v>
      </c>
      <c r="Z39" s="252">
        <f>Y39</f>
        <v>1</v>
      </c>
      <c r="AA39" s="49"/>
    </row>
    <row r="40" spans="2:28" ht="15.75" customHeight="1" x14ac:dyDescent="0.25">
      <c r="B40" s="47" t="s">
        <v>22</v>
      </c>
      <c r="C40" s="269">
        <f>COUNTIFS('1. ALL DATA'!$X$5:$X$128,"Value For Money Council Services",'1. ALL DATA'!$H$5:$H$128,"Deferred")</f>
        <v>0</v>
      </c>
      <c r="D40" s="253">
        <f>C40/C42</f>
        <v>0</v>
      </c>
      <c r="E40" s="253">
        <f>D40</f>
        <v>0</v>
      </c>
      <c r="F40" s="44"/>
      <c r="G40" s="45"/>
      <c r="I40" s="285" t="s">
        <v>22</v>
      </c>
      <c r="J40" s="269">
        <f>COUNTIFS('1. ALL DATA'!$X$5:$X$128,"Value For Money Council Services",'1. ALL DATA'!$M$5:$M$128,"Deferred")</f>
        <v>0</v>
      </c>
      <c r="K40" s="253">
        <f>J40/J42</f>
        <v>0</v>
      </c>
      <c r="L40" s="253">
        <f>K40</f>
        <v>0</v>
      </c>
      <c r="M40" s="44"/>
      <c r="N40" s="45"/>
      <c r="P40" s="285" t="s">
        <v>22</v>
      </c>
      <c r="Q40" s="269">
        <f>COUNTIFS('1. ALL DATA'!$X$5:$X$128,"Value For Money Council Services",'1. ALL DATA'!$R$5:$R$128,"Deferred")</f>
        <v>0</v>
      </c>
      <c r="R40" s="253">
        <f>Q40/Q42</f>
        <v>0</v>
      </c>
      <c r="S40" s="253">
        <f>R40</f>
        <v>0</v>
      </c>
      <c r="T40" s="44"/>
      <c r="U40" s="91"/>
      <c r="W40" s="285" t="s">
        <v>22</v>
      </c>
      <c r="X40" s="264">
        <f>COUNTIFS('1. ALL DATA'!$X$5:$X$128,"Value For Money Council Services",'1. ALL DATA'!$V$5:$V$128,"Deferred")</f>
        <v>0</v>
      </c>
      <c r="Y40" s="253">
        <f>X40/$X$42</f>
        <v>0</v>
      </c>
      <c r="Z40" s="253">
        <f>Y40</f>
        <v>0</v>
      </c>
      <c r="AA40" s="44"/>
      <c r="AB40" s="235"/>
    </row>
    <row r="41" spans="2:28" ht="15.75" customHeight="1" x14ac:dyDescent="0.25">
      <c r="B41" s="47" t="s">
        <v>28</v>
      </c>
      <c r="C41" s="269">
        <f>COUNTIFS('1. ALL DATA'!$X$5:$X$128,"Value For Money Council Services",'1. ALL DATA'!$H$5:$H$128,"Deleted")</f>
        <v>0</v>
      </c>
      <c r="D41" s="253">
        <f>C41/C42</f>
        <v>0</v>
      </c>
      <c r="E41" s="253">
        <f>D41</f>
        <v>0</v>
      </c>
      <c r="F41" s="44"/>
      <c r="G41" s="236" t="s">
        <v>62</v>
      </c>
      <c r="I41" s="285" t="s">
        <v>28</v>
      </c>
      <c r="J41" s="269">
        <f>COUNTIFS('1. ALL DATA'!$X$5:$X$128,"Value For Money Council Services",'1. ALL DATA'!$M$5:$M$128,"Deleted")</f>
        <v>0</v>
      </c>
      <c r="K41" s="253">
        <f>J41/J42</f>
        <v>0</v>
      </c>
      <c r="L41" s="253">
        <f>K41</f>
        <v>0</v>
      </c>
      <c r="M41" s="44"/>
      <c r="N41" s="236" t="s">
        <v>62</v>
      </c>
      <c r="P41" s="285" t="s">
        <v>28</v>
      </c>
      <c r="Q41" s="269">
        <f>COUNTIFS('1. ALL DATA'!$X$5:$X$128,"Value For Money Council Services",'1. ALL DATA'!$R$5:$R$128,"Deleted")</f>
        <v>0</v>
      </c>
      <c r="R41" s="253">
        <f>Q41/Q42</f>
        <v>0</v>
      </c>
      <c r="S41" s="253">
        <f>R41</f>
        <v>0</v>
      </c>
      <c r="T41" s="44"/>
      <c r="U41" s="236" t="s">
        <v>62</v>
      </c>
      <c r="W41" s="285" t="s">
        <v>28</v>
      </c>
      <c r="X41" s="264">
        <f>COUNTIFS('1. ALL DATA'!$X$5:$X$128,"Value For Money Council Services",'1. ALL DATA'!$V$5:$V$128,"Deleted")</f>
        <v>0</v>
      </c>
      <c r="Y41" s="253">
        <f>X41/$X$42</f>
        <v>0</v>
      </c>
      <c r="Z41" s="253">
        <f>Y41</f>
        <v>0</v>
      </c>
      <c r="AA41" s="44"/>
      <c r="AB41" s="236" t="s">
        <v>62</v>
      </c>
    </row>
    <row r="42" spans="2:28" ht="15.75" customHeight="1" x14ac:dyDescent="0.25">
      <c r="B42" s="48" t="s">
        <v>30</v>
      </c>
      <c r="C42" s="271">
        <f>SUM(C28:C41)</f>
        <v>58</v>
      </c>
      <c r="D42" s="44"/>
      <c r="E42" s="44"/>
      <c r="F42" s="45"/>
      <c r="G42" s="45"/>
      <c r="I42" s="286" t="s">
        <v>30</v>
      </c>
      <c r="J42" s="271">
        <f>SUM(J28:J41)</f>
        <v>58</v>
      </c>
      <c r="K42" s="44"/>
      <c r="L42" s="44"/>
      <c r="M42" s="45"/>
      <c r="N42" s="45"/>
      <c r="P42" s="286" t="s">
        <v>30</v>
      </c>
      <c r="Q42" s="271">
        <f>SUM(Q28:Q41)</f>
        <v>58</v>
      </c>
      <c r="R42" s="44"/>
      <c r="S42" s="44"/>
      <c r="T42" s="45"/>
      <c r="U42" s="91"/>
      <c r="W42" s="286" t="s">
        <v>30</v>
      </c>
      <c r="X42" s="272">
        <f>SUM(X28:X41)</f>
        <v>58</v>
      </c>
      <c r="Y42" s="44"/>
      <c r="Z42" s="44"/>
      <c r="AA42" s="45"/>
      <c r="AB42" s="235"/>
    </row>
    <row r="43" spans="2:28" ht="15.75" customHeight="1" x14ac:dyDescent="0.25">
      <c r="B43" s="48" t="s">
        <v>31</v>
      </c>
      <c r="C43" s="271">
        <f>C42-C41-C40-C39-C38</f>
        <v>39</v>
      </c>
      <c r="D43" s="45"/>
      <c r="E43" s="45"/>
      <c r="F43" s="45"/>
      <c r="G43" s="45"/>
      <c r="I43" s="286" t="s">
        <v>31</v>
      </c>
      <c r="J43" s="271">
        <f>J42-J41-J40-J39-J38</f>
        <v>50</v>
      </c>
      <c r="K43" s="45"/>
      <c r="L43" s="45"/>
      <c r="M43" s="45"/>
      <c r="N43" s="45"/>
      <c r="P43" s="286" t="s">
        <v>31</v>
      </c>
      <c r="Q43" s="271">
        <f>Q42-Q41-Q40-Q39-Q38</f>
        <v>52</v>
      </c>
      <c r="R43" s="45"/>
      <c r="S43" s="45"/>
      <c r="T43" s="45"/>
      <c r="U43" s="91"/>
      <c r="W43" s="286" t="s">
        <v>31</v>
      </c>
      <c r="X43" s="272">
        <f>X42-X41-X40-X39-X38</f>
        <v>0</v>
      </c>
      <c r="Y43" s="45"/>
      <c r="Z43" s="45"/>
      <c r="AA43" s="45"/>
      <c r="AB43" s="235"/>
    </row>
    <row r="44" spans="2:28" ht="15.75" customHeight="1" x14ac:dyDescent="0.25">
      <c r="P44" s="287"/>
      <c r="W44" s="290"/>
      <c r="X44" s="1"/>
      <c r="Y44" s="1"/>
      <c r="Z44" s="1"/>
      <c r="AA44" s="45"/>
      <c r="AB44" s="235"/>
    </row>
    <row r="45" spans="2:28" ht="15.75" customHeight="1" x14ac:dyDescent="0.25"/>
    <row r="46" spans="2:28" s="61" customFormat="1" ht="15.75" customHeight="1" x14ac:dyDescent="0.25">
      <c r="B46" s="63"/>
      <c r="C46" s="1"/>
      <c r="D46" s="1"/>
      <c r="E46" s="1"/>
      <c r="F46" s="45"/>
      <c r="G46" s="1"/>
      <c r="H46" s="1"/>
      <c r="I46" s="274"/>
      <c r="J46" s="1"/>
      <c r="K46" s="1"/>
      <c r="L46" s="1"/>
      <c r="M46" s="45"/>
      <c r="N46" s="1"/>
      <c r="O46" s="1"/>
      <c r="P46" s="274"/>
      <c r="Q46" s="1"/>
      <c r="R46" s="1"/>
      <c r="S46" s="1"/>
      <c r="T46" s="45"/>
      <c r="U46" s="88"/>
      <c r="V46" s="1"/>
      <c r="W46" s="1"/>
      <c r="X46" s="1"/>
      <c r="Y46" s="1"/>
      <c r="Z46" s="1"/>
      <c r="AA46" s="1"/>
      <c r="AB46" s="235"/>
    </row>
    <row r="47" spans="2:28" ht="15.75" customHeight="1" x14ac:dyDescent="0.25">
      <c r="B47" s="138" t="s">
        <v>214</v>
      </c>
      <c r="C47" s="80"/>
      <c r="D47" s="80"/>
      <c r="E47" s="80"/>
      <c r="F47" s="77"/>
      <c r="G47" s="80"/>
      <c r="I47" s="295" t="s">
        <v>214</v>
      </c>
      <c r="J47" s="181"/>
      <c r="K47" s="181"/>
      <c r="L47" s="181"/>
      <c r="M47" s="175"/>
      <c r="N47" s="182"/>
      <c r="P47" s="300" t="s">
        <v>214</v>
      </c>
      <c r="Q47" s="80"/>
      <c r="R47" s="80"/>
      <c r="S47" s="80"/>
      <c r="T47" s="77"/>
      <c r="U47" s="93"/>
      <c r="W47" s="300" t="s">
        <v>214</v>
      </c>
      <c r="X47" s="77"/>
      <c r="Y47" s="77"/>
      <c r="Z47" s="77"/>
      <c r="AA47" s="77"/>
      <c r="AB47" s="230"/>
    </row>
    <row r="48" spans="2:28" ht="36" customHeight="1" x14ac:dyDescent="0.25">
      <c r="B48" s="68" t="s">
        <v>23</v>
      </c>
      <c r="C48" s="78" t="s">
        <v>24</v>
      </c>
      <c r="D48" s="78" t="s">
        <v>18</v>
      </c>
      <c r="E48" s="78" t="s">
        <v>48</v>
      </c>
      <c r="F48" s="78" t="s">
        <v>29</v>
      </c>
      <c r="G48" s="78" t="s">
        <v>49</v>
      </c>
      <c r="I48" s="78" t="s">
        <v>23</v>
      </c>
      <c r="J48" s="78" t="s">
        <v>24</v>
      </c>
      <c r="K48" s="78" t="s">
        <v>18</v>
      </c>
      <c r="L48" s="78" t="s">
        <v>48</v>
      </c>
      <c r="M48" s="78" t="s">
        <v>29</v>
      </c>
      <c r="N48" s="78" t="s">
        <v>49</v>
      </c>
      <c r="P48" s="78" t="s">
        <v>23</v>
      </c>
      <c r="Q48" s="78" t="s">
        <v>24</v>
      </c>
      <c r="R48" s="78" t="s">
        <v>18</v>
      </c>
      <c r="S48" s="78" t="s">
        <v>48</v>
      </c>
      <c r="T48" s="78" t="s">
        <v>29</v>
      </c>
      <c r="U48" s="85" t="s">
        <v>49</v>
      </c>
      <c r="W48" s="78" t="s">
        <v>23</v>
      </c>
      <c r="X48" s="78" t="s">
        <v>24</v>
      </c>
      <c r="Y48" s="78" t="s">
        <v>18</v>
      </c>
      <c r="Z48" s="78" t="s">
        <v>48</v>
      </c>
      <c r="AA48" s="78" t="s">
        <v>29</v>
      </c>
      <c r="AB48" s="231" t="s">
        <v>49</v>
      </c>
    </row>
    <row r="49" spans="2:32" s="59" customFormat="1" ht="7.5" customHeight="1" x14ac:dyDescent="0.25">
      <c r="B49" s="51"/>
      <c r="C49" s="54"/>
      <c r="D49" s="54"/>
      <c r="E49" s="54"/>
      <c r="F49" s="54"/>
      <c r="G49" s="54"/>
      <c r="H49" s="261"/>
      <c r="I49" s="54"/>
      <c r="J49" s="54"/>
      <c r="K49" s="54"/>
      <c r="L49" s="54"/>
      <c r="M49" s="54"/>
      <c r="N49" s="54"/>
      <c r="O49" s="261"/>
      <c r="P49" s="54"/>
      <c r="Q49" s="54"/>
      <c r="R49" s="54"/>
      <c r="S49" s="54"/>
      <c r="T49" s="54"/>
      <c r="U49" s="86"/>
      <c r="V49" s="261"/>
      <c r="W49" s="54"/>
      <c r="X49" s="54"/>
      <c r="Y49" s="54"/>
      <c r="Z49" s="54"/>
      <c r="AA49" s="54"/>
      <c r="AB49" s="237"/>
      <c r="AD49" s="61"/>
      <c r="AE49" s="61"/>
      <c r="AF49" s="61"/>
    </row>
    <row r="50" spans="2:32" ht="18.75" customHeight="1" x14ac:dyDescent="0.25">
      <c r="B50" s="247" t="s">
        <v>45</v>
      </c>
      <c r="C50" s="257">
        <f>COUNTIFS('1. ALL DATA'!$X$5:$X$128,"PROMOTING LOCAL ECONOMIC GROWTH",'1. ALL DATA'!$H$5:$H$128,"Fully Achieved")</f>
        <v>0</v>
      </c>
      <c r="D50" s="258">
        <f>C50/C64</f>
        <v>0</v>
      </c>
      <c r="E50" s="462">
        <f>D50+D51</f>
        <v>0.7857142857142857</v>
      </c>
      <c r="F50" s="258">
        <f>C50/C65</f>
        <v>0</v>
      </c>
      <c r="G50" s="459">
        <f>F50+F51</f>
        <v>0.91666666666666663</v>
      </c>
      <c r="I50" s="291" t="s">
        <v>45</v>
      </c>
      <c r="J50" s="257">
        <f>COUNTIFS('1. ALL DATA'!$X$5:$X$128,"PROMOTING LOCAL ECONOMIC GROWTH",'1. ALL DATA'!$M$5:$M$128,"Fully Achieved")</f>
        <v>3</v>
      </c>
      <c r="K50" s="258">
        <f>J50/J64</f>
        <v>0.21428571428571427</v>
      </c>
      <c r="L50" s="462">
        <f>K50+K51</f>
        <v>0.7857142857142857</v>
      </c>
      <c r="M50" s="258">
        <f>J50/J65</f>
        <v>0.25</v>
      </c>
      <c r="N50" s="459">
        <f>M50+M51</f>
        <v>0.91666666666666663</v>
      </c>
      <c r="P50" s="296" t="s">
        <v>45</v>
      </c>
      <c r="Q50" s="257">
        <f>COUNTIFS('1. ALL DATA'!$X$5:$X$128,"PROMOTING LOCAL ECONOMIC GROWTH",'1. ALL DATA'!$R$5:$R$128,"Fully Achieved")</f>
        <v>4</v>
      </c>
      <c r="R50" s="258">
        <f>Q50/Q64</f>
        <v>0.2857142857142857</v>
      </c>
      <c r="S50" s="462">
        <f>R50+R51</f>
        <v>0.7857142857142857</v>
      </c>
      <c r="T50" s="258">
        <f>Q50/Q65</f>
        <v>0.33333333333333331</v>
      </c>
      <c r="U50" s="459">
        <f>T50+T51</f>
        <v>0.91666666666666674</v>
      </c>
      <c r="W50" s="291" t="s">
        <v>40</v>
      </c>
      <c r="X50" s="259">
        <f>COUNTIFS('1. ALL DATA'!$X$5:$X$128,"PROMOTING LOCAL ECONOMIC GROWTH",'1. ALL DATA'!$V$5:$V$128,"Fully Achieved")</f>
        <v>0</v>
      </c>
      <c r="Y50" s="258">
        <f>X50/$X$64</f>
        <v>0</v>
      </c>
      <c r="Z50" s="462">
        <f>Y50+Y51</f>
        <v>0</v>
      </c>
      <c r="AA50" s="258" t="e">
        <f>X50/$X$65</f>
        <v>#DIV/0!</v>
      </c>
      <c r="AB50" s="459" t="e">
        <f>AA50+AA51</f>
        <v>#DIV/0!</v>
      </c>
    </row>
    <row r="51" spans="2:32" ht="18.75" customHeight="1" x14ac:dyDescent="0.25">
      <c r="B51" s="247" t="s">
        <v>41</v>
      </c>
      <c r="C51" s="257">
        <f>COUNTIFS('1. ALL DATA'!$X$5:$X$128,"PROMOTING LOCAL ECONOMIC GROWTH",'1. ALL DATA'!$H$5:$H$128,"On track to be achieved")</f>
        <v>11</v>
      </c>
      <c r="D51" s="258">
        <f>C51/C64</f>
        <v>0.7857142857142857</v>
      </c>
      <c r="E51" s="462"/>
      <c r="F51" s="258">
        <f>C51/C65</f>
        <v>0.91666666666666663</v>
      </c>
      <c r="G51" s="459"/>
      <c r="I51" s="291" t="s">
        <v>41</v>
      </c>
      <c r="J51" s="257">
        <f>COUNTIFS('1. ALL DATA'!$X$5:$X$128,"PROMOTING LOCAL ECONOMIC GROWTH",'1. ALL DATA'!$M$5:$M$128,"On track to be achieved")</f>
        <v>8</v>
      </c>
      <c r="K51" s="258">
        <f>J51/J64</f>
        <v>0.5714285714285714</v>
      </c>
      <c r="L51" s="462"/>
      <c r="M51" s="258">
        <f>J51/J65</f>
        <v>0.66666666666666663</v>
      </c>
      <c r="N51" s="459"/>
      <c r="P51" s="296" t="s">
        <v>41</v>
      </c>
      <c r="Q51" s="257">
        <f>COUNTIFS('1. ALL DATA'!$X$5:$X$128,"PROMOTING LOCAL ECONOMIC GROWTH",'1. ALL DATA'!$R$5:$R$128,"On track to be achieved")</f>
        <v>7</v>
      </c>
      <c r="R51" s="258">
        <f>Q51/Q64</f>
        <v>0.5</v>
      </c>
      <c r="S51" s="462"/>
      <c r="T51" s="258">
        <f>Q51/Q65</f>
        <v>0.58333333333333337</v>
      </c>
      <c r="U51" s="459"/>
      <c r="W51" s="291" t="s">
        <v>79</v>
      </c>
      <c r="X51" s="259">
        <f>COUNTIFS('1. ALL DATA'!$X$5:$X$128,"PROMOTING LOCAL ECONOMIC GROWTH",'1. ALL DATA'!$V$5:$V$128,"Numerical Outturn Within 5% Tolerance")</f>
        <v>0</v>
      </c>
      <c r="Y51" s="258">
        <f>X51/$X$64</f>
        <v>0</v>
      </c>
      <c r="Z51" s="462"/>
      <c r="AA51" s="258" t="e">
        <f>X51/$X$65</f>
        <v>#DIV/0!</v>
      </c>
      <c r="AB51" s="459"/>
    </row>
    <row r="52" spans="2:32" s="59" customFormat="1" ht="6.75" customHeight="1" x14ac:dyDescent="0.25">
      <c r="B52" s="51"/>
      <c r="C52" s="260"/>
      <c r="D52" s="192"/>
      <c r="E52" s="192"/>
      <c r="F52" s="192"/>
      <c r="G52" s="52"/>
      <c r="H52" s="261"/>
      <c r="I52" s="292"/>
      <c r="J52" s="260"/>
      <c r="K52" s="192"/>
      <c r="L52" s="192"/>
      <c r="M52" s="192"/>
      <c r="N52" s="52"/>
      <c r="O52" s="261"/>
      <c r="P52" s="297"/>
      <c r="Q52" s="260"/>
      <c r="R52" s="192"/>
      <c r="S52" s="192"/>
      <c r="T52" s="192"/>
      <c r="U52" s="52"/>
      <c r="V52" s="261"/>
      <c r="W52" s="304"/>
      <c r="X52" s="54"/>
      <c r="Y52" s="192"/>
      <c r="Z52" s="192"/>
      <c r="AA52" s="192"/>
      <c r="AB52" s="52"/>
      <c r="AD52" s="61"/>
      <c r="AE52" s="61"/>
      <c r="AF52" s="61"/>
    </row>
    <row r="53" spans="2:32" ht="19.5" customHeight="1" x14ac:dyDescent="0.25">
      <c r="B53" s="460" t="s">
        <v>26</v>
      </c>
      <c r="C53" s="461">
        <f>COUNTIFS('1. ALL DATA'!$X$5:$X$128,"PROMOTING LOCAL ECONOMIC GROWTH",'1. ALL DATA'!$H$5:$H$128,"In danger of falling behind target")</f>
        <v>0</v>
      </c>
      <c r="D53" s="462">
        <f>C53/C64</f>
        <v>0</v>
      </c>
      <c r="E53" s="462">
        <f>D53</f>
        <v>0</v>
      </c>
      <c r="F53" s="462">
        <f>C53/C65</f>
        <v>0</v>
      </c>
      <c r="G53" s="464">
        <f>F53</f>
        <v>0</v>
      </c>
      <c r="I53" s="460" t="s">
        <v>26</v>
      </c>
      <c r="J53" s="461">
        <f>COUNTIFS('1. ALL DATA'!$X$5:$X$128,"PROMOTING LOCAL ECONOMIC GROWTH",'1. ALL DATA'!$M$5:$M$128,"In danger of falling behind target")</f>
        <v>0</v>
      </c>
      <c r="K53" s="462">
        <f>J53/J64</f>
        <v>0</v>
      </c>
      <c r="L53" s="462">
        <f>K53</f>
        <v>0</v>
      </c>
      <c r="M53" s="462">
        <f>J53/J65</f>
        <v>0</v>
      </c>
      <c r="N53" s="464">
        <f>M53</f>
        <v>0</v>
      </c>
      <c r="P53" s="460" t="s">
        <v>26</v>
      </c>
      <c r="Q53" s="461">
        <f>COUNTIFS('1. ALL DATA'!$X$5:$X$128,"PROMOTING LOCAL ECONOMIC GROWTH",'1. ALL DATA'!$R$5:$R$128,"In danger of falling behind target")</f>
        <v>0</v>
      </c>
      <c r="R53" s="462">
        <f>Q53/Q64</f>
        <v>0</v>
      </c>
      <c r="S53" s="462">
        <f>R53</f>
        <v>0</v>
      </c>
      <c r="T53" s="462">
        <f>Q53/Q65</f>
        <v>0</v>
      </c>
      <c r="U53" s="464">
        <f>T53</f>
        <v>0</v>
      </c>
      <c r="W53" s="293" t="s">
        <v>80</v>
      </c>
      <c r="X53" s="259">
        <f>COUNTIFS('1. ALL DATA'!$X$5:$X$128,"PROMOTING LOCAL ECONOMIC GROWTH",'1. ALL DATA'!$V$5:$V$128,"Numerical Outturn Within 10% Tolerance")</f>
        <v>0</v>
      </c>
      <c r="Y53" s="258">
        <f>X53/$X$64</f>
        <v>0</v>
      </c>
      <c r="Z53" s="465">
        <f>SUM(Y53:Y55)</f>
        <v>0</v>
      </c>
      <c r="AA53" s="263" t="e">
        <f>X53/$X$65</f>
        <v>#DIV/0!</v>
      </c>
      <c r="AB53" s="464" t="e">
        <f>SUM(AA53:AA55)</f>
        <v>#DIV/0!</v>
      </c>
    </row>
    <row r="54" spans="2:32" ht="19.5" customHeight="1" x14ac:dyDescent="0.25">
      <c r="B54" s="460"/>
      <c r="C54" s="461"/>
      <c r="D54" s="462"/>
      <c r="E54" s="462"/>
      <c r="F54" s="462"/>
      <c r="G54" s="464"/>
      <c r="I54" s="460"/>
      <c r="J54" s="461"/>
      <c r="K54" s="462"/>
      <c r="L54" s="462"/>
      <c r="M54" s="462"/>
      <c r="N54" s="464"/>
      <c r="P54" s="460"/>
      <c r="Q54" s="461"/>
      <c r="R54" s="462"/>
      <c r="S54" s="462"/>
      <c r="T54" s="462"/>
      <c r="U54" s="464"/>
      <c r="W54" s="293" t="s">
        <v>81</v>
      </c>
      <c r="X54" s="259">
        <f>COUNTIFS('1. ALL DATA'!$X$5:$X$128,"PROMOTING LOCAL ECONOMIC GROWTH",'1. ALL DATA'!$V$5:$V$128,"Target Partially Met")</f>
        <v>0</v>
      </c>
      <c r="Y54" s="258">
        <f>X54/$X$64</f>
        <v>0</v>
      </c>
      <c r="Z54" s="466"/>
      <c r="AA54" s="263" t="e">
        <f>X54/$X$65</f>
        <v>#DIV/0!</v>
      </c>
      <c r="AB54" s="464"/>
    </row>
    <row r="55" spans="2:32" ht="19.5" customHeight="1" x14ac:dyDescent="0.25">
      <c r="B55" s="460"/>
      <c r="C55" s="461"/>
      <c r="D55" s="462"/>
      <c r="E55" s="462"/>
      <c r="F55" s="462"/>
      <c r="G55" s="464"/>
      <c r="I55" s="460"/>
      <c r="J55" s="461"/>
      <c r="K55" s="462"/>
      <c r="L55" s="462"/>
      <c r="M55" s="462"/>
      <c r="N55" s="464"/>
      <c r="P55" s="460"/>
      <c r="Q55" s="461"/>
      <c r="R55" s="462"/>
      <c r="S55" s="462"/>
      <c r="T55" s="462"/>
      <c r="U55" s="464"/>
      <c r="W55" s="293" t="s">
        <v>83</v>
      </c>
      <c r="X55" s="259">
        <f>COUNTIFS('1. ALL DATA'!$X$5:$X$128,"PROMOTING LOCAL ECONOMIC GROWTH",'1. ALL DATA'!$V$5:$V$128,"Completion Date Within Reasonable Tolerance")</f>
        <v>0</v>
      </c>
      <c r="Y55" s="258">
        <f>X55/$X$64</f>
        <v>0</v>
      </c>
      <c r="Z55" s="467"/>
      <c r="AA55" s="263" t="e">
        <f>X55/$X$65</f>
        <v>#DIV/0!</v>
      </c>
      <c r="AB55" s="464"/>
    </row>
    <row r="56" spans="2:32" s="59" customFormat="1" ht="6" customHeight="1" x14ac:dyDescent="0.25">
      <c r="B56" s="167"/>
      <c r="C56" s="54"/>
      <c r="D56" s="192"/>
      <c r="E56" s="192"/>
      <c r="F56" s="192"/>
      <c r="G56" s="169"/>
      <c r="H56" s="261"/>
      <c r="I56" s="294"/>
      <c r="J56" s="54"/>
      <c r="K56" s="192"/>
      <c r="L56" s="192"/>
      <c r="M56" s="192"/>
      <c r="N56" s="169"/>
      <c r="O56" s="261"/>
      <c r="P56" s="299"/>
      <c r="Q56" s="54"/>
      <c r="R56" s="192"/>
      <c r="S56" s="192"/>
      <c r="T56" s="192"/>
      <c r="U56" s="169"/>
      <c r="V56" s="261"/>
      <c r="W56" s="304"/>
      <c r="X56" s="54"/>
      <c r="Y56" s="192"/>
      <c r="Z56" s="192"/>
      <c r="AA56" s="192"/>
      <c r="AB56" s="169"/>
      <c r="AD56" s="61"/>
      <c r="AE56" s="61"/>
      <c r="AF56" s="61"/>
    </row>
    <row r="57" spans="2:32" ht="22.5" customHeight="1" x14ac:dyDescent="0.25">
      <c r="B57" s="335" t="s">
        <v>42</v>
      </c>
      <c r="C57" s="257">
        <f>COUNTIFS('1. ALL DATA'!$X$5:$X$128,"PROMOTING LOCAL ECONOMIC GROWTH",'1. ALL DATA'!$H$5:$H$128,"Completed behind schedule")</f>
        <v>0</v>
      </c>
      <c r="D57" s="258">
        <f>C57/C64</f>
        <v>0</v>
      </c>
      <c r="E57" s="462">
        <f>D57+D58</f>
        <v>7.1428571428571425E-2</v>
      </c>
      <c r="F57" s="258">
        <f>C57/C65</f>
        <v>0</v>
      </c>
      <c r="G57" s="463">
        <f>F57+F58</f>
        <v>8.3333333333333329E-2</v>
      </c>
      <c r="I57" s="336" t="s">
        <v>42</v>
      </c>
      <c r="J57" s="257">
        <f>COUNTIFS('1. ALL DATA'!$X$5:$X$128,"PROMOTING LOCAL ECONOMIC GROWTH",'1. ALL DATA'!$M$5:$M$128,"Completed behind schedule")</f>
        <v>0</v>
      </c>
      <c r="K57" s="258">
        <f>J57/J64</f>
        <v>0</v>
      </c>
      <c r="L57" s="462">
        <f>K57+K58</f>
        <v>7.1428571428571425E-2</v>
      </c>
      <c r="M57" s="258">
        <f>J57/J65</f>
        <v>0</v>
      </c>
      <c r="N57" s="463">
        <f>M57+M58</f>
        <v>8.3333333333333329E-2</v>
      </c>
      <c r="P57" s="337" t="s">
        <v>42</v>
      </c>
      <c r="Q57" s="257">
        <f>COUNTIFS('1. ALL DATA'!$X$5:$X$128,"PROMOTING LOCAL ECONOMIC GROWTH",'1. ALL DATA'!$R$5:$R$128,"Completed behind schedule")</f>
        <v>0</v>
      </c>
      <c r="R57" s="258">
        <f>Q57/Q64</f>
        <v>0</v>
      </c>
      <c r="S57" s="462">
        <f>R57+R58</f>
        <v>7.1428571428571425E-2</v>
      </c>
      <c r="T57" s="258">
        <f>Q57/Q65</f>
        <v>0</v>
      </c>
      <c r="U57" s="463">
        <f>T57+T58</f>
        <v>8.3333333333333329E-2</v>
      </c>
      <c r="W57" s="336" t="s">
        <v>82</v>
      </c>
      <c r="X57" s="264">
        <f>COUNTIFS('1. ALL DATA'!$X$5:$X$128,"PROMOTING LOCAL ECONOMIC GROWTH",'1. ALL DATA'!$V$5:$V$128,"Completed Significantly After Target Deadline")</f>
        <v>0</v>
      </c>
      <c r="Y57" s="258">
        <f>X57/$X$64</f>
        <v>0</v>
      </c>
      <c r="Z57" s="462">
        <f>Y57+Y58</f>
        <v>0</v>
      </c>
      <c r="AA57" s="258" t="e">
        <f>X57/$X$65</f>
        <v>#DIV/0!</v>
      </c>
      <c r="AB57" s="463" t="e">
        <f>AA57+AA58</f>
        <v>#DIV/0!</v>
      </c>
    </row>
    <row r="58" spans="2:32" ht="22.5" customHeight="1" x14ac:dyDescent="0.25">
      <c r="B58" s="335" t="s">
        <v>27</v>
      </c>
      <c r="C58" s="257">
        <f>COUNTIFS('1. ALL DATA'!$X$5:$X$128,"PROMOTING LOCAL ECONOMIC GROWTH",'1. ALL DATA'!$H$5:$H$128,"Off target")</f>
        <v>1</v>
      </c>
      <c r="D58" s="258">
        <f>C58/C64</f>
        <v>7.1428571428571425E-2</v>
      </c>
      <c r="E58" s="462"/>
      <c r="F58" s="258">
        <f>C58/C65</f>
        <v>8.3333333333333329E-2</v>
      </c>
      <c r="G58" s="463"/>
      <c r="I58" s="336" t="s">
        <v>27</v>
      </c>
      <c r="J58" s="257">
        <f>COUNTIFS('1. ALL DATA'!$X$5:$X$128,"PROMOTING LOCAL ECONOMIC GROWTH",'1. ALL DATA'!$M$5:$M$128,"Off target")</f>
        <v>1</v>
      </c>
      <c r="K58" s="258">
        <f>J58/J64</f>
        <v>7.1428571428571425E-2</v>
      </c>
      <c r="L58" s="462"/>
      <c r="M58" s="258">
        <f>J58/J65</f>
        <v>8.3333333333333329E-2</v>
      </c>
      <c r="N58" s="463"/>
      <c r="P58" s="337" t="s">
        <v>27</v>
      </c>
      <c r="Q58" s="257">
        <f>COUNTIFS('1. ALL DATA'!$X$5:$X$128,"PROMOTING LOCAL ECONOMIC GROWTH",'1. ALL DATA'!$R$5:$R$128,"Off target")</f>
        <v>1</v>
      </c>
      <c r="R58" s="258">
        <f>Q58/Q64</f>
        <v>7.1428571428571425E-2</v>
      </c>
      <c r="S58" s="462"/>
      <c r="T58" s="258">
        <f>Q58/Q65</f>
        <v>8.3333333333333329E-2</v>
      </c>
      <c r="U58" s="463"/>
      <c r="W58" s="336" t="s">
        <v>27</v>
      </c>
      <c r="X58" s="264">
        <f>COUNTIFS('1. ALL DATA'!$X$5:$X$128,"PROMOTING LOCAL ECONOMIC GROWTH",'1. ALL DATA'!$V$5:$V$128,"Off Target")</f>
        <v>0</v>
      </c>
      <c r="Y58" s="258">
        <f>X58/$X$64</f>
        <v>0</v>
      </c>
      <c r="Z58" s="462"/>
      <c r="AA58" s="258" t="e">
        <f>X58/$X$65</f>
        <v>#DIV/0!</v>
      </c>
      <c r="AB58" s="463"/>
    </row>
    <row r="59" spans="2:32" s="59" customFormat="1" ht="6.75" customHeight="1" x14ac:dyDescent="0.25">
      <c r="B59" s="51"/>
      <c r="C59" s="260"/>
      <c r="D59" s="192"/>
      <c r="E59" s="192"/>
      <c r="F59" s="192"/>
      <c r="G59" s="90"/>
      <c r="H59" s="261"/>
      <c r="I59" s="54"/>
      <c r="J59" s="260"/>
      <c r="K59" s="192"/>
      <c r="L59" s="192"/>
      <c r="M59" s="192"/>
      <c r="N59" s="90"/>
      <c r="O59" s="261"/>
      <c r="P59" s="54"/>
      <c r="Q59" s="260"/>
      <c r="R59" s="192"/>
      <c r="S59" s="192"/>
      <c r="T59" s="192"/>
      <c r="U59" s="90"/>
      <c r="V59" s="261"/>
      <c r="W59" s="275"/>
      <c r="X59" s="275"/>
      <c r="Y59" s="276"/>
      <c r="Z59" s="276"/>
      <c r="AA59" s="277"/>
      <c r="AB59" s="238"/>
      <c r="AD59" s="61"/>
      <c r="AE59" s="61"/>
      <c r="AF59" s="61"/>
    </row>
    <row r="60" spans="2:32" ht="15.75" customHeight="1" x14ac:dyDescent="0.25">
      <c r="B60" s="46" t="s">
        <v>1</v>
      </c>
      <c r="C60" s="269">
        <f>COUNTIFS('1. ALL DATA'!$X$5:$X$128,"PROMOTING LOCAL ECONOMIC GROWTH",'1. ALL DATA'!$H$5:$H$128,"Not yet due")</f>
        <v>2</v>
      </c>
      <c r="D60" s="252">
        <f>C60/C64</f>
        <v>0.14285714285714285</v>
      </c>
      <c r="E60" s="252">
        <f>D60</f>
        <v>0.14285714285714285</v>
      </c>
      <c r="F60" s="49"/>
      <c r="G60" s="45"/>
      <c r="I60" s="284" t="s">
        <v>1</v>
      </c>
      <c r="J60" s="269">
        <f>COUNTIFS('1. ALL DATA'!$X$5:$X$128,"PROMOTING LOCAL ECONOMIC GROWTH",'1. ALL DATA'!$M$5:$M$128,"Not yet due")</f>
        <v>1</v>
      </c>
      <c r="K60" s="252">
        <f>J60/J64</f>
        <v>7.1428571428571425E-2</v>
      </c>
      <c r="L60" s="252">
        <f>K60</f>
        <v>7.1428571428571425E-2</v>
      </c>
      <c r="M60" s="49"/>
      <c r="N60" s="45"/>
      <c r="P60" s="284" t="s">
        <v>1</v>
      </c>
      <c r="Q60" s="269">
        <f>COUNTIFS('1. ALL DATA'!$X$5:$X$128,"PROMOTING LOCAL ECONOMIC GROWTH",'1. ALL DATA'!$R$5:$R$128,"Not yet due")</f>
        <v>1</v>
      </c>
      <c r="R60" s="252">
        <f>Q60/Q64</f>
        <v>7.1428571428571425E-2</v>
      </c>
      <c r="S60" s="252">
        <f>R60</f>
        <v>7.1428571428571425E-2</v>
      </c>
      <c r="T60" s="49"/>
      <c r="U60" s="91"/>
      <c r="W60" s="305" t="s">
        <v>1</v>
      </c>
      <c r="X60" s="264">
        <f>COUNTIFS('1. ALL DATA'!$X$5:$X$128,"PROMOTING LOCAL ECONOMIC GROWTH",'1. ALL DATA'!$V$5:$V$128,"not yet due")</f>
        <v>0</v>
      </c>
      <c r="Y60" s="252">
        <f>X60/$X$64</f>
        <v>0</v>
      </c>
      <c r="Z60" s="252">
        <f>Y60</f>
        <v>0</v>
      </c>
      <c r="AA60" s="49"/>
      <c r="AB60" s="235"/>
    </row>
    <row r="61" spans="2:32" ht="15.75" customHeight="1" x14ac:dyDescent="0.25">
      <c r="B61" s="46" t="s">
        <v>46</v>
      </c>
      <c r="C61" s="269">
        <f>COUNTIFS('1. ALL DATA'!$X$5:$X$128,"PROMOTING LOCAL ECONOMIC GROWTH",'1. ALL DATA'!$H$5:$H$128,"Update not provided")</f>
        <v>0</v>
      </c>
      <c r="D61" s="252">
        <f>C61/C64</f>
        <v>0</v>
      </c>
      <c r="E61" s="252">
        <f>D61</f>
        <v>0</v>
      </c>
      <c r="F61" s="49"/>
      <c r="G61" s="96"/>
      <c r="I61" s="284" t="s">
        <v>46</v>
      </c>
      <c r="J61" s="269">
        <f>COUNTIFS('1. ALL DATA'!$X$5:$X$128,"PROMOTING LOCAL ECONOMIC GROWTH",'1. ALL DATA'!$M$5:$M$128,"Update not provided")</f>
        <v>0</v>
      </c>
      <c r="K61" s="252">
        <f>J61/J64</f>
        <v>0</v>
      </c>
      <c r="L61" s="252">
        <f>K61</f>
        <v>0</v>
      </c>
      <c r="M61" s="49"/>
      <c r="N61" s="96"/>
      <c r="P61" s="284" t="s">
        <v>46</v>
      </c>
      <c r="Q61" s="269">
        <f>COUNTIFS('1. ALL DATA'!$X$5:$X$128,"PROMOTING LOCAL ECONOMIC GROWTH",'1. ALL DATA'!$R$5:$R$128,"Update not provided")</f>
        <v>0</v>
      </c>
      <c r="R61" s="252">
        <f>Q61/Q64</f>
        <v>0</v>
      </c>
      <c r="S61" s="252">
        <f>R61</f>
        <v>0</v>
      </c>
      <c r="T61" s="49"/>
      <c r="U61" s="92"/>
      <c r="W61" s="306" t="s">
        <v>46</v>
      </c>
      <c r="X61" s="264">
        <f>COUNTIFS('1. ALL DATA'!$X$5:$X$128,"PROMOTING LOCAL ECONOMIC GROWTH",'1. ALL DATA'!$V$5:$V$128,"update not provided")</f>
        <v>14</v>
      </c>
      <c r="Y61" s="252">
        <f>X61/$X$64</f>
        <v>1</v>
      </c>
      <c r="Z61" s="252">
        <f>Y61</f>
        <v>1</v>
      </c>
      <c r="AA61" s="49"/>
    </row>
    <row r="62" spans="2:32" ht="15.75" customHeight="1" x14ac:dyDescent="0.25">
      <c r="B62" s="47" t="s">
        <v>22</v>
      </c>
      <c r="C62" s="269">
        <f>COUNTIFS('1. ALL DATA'!$X$5:$X$128,"PROMOTING LOCAL ECONOMIC GROWTH",'1. ALL DATA'!$H$5:$H$128,"Deferred")</f>
        <v>0</v>
      </c>
      <c r="D62" s="253">
        <f>C62/C64</f>
        <v>0</v>
      </c>
      <c r="E62" s="253">
        <f>D62</f>
        <v>0</v>
      </c>
      <c r="F62" s="44"/>
      <c r="G62" s="45"/>
      <c r="I62" s="285" t="s">
        <v>22</v>
      </c>
      <c r="J62" s="269">
        <f>COUNTIFS('1. ALL DATA'!$X$5:$X$128,"PROMOTING LOCAL ECONOMIC GROWTH",'1. ALL DATA'!$M$5:$M$128,"Deferred")</f>
        <v>1</v>
      </c>
      <c r="K62" s="253">
        <f>J62/J64</f>
        <v>7.1428571428571425E-2</v>
      </c>
      <c r="L62" s="253">
        <f>K62</f>
        <v>7.1428571428571425E-2</v>
      </c>
      <c r="M62" s="44"/>
      <c r="N62" s="45"/>
      <c r="P62" s="285" t="s">
        <v>22</v>
      </c>
      <c r="Q62" s="269">
        <f>COUNTIFS('1. ALL DATA'!$X$5:$X$128,"PROMOTING LOCAL ECONOMIC GROWTH",'1. ALL DATA'!$R$5:$R$128,"Deferred")</f>
        <v>1</v>
      </c>
      <c r="R62" s="253">
        <f>Q62/Q64</f>
        <v>7.1428571428571425E-2</v>
      </c>
      <c r="S62" s="253">
        <f>R62</f>
        <v>7.1428571428571425E-2</v>
      </c>
      <c r="T62" s="44"/>
      <c r="U62" s="91"/>
      <c r="W62" s="307" t="s">
        <v>22</v>
      </c>
      <c r="X62" s="264">
        <f>COUNTIFS('1. ALL DATA'!$X$5:$X$128,"PROMOTING LOCAL ECONOMIC GROWTH",'1. ALL DATA'!$V$5:$V$128,"Deferred")</f>
        <v>0</v>
      </c>
      <c r="Y62" s="253">
        <f>X62/$X$64</f>
        <v>0</v>
      </c>
      <c r="Z62" s="253">
        <f>Y62</f>
        <v>0</v>
      </c>
      <c r="AA62" s="44"/>
      <c r="AB62" s="236" t="s">
        <v>62</v>
      </c>
    </row>
    <row r="63" spans="2:32" ht="15.75" customHeight="1" x14ac:dyDescent="0.25">
      <c r="B63" s="47" t="s">
        <v>28</v>
      </c>
      <c r="C63" s="269">
        <f>COUNTIFS('1. ALL DATA'!$X$5:$X$128,"PROMOTING LOCAL ECONOMIC GROWTH",'1. ALL DATA'!$H$5:$H$128,"Deleted")</f>
        <v>0</v>
      </c>
      <c r="D63" s="253">
        <f>C63/C64</f>
        <v>0</v>
      </c>
      <c r="E63" s="253">
        <f>D63</f>
        <v>0</v>
      </c>
      <c r="F63" s="44"/>
      <c r="G63" s="236" t="s">
        <v>62</v>
      </c>
      <c r="I63" s="285" t="s">
        <v>28</v>
      </c>
      <c r="J63" s="269">
        <f>COUNTIFS('1. ALL DATA'!$X$5:$X$128,"PROMOTING LOCAL ECONOMIC GROWTH",'1. ALL DATA'!$M$5:$M$128,"Deleted")</f>
        <v>0</v>
      </c>
      <c r="K63" s="253">
        <f>J63/J64</f>
        <v>0</v>
      </c>
      <c r="L63" s="253">
        <f>K63</f>
        <v>0</v>
      </c>
      <c r="M63" s="44"/>
      <c r="N63" s="236" t="s">
        <v>62</v>
      </c>
      <c r="P63" s="285" t="s">
        <v>28</v>
      </c>
      <c r="Q63" s="269">
        <f>COUNTIFS('1. ALL DATA'!$X$5:$X$128,"PROMOTING LOCAL ECONOMIC GROWTH",'1. ALL DATA'!$R$5:$R$128,"Deleted")</f>
        <v>0</v>
      </c>
      <c r="R63" s="253">
        <f>Q63/Q64</f>
        <v>0</v>
      </c>
      <c r="S63" s="253">
        <f>R63</f>
        <v>0</v>
      </c>
      <c r="T63" s="44"/>
      <c r="U63" s="236" t="s">
        <v>62</v>
      </c>
      <c r="W63" s="307" t="s">
        <v>28</v>
      </c>
      <c r="X63" s="264">
        <f>COUNTIFS('1. ALL DATA'!$X$5:$X$128,"PROMOTING LOCAL ECONOMIC GROWTH",'1. ALL DATA'!$V$5:$V$128,"Deleted")</f>
        <v>0</v>
      </c>
      <c r="Y63" s="253">
        <f>X63/$X$64</f>
        <v>0</v>
      </c>
      <c r="Z63" s="253">
        <f>Y63</f>
        <v>0</v>
      </c>
      <c r="AA63" s="44"/>
      <c r="AB63" s="236"/>
    </row>
    <row r="64" spans="2:32" ht="15.75" customHeight="1" x14ac:dyDescent="0.25">
      <c r="B64" s="48" t="s">
        <v>30</v>
      </c>
      <c r="C64" s="271">
        <f>SUM(C50:C63)</f>
        <v>14</v>
      </c>
      <c r="D64" s="44"/>
      <c r="E64" s="44"/>
      <c r="F64" s="45"/>
      <c r="G64" s="45"/>
      <c r="I64" s="286" t="s">
        <v>30</v>
      </c>
      <c r="J64" s="271">
        <f>SUM(J50:J63)</f>
        <v>14</v>
      </c>
      <c r="K64" s="44"/>
      <c r="L64" s="44"/>
      <c r="M64" s="45"/>
      <c r="N64" s="45"/>
      <c r="P64" s="286" t="s">
        <v>30</v>
      </c>
      <c r="Q64" s="271">
        <f>SUM(Q50:Q63)</f>
        <v>14</v>
      </c>
      <c r="R64" s="44"/>
      <c r="S64" s="44"/>
      <c r="T64" s="45"/>
      <c r="U64" s="91"/>
      <c r="W64" s="308" t="s">
        <v>30</v>
      </c>
      <c r="X64" s="272">
        <f>SUM(X50:X63)</f>
        <v>14</v>
      </c>
      <c r="Y64" s="44"/>
      <c r="Z64" s="44"/>
      <c r="AA64" s="45"/>
      <c r="AB64" s="235"/>
    </row>
    <row r="65" spans="2:28" ht="15.75" customHeight="1" x14ac:dyDescent="0.25">
      <c r="B65" s="48" t="s">
        <v>31</v>
      </c>
      <c r="C65" s="271">
        <f>C64-C63-C62-C61-C60</f>
        <v>12</v>
      </c>
      <c r="D65" s="45"/>
      <c r="E65" s="45"/>
      <c r="F65" s="45"/>
      <c r="G65" s="45"/>
      <c r="I65" s="286" t="s">
        <v>31</v>
      </c>
      <c r="J65" s="271">
        <f>J64-J63-J62-J61-J60</f>
        <v>12</v>
      </c>
      <c r="K65" s="45"/>
      <c r="L65" s="45"/>
      <c r="M65" s="45"/>
      <c r="N65" s="45"/>
      <c r="P65" s="286" t="s">
        <v>31</v>
      </c>
      <c r="Q65" s="271">
        <f>Q64-Q63-Q62-Q61-Q60</f>
        <v>12</v>
      </c>
      <c r="R65" s="45"/>
      <c r="S65" s="45"/>
      <c r="T65" s="45"/>
      <c r="U65" s="91"/>
      <c r="W65" s="308" t="s">
        <v>31</v>
      </c>
      <c r="X65" s="272">
        <f>X64-X63-X62-X61-X60</f>
        <v>0</v>
      </c>
      <c r="Y65" s="45"/>
      <c r="Z65" s="45"/>
      <c r="AA65" s="45"/>
      <c r="AB65" s="235"/>
    </row>
    <row r="66" spans="2:28" ht="15.75" customHeight="1" x14ac:dyDescent="0.25">
      <c r="X66" s="278"/>
    </row>
    <row r="67" spans="2:28" ht="15.75" customHeight="1" x14ac:dyDescent="0.25">
      <c r="X67" s="278"/>
    </row>
    <row r="68" spans="2:28" ht="15.75" customHeight="1" x14ac:dyDescent="0.25">
      <c r="X68" s="278"/>
    </row>
    <row r="69" spans="2:28" ht="15.75" customHeight="1" x14ac:dyDescent="0.25">
      <c r="B69" s="160" t="s">
        <v>215</v>
      </c>
      <c r="C69" s="80"/>
      <c r="D69" s="80"/>
      <c r="E69" s="80"/>
      <c r="F69" s="77"/>
      <c r="G69" s="80"/>
      <c r="I69" s="295" t="s">
        <v>215</v>
      </c>
      <c r="J69" s="181"/>
      <c r="K69" s="181"/>
      <c r="L69" s="181"/>
      <c r="M69" s="175"/>
      <c r="N69" s="182"/>
      <c r="P69" s="300" t="s">
        <v>215</v>
      </c>
      <c r="Q69" s="80"/>
      <c r="R69" s="80"/>
      <c r="S69" s="80"/>
      <c r="T69" s="77"/>
      <c r="U69" s="93"/>
      <c r="W69" s="273" t="s">
        <v>215</v>
      </c>
      <c r="X69" s="279"/>
      <c r="Y69" s="77"/>
      <c r="Z69" s="77"/>
      <c r="AA69" s="77"/>
      <c r="AB69" s="230"/>
    </row>
    <row r="70" spans="2:28" ht="41.25" customHeight="1" x14ac:dyDescent="0.25">
      <c r="B70" s="68" t="s">
        <v>23</v>
      </c>
      <c r="C70" s="78" t="s">
        <v>24</v>
      </c>
      <c r="D70" s="78" t="s">
        <v>18</v>
      </c>
      <c r="E70" s="78" t="s">
        <v>48</v>
      </c>
      <c r="F70" s="78" t="s">
        <v>29</v>
      </c>
      <c r="G70" s="78" t="s">
        <v>49</v>
      </c>
      <c r="I70" s="78" t="s">
        <v>23</v>
      </c>
      <c r="J70" s="78" t="s">
        <v>24</v>
      </c>
      <c r="K70" s="78" t="s">
        <v>18</v>
      </c>
      <c r="L70" s="78" t="s">
        <v>48</v>
      </c>
      <c r="M70" s="78" t="s">
        <v>29</v>
      </c>
      <c r="N70" s="78" t="s">
        <v>49</v>
      </c>
      <c r="P70" s="78" t="s">
        <v>23</v>
      </c>
      <c r="Q70" s="78" t="s">
        <v>24</v>
      </c>
      <c r="R70" s="78" t="s">
        <v>18</v>
      </c>
      <c r="S70" s="78" t="s">
        <v>48</v>
      </c>
      <c r="T70" s="78" t="s">
        <v>29</v>
      </c>
      <c r="U70" s="85" t="s">
        <v>49</v>
      </c>
      <c r="W70" s="78" t="s">
        <v>23</v>
      </c>
      <c r="X70" s="78" t="s">
        <v>24</v>
      </c>
      <c r="Y70" s="78" t="s">
        <v>18</v>
      </c>
      <c r="Z70" s="78" t="s">
        <v>48</v>
      </c>
      <c r="AA70" s="78" t="s">
        <v>29</v>
      </c>
      <c r="AB70" s="231" t="s">
        <v>49</v>
      </c>
    </row>
    <row r="71" spans="2:28" ht="6.75" customHeight="1" x14ac:dyDescent="0.25">
      <c r="B71" s="51"/>
      <c r="C71" s="54"/>
      <c r="D71" s="54"/>
      <c r="E71" s="54"/>
      <c r="F71" s="54"/>
      <c r="G71" s="54"/>
      <c r="I71" s="54"/>
      <c r="J71" s="54"/>
      <c r="K71" s="54"/>
      <c r="L71" s="54"/>
      <c r="M71" s="54"/>
      <c r="N71" s="54"/>
      <c r="P71" s="54"/>
      <c r="Q71" s="54"/>
      <c r="R71" s="54"/>
      <c r="S71" s="54"/>
      <c r="T71" s="54"/>
      <c r="U71" s="86"/>
      <c r="W71" s="54"/>
      <c r="X71" s="54"/>
      <c r="Y71" s="54"/>
      <c r="Z71" s="54"/>
      <c r="AA71" s="54"/>
      <c r="AB71" s="237"/>
    </row>
    <row r="72" spans="2:28" ht="27.75" customHeight="1" x14ac:dyDescent="0.25">
      <c r="B72" s="247" t="s">
        <v>45</v>
      </c>
      <c r="C72" s="257">
        <f>COUNTIFS('1. ALL DATA'!$X$5:$X$128,"PROTECTING AND STRENGTHENING COMMUNITIES",'1. ALL DATA'!$H$5:$H$128,"Fully Achieved")</f>
        <v>10</v>
      </c>
      <c r="D72" s="258">
        <f>C72/C86</f>
        <v>0.2</v>
      </c>
      <c r="E72" s="462">
        <f>D72+D73</f>
        <v>0.54</v>
      </c>
      <c r="F72" s="258">
        <f>C72/C87</f>
        <v>0.37037037037037035</v>
      </c>
      <c r="G72" s="459">
        <f>F72+F73</f>
        <v>1</v>
      </c>
      <c r="I72" s="296" t="s">
        <v>45</v>
      </c>
      <c r="J72" s="257">
        <f>COUNTIFS('1. ALL DATA'!$X$5:$X$128,"PROTECTING AND STRENGTHENING COMMUNITIES",'1. ALL DATA'!$M$5:$M$128,"Fully Achieved")</f>
        <v>21</v>
      </c>
      <c r="K72" s="258">
        <f>J72/J86</f>
        <v>0.42</v>
      </c>
      <c r="L72" s="462">
        <f>K72+K73</f>
        <v>0.89999999999999991</v>
      </c>
      <c r="M72" s="258">
        <f>J72/J87</f>
        <v>0.46666666666666667</v>
      </c>
      <c r="N72" s="459">
        <f>M72+M73</f>
        <v>1</v>
      </c>
      <c r="P72" s="296" t="s">
        <v>45</v>
      </c>
      <c r="Q72" s="257">
        <f>COUNTIFS('1. ALL DATA'!$X$5:$X$128,"PROTECTING AND STRENGTHENING COMMUNITIES",'1. ALL DATA'!$R$5:$R$128,"Fully Achieved")</f>
        <v>34</v>
      </c>
      <c r="R72" s="258">
        <f>Q72/Q86</f>
        <v>0.68</v>
      </c>
      <c r="S72" s="462">
        <f>R72+R73</f>
        <v>0.96000000000000008</v>
      </c>
      <c r="T72" s="258">
        <f>Q72/Q87</f>
        <v>0.69387755102040816</v>
      </c>
      <c r="U72" s="459">
        <f>T72+T73</f>
        <v>0.97959183673469385</v>
      </c>
      <c r="W72" s="296" t="s">
        <v>40</v>
      </c>
      <c r="X72" s="259">
        <f>COUNTIFS('1. ALL DATA'!$X$5:$X$128,"PROTECTING AND STRENGTHENING COMMUNITIES",'1. ALL DATA'!$V$5:$V$128,"Fully Achieved")</f>
        <v>0</v>
      </c>
      <c r="Y72" s="258">
        <f>X72/$X$86</f>
        <v>0</v>
      </c>
      <c r="Z72" s="462">
        <f>Y72+Y73</f>
        <v>0</v>
      </c>
      <c r="AA72" s="258" t="e">
        <f>X72/$X$87</f>
        <v>#DIV/0!</v>
      </c>
      <c r="AB72" s="459" t="e">
        <f>AA72+AA73</f>
        <v>#DIV/0!</v>
      </c>
    </row>
    <row r="73" spans="2:28" ht="27.75" customHeight="1" x14ac:dyDescent="0.25">
      <c r="B73" s="247" t="s">
        <v>41</v>
      </c>
      <c r="C73" s="257">
        <f>COUNTIFS('1. ALL DATA'!$X$5:$X$128,"PROTECTING AND STRENGTHENING COMMUNITIES",'1. ALL DATA'!$H$5:$H$128,"On track to be achieved")</f>
        <v>17</v>
      </c>
      <c r="D73" s="258">
        <f>C73/C86</f>
        <v>0.34</v>
      </c>
      <c r="E73" s="462"/>
      <c r="F73" s="258">
        <f>C73/C87</f>
        <v>0.62962962962962965</v>
      </c>
      <c r="G73" s="459"/>
      <c r="I73" s="296" t="s">
        <v>41</v>
      </c>
      <c r="J73" s="257">
        <f>COUNTIFS('1. ALL DATA'!$X$5:$X$128,"PROTECTING AND STRENGTHENING COMMUNITIES",'1. ALL DATA'!$M$5:$M$128,"On track to be achieved")</f>
        <v>24</v>
      </c>
      <c r="K73" s="258">
        <f>J73/J86</f>
        <v>0.48</v>
      </c>
      <c r="L73" s="462"/>
      <c r="M73" s="258">
        <f>J73/J87</f>
        <v>0.53333333333333333</v>
      </c>
      <c r="N73" s="459"/>
      <c r="P73" s="296" t="s">
        <v>41</v>
      </c>
      <c r="Q73" s="257">
        <f>COUNTIFS('1. ALL DATA'!$X$5:$X$128,"PROTECTING AND STRENGTHENING COMMUNITIES",'1. ALL DATA'!$R$5:$R$128,"On track to be achieved")</f>
        <v>14</v>
      </c>
      <c r="R73" s="258">
        <f>Q73/Q86</f>
        <v>0.28000000000000003</v>
      </c>
      <c r="S73" s="462"/>
      <c r="T73" s="258">
        <f>Q73/Q87</f>
        <v>0.2857142857142857</v>
      </c>
      <c r="U73" s="459"/>
      <c r="W73" s="296" t="s">
        <v>79</v>
      </c>
      <c r="X73" s="259">
        <f>COUNTIFS('1. ALL DATA'!$X$5:$X$128,"PROTECTING AND STRENGTHENING COMMUNITIES",'1. ALL DATA'!$V$5:$V$128,"Numerical Outturn Within 5% Tolerance")</f>
        <v>0</v>
      </c>
      <c r="Y73" s="258">
        <f>X73/$X$86</f>
        <v>0</v>
      </c>
      <c r="Z73" s="462"/>
      <c r="AA73" s="258" t="e">
        <f>X73/$X$87</f>
        <v>#DIV/0!</v>
      </c>
      <c r="AB73" s="459"/>
    </row>
    <row r="74" spans="2:28" ht="7.5" customHeight="1" x14ac:dyDescent="0.25">
      <c r="B74" s="51"/>
      <c r="C74" s="260"/>
      <c r="D74" s="192"/>
      <c r="E74" s="192"/>
      <c r="F74" s="192"/>
      <c r="G74" s="52"/>
      <c r="I74" s="297"/>
      <c r="J74" s="260"/>
      <c r="K74" s="192"/>
      <c r="L74" s="192"/>
      <c r="M74" s="192"/>
      <c r="N74" s="52"/>
      <c r="P74" s="297"/>
      <c r="Q74" s="260"/>
      <c r="R74" s="192"/>
      <c r="S74" s="192"/>
      <c r="T74" s="192"/>
      <c r="U74" s="52"/>
      <c r="W74" s="304"/>
      <c r="X74" s="54"/>
      <c r="Y74" s="192"/>
      <c r="Z74" s="192"/>
      <c r="AA74" s="192"/>
      <c r="AB74" s="52"/>
    </row>
    <row r="75" spans="2:28" ht="18.75" customHeight="1" x14ac:dyDescent="0.25">
      <c r="B75" s="460" t="s">
        <v>26</v>
      </c>
      <c r="C75" s="461">
        <f>COUNTIFS('1. ALL DATA'!$X$5:$X$128,"PROTECTING AND STRENGTHENING COMMUNITIES",'1. ALL DATA'!$H$5:$H$128,"In danger of falling behind target")</f>
        <v>0</v>
      </c>
      <c r="D75" s="462">
        <f>C75/C86</f>
        <v>0</v>
      </c>
      <c r="E75" s="462">
        <f>D75</f>
        <v>0</v>
      </c>
      <c r="F75" s="462">
        <f>C75/C87</f>
        <v>0</v>
      </c>
      <c r="G75" s="464">
        <f>F75</f>
        <v>0</v>
      </c>
      <c r="I75" s="460" t="s">
        <v>26</v>
      </c>
      <c r="J75" s="461">
        <f>COUNTIFS('1. ALL DATA'!$X$5:$X$128,"PROTECTING AND STRENGTHENING COMMUNITIES",'1. ALL DATA'!$M$5:$M$128,"In danger of falling behind target")</f>
        <v>0</v>
      </c>
      <c r="K75" s="462">
        <f>J75/J86</f>
        <v>0</v>
      </c>
      <c r="L75" s="462">
        <f>K75</f>
        <v>0</v>
      </c>
      <c r="M75" s="462">
        <f>J75/J87</f>
        <v>0</v>
      </c>
      <c r="N75" s="464">
        <f>M75</f>
        <v>0</v>
      </c>
      <c r="P75" s="460" t="s">
        <v>26</v>
      </c>
      <c r="Q75" s="461">
        <f>COUNTIFS('1. ALL DATA'!$X$5:$X$128,"PROTECTING AND STRENGTHENING COMMUNITIES",'1. ALL DATA'!$R$5:$R$128,"In danger of falling behind target")</f>
        <v>1</v>
      </c>
      <c r="R75" s="462">
        <f>Q75/Q86</f>
        <v>0.02</v>
      </c>
      <c r="S75" s="462">
        <f>R75</f>
        <v>0.02</v>
      </c>
      <c r="T75" s="462">
        <f>Q75/Q87</f>
        <v>2.0408163265306121E-2</v>
      </c>
      <c r="U75" s="464">
        <f>T75</f>
        <v>2.0408163265306121E-2</v>
      </c>
      <c r="W75" s="298" t="s">
        <v>80</v>
      </c>
      <c r="X75" s="259">
        <f>COUNTIFS('1. ALL DATA'!$X$5:$X$128,"PROTECTING AND STRENGTHENING COMMUNITIES",'1. ALL DATA'!$V$5:$V$128,"Numerical Outturn Within 10% Tolerance")</f>
        <v>0</v>
      </c>
      <c r="Y75" s="258">
        <f>X75/$X$86</f>
        <v>0</v>
      </c>
      <c r="Z75" s="465">
        <f>SUM(Y75:Y78)</f>
        <v>0</v>
      </c>
      <c r="AA75" s="263" t="e">
        <f>X75/$X$87</f>
        <v>#DIV/0!</v>
      </c>
      <c r="AB75" s="464" t="e">
        <f>SUM(AA75:AA78)</f>
        <v>#DIV/0!</v>
      </c>
    </row>
    <row r="76" spans="2:28" ht="18.75" customHeight="1" x14ac:dyDescent="0.25">
      <c r="B76" s="460"/>
      <c r="C76" s="461"/>
      <c r="D76" s="462"/>
      <c r="E76" s="462"/>
      <c r="F76" s="462"/>
      <c r="G76" s="464"/>
      <c r="I76" s="460"/>
      <c r="J76" s="461"/>
      <c r="K76" s="462"/>
      <c r="L76" s="462"/>
      <c r="M76" s="462"/>
      <c r="N76" s="464"/>
      <c r="P76" s="460"/>
      <c r="Q76" s="461"/>
      <c r="R76" s="462"/>
      <c r="S76" s="462"/>
      <c r="T76" s="462"/>
      <c r="U76" s="464"/>
      <c r="W76" s="298" t="s">
        <v>81</v>
      </c>
      <c r="X76" s="259">
        <f>COUNTIFS('1. ALL DATA'!$X$5:$X$128,"PROTECTING AND STRENGTHENING COMMUNITIES",'1. ALL DATA'!$V$5:$V$128,"Target Partially Met")</f>
        <v>0</v>
      </c>
      <c r="Y76" s="258">
        <f>X76/$X$86</f>
        <v>0</v>
      </c>
      <c r="Z76" s="466"/>
      <c r="AA76" s="263" t="e">
        <f>X76/$X$87</f>
        <v>#DIV/0!</v>
      </c>
      <c r="AB76" s="464"/>
    </row>
    <row r="77" spans="2:28" ht="18.75" customHeight="1" x14ac:dyDescent="0.25">
      <c r="B77" s="460"/>
      <c r="C77" s="461"/>
      <c r="D77" s="462"/>
      <c r="E77" s="462"/>
      <c r="F77" s="462"/>
      <c r="G77" s="464"/>
      <c r="I77" s="460"/>
      <c r="J77" s="461"/>
      <c r="K77" s="462"/>
      <c r="L77" s="462"/>
      <c r="M77" s="462"/>
      <c r="N77" s="464"/>
      <c r="P77" s="460"/>
      <c r="Q77" s="461"/>
      <c r="R77" s="462"/>
      <c r="S77" s="462"/>
      <c r="T77" s="462"/>
      <c r="U77" s="464"/>
      <c r="W77" s="298" t="s">
        <v>83</v>
      </c>
      <c r="X77" s="259">
        <f>COUNTIFS('1. ALL DATA'!$X$5:$X$128,"PROTECTING AND STRENGTHENING COMMUNITIES",'1. ALL DATA'!$V$5:$V$128,"Completion Date Within Reasonable Tolerance")</f>
        <v>0</v>
      </c>
      <c r="Y77" s="258">
        <f>X77/$X$86</f>
        <v>0</v>
      </c>
      <c r="Z77" s="467"/>
      <c r="AA77" s="263" t="e">
        <f>X77/$X$87</f>
        <v>#DIV/0!</v>
      </c>
      <c r="AB77" s="464"/>
    </row>
    <row r="78" spans="2:28" ht="6" customHeight="1" x14ac:dyDescent="0.25">
      <c r="B78" s="167"/>
      <c r="C78" s="54"/>
      <c r="D78" s="192"/>
      <c r="E78" s="192"/>
      <c r="F78" s="192"/>
      <c r="G78" s="169"/>
      <c r="I78" s="299"/>
      <c r="J78" s="54"/>
      <c r="K78" s="192"/>
      <c r="L78" s="192"/>
      <c r="M78" s="192"/>
      <c r="N78" s="169"/>
      <c r="P78" s="299"/>
      <c r="Q78" s="54"/>
      <c r="R78" s="192"/>
      <c r="S78" s="192"/>
      <c r="T78" s="192"/>
      <c r="U78" s="169"/>
      <c r="W78" s="304"/>
      <c r="X78" s="54"/>
      <c r="Y78" s="192"/>
      <c r="Z78" s="192"/>
      <c r="AA78" s="192"/>
      <c r="AB78" s="169"/>
    </row>
    <row r="79" spans="2:28" ht="30" customHeight="1" x14ac:dyDescent="0.25">
      <c r="B79" s="335" t="s">
        <v>42</v>
      </c>
      <c r="C79" s="257">
        <f>COUNTIFS('1. ALL DATA'!$X$5:$X$128,"PROTECTING AND STRENGTHENING COMMUNITIES",'1. ALL DATA'!$H$5:$H$128,"Completed behind schedule")</f>
        <v>0</v>
      </c>
      <c r="D79" s="258">
        <f>C79/C86</f>
        <v>0</v>
      </c>
      <c r="E79" s="462">
        <f>D79+D80</f>
        <v>0</v>
      </c>
      <c r="F79" s="258">
        <f>C79/C87</f>
        <v>0</v>
      </c>
      <c r="G79" s="463">
        <f>F79+F80</f>
        <v>0</v>
      </c>
      <c r="I79" s="337" t="s">
        <v>42</v>
      </c>
      <c r="J79" s="257">
        <f>COUNTIFS('1. ALL DATA'!$X$5:$X$128,"PROTECTING AND STRENGTHENING COMMUNITIES",'1. ALL DATA'!$M$5:$M$128,"Completed behind schedule")</f>
        <v>0</v>
      </c>
      <c r="K79" s="258">
        <f>J79/J86</f>
        <v>0</v>
      </c>
      <c r="L79" s="462">
        <f>K79+K80</f>
        <v>0</v>
      </c>
      <c r="M79" s="258">
        <f>J79/J87</f>
        <v>0</v>
      </c>
      <c r="N79" s="463">
        <f>M79+M80</f>
        <v>0</v>
      </c>
      <c r="P79" s="337" t="s">
        <v>42</v>
      </c>
      <c r="Q79" s="257">
        <f>COUNTIFS('1. ALL DATA'!$X$5:$X$128,"PROTECTING AND STRENGTHENING COMMUNITIES",'1. ALL DATA'!$R$5:$R$128,"Completed behind schedule")</f>
        <v>0</v>
      </c>
      <c r="R79" s="258">
        <f>Q79/Q86</f>
        <v>0</v>
      </c>
      <c r="S79" s="462">
        <f>R79+R80</f>
        <v>0</v>
      </c>
      <c r="T79" s="258">
        <f>Q79/Q87</f>
        <v>0</v>
      </c>
      <c r="U79" s="463">
        <f>T79+T80</f>
        <v>0</v>
      </c>
      <c r="W79" s="337" t="s">
        <v>82</v>
      </c>
      <c r="X79" s="259">
        <f>COUNTIFS('1. ALL DATA'!$X$5:$X$128,"PROTECTING AND STRENGTHENING COMMUNITIES",'1. ALL DATA'!$V$5:$V$128,"Completed Significantly After Target Deadline")</f>
        <v>0</v>
      </c>
      <c r="Y79" s="258">
        <f>X79/$X$86</f>
        <v>0</v>
      </c>
      <c r="Z79" s="462">
        <f>Y79+Y80</f>
        <v>0</v>
      </c>
      <c r="AA79" s="258" t="e">
        <f>X79/$X$87</f>
        <v>#DIV/0!</v>
      </c>
      <c r="AB79" s="463" t="e">
        <f>AA79+AA80</f>
        <v>#DIV/0!</v>
      </c>
    </row>
    <row r="80" spans="2:28" ht="30" customHeight="1" x14ac:dyDescent="0.25">
      <c r="B80" s="335" t="s">
        <v>27</v>
      </c>
      <c r="C80" s="257">
        <f>COUNTIFS('1. ALL DATA'!$X$5:$X$128,"PROTECTING AND STRENGTHENING COMMUNITIES",'1. ALL DATA'!$H$5:$H$128,"Off target")</f>
        <v>0</v>
      </c>
      <c r="D80" s="258">
        <f>C80/C86</f>
        <v>0</v>
      </c>
      <c r="E80" s="462"/>
      <c r="F80" s="258">
        <f>C80/C87</f>
        <v>0</v>
      </c>
      <c r="G80" s="463"/>
      <c r="I80" s="337" t="s">
        <v>27</v>
      </c>
      <c r="J80" s="257">
        <f>COUNTIFS('1. ALL DATA'!$X$5:$X$128,"PROTECTING AND STRENGTHENING COMMUNITIES",'1. ALL DATA'!$M$5:$M$128,"Off target")</f>
        <v>0</v>
      </c>
      <c r="K80" s="258">
        <f>J80/J86</f>
        <v>0</v>
      </c>
      <c r="L80" s="462"/>
      <c r="M80" s="258">
        <f>J80/J87</f>
        <v>0</v>
      </c>
      <c r="N80" s="463"/>
      <c r="P80" s="337" t="s">
        <v>27</v>
      </c>
      <c r="Q80" s="257">
        <f>COUNTIFS('1. ALL DATA'!$X$5:$X$128,"PROTECTING AND STRENGTHENING COMMUNITIES",'1. ALL DATA'!$R$5:$R$128,"Off target")</f>
        <v>0</v>
      </c>
      <c r="R80" s="258">
        <f>Q80/Q86</f>
        <v>0</v>
      </c>
      <c r="S80" s="462"/>
      <c r="T80" s="258">
        <f>Q80/Q87</f>
        <v>0</v>
      </c>
      <c r="U80" s="463"/>
      <c r="W80" s="337" t="s">
        <v>27</v>
      </c>
      <c r="X80" s="259">
        <f>COUNTIFS('1. ALL DATA'!$X$5:$X$128,"PROTECTING AND STRENGTHENING COMMUNITIES",'1. ALL DATA'!$V$5:$V$128,"Off Target")</f>
        <v>0</v>
      </c>
      <c r="Y80" s="258">
        <f>X80/$X$86</f>
        <v>0</v>
      </c>
      <c r="Z80" s="462"/>
      <c r="AA80" s="258" t="e">
        <f>X80/$X$87</f>
        <v>#DIV/0!</v>
      </c>
      <c r="AB80" s="463"/>
    </row>
    <row r="81" spans="2:28" ht="5.25" customHeight="1" x14ac:dyDescent="0.25">
      <c r="B81" s="51"/>
      <c r="C81" s="260"/>
      <c r="D81" s="192"/>
      <c r="E81" s="192"/>
      <c r="F81" s="192"/>
      <c r="G81" s="90"/>
      <c r="I81" s="54"/>
      <c r="J81" s="260"/>
      <c r="K81" s="192"/>
      <c r="L81" s="192"/>
      <c r="M81" s="192"/>
      <c r="N81" s="90"/>
      <c r="P81" s="54"/>
      <c r="Q81" s="260"/>
      <c r="R81" s="192"/>
      <c r="S81" s="192"/>
      <c r="T81" s="192"/>
      <c r="U81" s="90"/>
      <c r="W81" s="280"/>
      <c r="X81" s="281"/>
      <c r="Y81" s="276"/>
      <c r="Z81" s="276"/>
      <c r="AA81" s="277"/>
      <c r="AB81" s="238"/>
    </row>
    <row r="82" spans="2:28" ht="15.75" customHeight="1" x14ac:dyDescent="0.25">
      <c r="B82" s="46" t="s">
        <v>1</v>
      </c>
      <c r="C82" s="269">
        <f>COUNTIFS('1. ALL DATA'!$X$5:$X$128,"PROTECTING AND STRENGTHENING COMMUNITIES",'1. ALL DATA'!$H$5:$H$128,"Not yet due")</f>
        <v>23</v>
      </c>
      <c r="D82" s="252">
        <f>C82/C86</f>
        <v>0.46</v>
      </c>
      <c r="E82" s="252">
        <f>D82</f>
        <v>0.46</v>
      </c>
      <c r="F82" s="49"/>
      <c r="G82" s="45"/>
      <c r="I82" s="284" t="s">
        <v>1</v>
      </c>
      <c r="J82" s="269">
        <f>COUNTIFS('1. ALL DATA'!$X$5:$X$128,"PROTECTING AND STRENGTHENING COMMUNITIES",'1. ALL DATA'!$M$5:$M$128,"Not yet due")</f>
        <v>5</v>
      </c>
      <c r="K82" s="252">
        <f>J82/J86</f>
        <v>0.1</v>
      </c>
      <c r="L82" s="252">
        <f>K82</f>
        <v>0.1</v>
      </c>
      <c r="M82" s="49"/>
      <c r="N82" s="45"/>
      <c r="P82" s="284" t="s">
        <v>1</v>
      </c>
      <c r="Q82" s="269">
        <f>COUNTIFS('1. ALL DATA'!$X$5:$X$128,"PROTECTING AND STRENGTHENING COMMUNITIES",'1. ALL DATA'!$R$5:$R$128,"Not yet due")</f>
        <v>1</v>
      </c>
      <c r="R82" s="252">
        <f>Q82/Q86</f>
        <v>0.02</v>
      </c>
      <c r="S82" s="252">
        <f>R82</f>
        <v>0.02</v>
      </c>
      <c r="T82" s="49"/>
      <c r="U82" s="91"/>
      <c r="W82" s="305" t="s">
        <v>1</v>
      </c>
      <c r="X82" s="269">
        <f>COUNTIFS('1. ALL DATA'!$X$5:$X$128,"PROTECTING AND STRENGTHENING COMMUNITIES",'1. ALL DATA'!$V$5:$V$128,"not yet due")</f>
        <v>0</v>
      </c>
      <c r="Y82" s="252">
        <f>X82/$X$86</f>
        <v>0</v>
      </c>
      <c r="Z82" s="252">
        <f>Y82</f>
        <v>0</v>
      </c>
      <c r="AA82" s="49"/>
      <c r="AB82" s="235"/>
    </row>
    <row r="83" spans="2:28" ht="15.75" customHeight="1" x14ac:dyDescent="0.25">
      <c r="B83" s="46" t="s">
        <v>46</v>
      </c>
      <c r="C83" s="269">
        <f>COUNTIFS('1. ALL DATA'!$X$5:$X$128,"PROTECTING AND STRENGTHENING COMMUNITIES",'1. ALL DATA'!$H$5:$H$128,"Update not provided")</f>
        <v>0</v>
      </c>
      <c r="D83" s="252">
        <f>C83/C86</f>
        <v>0</v>
      </c>
      <c r="E83" s="252">
        <f>D83</f>
        <v>0</v>
      </c>
      <c r="F83" s="49"/>
      <c r="G83" s="96"/>
      <c r="I83" s="284" t="s">
        <v>46</v>
      </c>
      <c r="J83" s="269">
        <f>COUNTIFS('1. ALL DATA'!$X$5:$X$128,"PROTECTING AND STRENGTHENING COMMUNITIES",'1. ALL DATA'!$M$5:$M$128,"Update not provided")</f>
        <v>0</v>
      </c>
      <c r="K83" s="252">
        <f>J83/J86</f>
        <v>0</v>
      </c>
      <c r="L83" s="252">
        <f>K83</f>
        <v>0</v>
      </c>
      <c r="M83" s="49"/>
      <c r="N83" s="96"/>
      <c r="P83" s="284" t="s">
        <v>46</v>
      </c>
      <c r="Q83" s="269">
        <f>COUNTIFS('1. ALL DATA'!$X$5:$X$128,"PROTECTING AND STRENGTHENING COMMUNITIES",'1. ALL DATA'!$R$5:$R$128,"Update not provided")</f>
        <v>0</v>
      </c>
      <c r="R83" s="252">
        <f>Q83/Q86</f>
        <v>0</v>
      </c>
      <c r="S83" s="252">
        <f>R83</f>
        <v>0</v>
      </c>
      <c r="T83" s="49"/>
      <c r="U83" s="92"/>
      <c r="W83" s="306" t="s">
        <v>46</v>
      </c>
      <c r="X83" s="269">
        <f>COUNTIFS('1. ALL DATA'!$X$5:$X$128,"PROTECTING AND STRENGTHENING COMMUNITIES",'1. ALL DATA'!$V$5:$V$128,"update not provided")</f>
        <v>50</v>
      </c>
      <c r="Y83" s="252">
        <f>X83/$X$86</f>
        <v>1</v>
      </c>
      <c r="Z83" s="252">
        <f>Y83</f>
        <v>1</v>
      </c>
      <c r="AA83" s="49"/>
    </row>
    <row r="84" spans="2:28" ht="15.75" customHeight="1" x14ac:dyDescent="0.25">
      <c r="B84" s="47" t="s">
        <v>22</v>
      </c>
      <c r="C84" s="269">
        <f>COUNTIFS('1. ALL DATA'!$X$5:$X$128,"PROTECTING AND STRENGTHENING COMMUNITIES",'1. ALL DATA'!$H$5:$H$128,"Deferred")</f>
        <v>0</v>
      </c>
      <c r="D84" s="253">
        <f>C84/C86</f>
        <v>0</v>
      </c>
      <c r="E84" s="253">
        <f>D84</f>
        <v>0</v>
      </c>
      <c r="F84" s="44"/>
      <c r="G84" s="45"/>
      <c r="I84" s="285" t="s">
        <v>22</v>
      </c>
      <c r="J84" s="269">
        <f>COUNTIFS('1. ALL DATA'!$X$5:$X$128,"PROTECTING AND STRENGTHENING COMMUNITIES",'1. ALL DATA'!$M$5:$M$128,"Deferred")</f>
        <v>0</v>
      </c>
      <c r="K84" s="253">
        <f>J84/J86</f>
        <v>0</v>
      </c>
      <c r="L84" s="253">
        <f>K84</f>
        <v>0</v>
      </c>
      <c r="M84" s="44"/>
      <c r="N84" s="45"/>
      <c r="P84" s="285" t="s">
        <v>22</v>
      </c>
      <c r="Q84" s="269">
        <f>COUNTIFS('1. ALL DATA'!$X$5:$X$128,"PROTECTING AND STRENGTHENING COMMUNITIES",'1. ALL DATA'!$R$5:$R$128,"Deferred")</f>
        <v>0</v>
      </c>
      <c r="R84" s="253">
        <f>Q84/Q86</f>
        <v>0</v>
      </c>
      <c r="S84" s="253">
        <f>R84</f>
        <v>0</v>
      </c>
      <c r="T84" s="44"/>
      <c r="U84" s="91"/>
      <c r="W84" s="307" t="s">
        <v>22</v>
      </c>
      <c r="X84" s="269">
        <f>COUNTIFS('1. ALL DATA'!$X$5:$X$128,"PROTECTING AND STRENGTHENING COMMUNITIES",'1. ALL DATA'!$V$5:$V$128,"Deferred")</f>
        <v>0</v>
      </c>
      <c r="Y84" s="253">
        <f>X84/$X$86</f>
        <v>0</v>
      </c>
      <c r="Z84" s="253">
        <f>Y84</f>
        <v>0</v>
      </c>
      <c r="AA84" s="44"/>
      <c r="AB84" s="235"/>
    </row>
    <row r="85" spans="2:28" ht="15.75" customHeight="1" x14ac:dyDescent="0.25">
      <c r="B85" s="47" t="s">
        <v>28</v>
      </c>
      <c r="C85" s="269">
        <f>COUNTIFS('1. ALL DATA'!$X$5:$X$128,"PROTECTING AND STRENGTHENING COMMUNITIES",'1. ALL DATA'!$H$5:$H$128,"Deleted")</f>
        <v>0</v>
      </c>
      <c r="D85" s="253">
        <f>C85/C86</f>
        <v>0</v>
      </c>
      <c r="E85" s="253">
        <f>D85</f>
        <v>0</v>
      </c>
      <c r="F85" s="44"/>
      <c r="G85" s="236" t="s">
        <v>62</v>
      </c>
      <c r="I85" s="285" t="s">
        <v>28</v>
      </c>
      <c r="J85" s="269">
        <f>COUNTIFS('1. ALL DATA'!$X$5:$X$128,"PROTECTING AND STRENGTHENING COMMUNITIES",'1. ALL DATA'!$M$5:$M$128,"Deleted")</f>
        <v>0</v>
      </c>
      <c r="K85" s="253">
        <f>J85/J86</f>
        <v>0</v>
      </c>
      <c r="L85" s="253">
        <f>K85</f>
        <v>0</v>
      </c>
      <c r="M85" s="44"/>
      <c r="N85" s="236" t="s">
        <v>62</v>
      </c>
      <c r="P85" s="285" t="s">
        <v>28</v>
      </c>
      <c r="Q85" s="269">
        <f>COUNTIFS('1. ALL DATA'!$X$5:$X$128,"PROTECTING AND STRENGTHENING COMMUNITIES",'1. ALL DATA'!$R$5:$R$128,"Deleted")</f>
        <v>0</v>
      </c>
      <c r="R85" s="253">
        <f>Q85/Q86</f>
        <v>0</v>
      </c>
      <c r="S85" s="253">
        <f>R85</f>
        <v>0</v>
      </c>
      <c r="T85" s="44"/>
      <c r="U85" s="236" t="s">
        <v>62</v>
      </c>
      <c r="W85" s="307" t="s">
        <v>28</v>
      </c>
      <c r="X85" s="269">
        <f>COUNTIFS('1. ALL DATA'!$X$5:$X$128,"PROTECTING AND STRENGTHENING COMMUNITIES",'1. ALL DATA'!$V$5:$V$128,"Deleted")</f>
        <v>0</v>
      </c>
      <c r="Y85" s="253">
        <f>X85/$X$86</f>
        <v>0</v>
      </c>
      <c r="Z85" s="253">
        <f>Y85</f>
        <v>0</v>
      </c>
      <c r="AA85" s="44"/>
      <c r="AB85" s="236"/>
    </row>
    <row r="86" spans="2:28" ht="15.75" customHeight="1" x14ac:dyDescent="0.25">
      <c r="B86" s="48" t="s">
        <v>30</v>
      </c>
      <c r="C86" s="271">
        <f>SUM(C72:C85)</f>
        <v>50</v>
      </c>
      <c r="D86" s="44"/>
      <c r="E86" s="44"/>
      <c r="F86" s="45"/>
      <c r="G86" s="45"/>
      <c r="I86" s="286" t="s">
        <v>30</v>
      </c>
      <c r="J86" s="271">
        <f>SUM(J72:J85)</f>
        <v>50</v>
      </c>
      <c r="K86" s="44"/>
      <c r="L86" s="44"/>
      <c r="M86" s="45"/>
      <c r="N86" s="45"/>
      <c r="P86" s="286" t="s">
        <v>30</v>
      </c>
      <c r="Q86" s="271">
        <f>SUM(Q72:Q85)</f>
        <v>50</v>
      </c>
      <c r="R86" s="44"/>
      <c r="S86" s="44"/>
      <c r="T86" s="45"/>
      <c r="U86" s="91"/>
      <c r="W86" s="308" t="s">
        <v>30</v>
      </c>
      <c r="X86" s="271">
        <f>SUM(X72:X85)</f>
        <v>50</v>
      </c>
      <c r="Y86" s="44"/>
      <c r="Z86" s="44"/>
      <c r="AA86" s="45"/>
      <c r="AB86" s="235"/>
    </row>
    <row r="87" spans="2:28" ht="15.75" customHeight="1" x14ac:dyDescent="0.25">
      <c r="B87" s="48" t="s">
        <v>31</v>
      </c>
      <c r="C87" s="271">
        <f>C86-C85-C84-C83-C82</f>
        <v>27</v>
      </c>
      <c r="D87" s="45"/>
      <c r="E87" s="45"/>
      <c r="F87" s="45"/>
      <c r="G87" s="45"/>
      <c r="I87" s="286" t="s">
        <v>31</v>
      </c>
      <c r="J87" s="271">
        <f>J86-J85-J84-J83-J82</f>
        <v>45</v>
      </c>
      <c r="K87" s="45"/>
      <c r="L87" s="45"/>
      <c r="M87" s="45"/>
      <c r="N87" s="45"/>
      <c r="P87" s="286" t="s">
        <v>31</v>
      </c>
      <c r="Q87" s="271">
        <f>Q86-Q85-Q84-Q83-Q82</f>
        <v>49</v>
      </c>
      <c r="R87" s="45"/>
      <c r="S87" s="45"/>
      <c r="T87" s="45"/>
      <c r="U87" s="91"/>
      <c r="W87" s="308" t="s">
        <v>31</v>
      </c>
      <c r="X87" s="271">
        <f>X86-X85-X84-X83-X82</f>
        <v>0</v>
      </c>
      <c r="Y87" s="45"/>
      <c r="Z87" s="45"/>
      <c r="AA87" s="45"/>
      <c r="AB87" s="236" t="s">
        <v>62</v>
      </c>
    </row>
    <row r="88" spans="2:28" ht="15.75" customHeight="1" x14ac:dyDescent="0.25">
      <c r="AB88" s="235"/>
    </row>
    <row r="89" spans="2:28" ht="15.75" customHeight="1" x14ac:dyDescent="0.25">
      <c r="AB89" s="235"/>
    </row>
  </sheetData>
  <mergeCells count="144">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 ref="B75:B77"/>
    <mergeCell ref="C75:C77"/>
    <mergeCell ref="D75:D77"/>
    <mergeCell ref="E75:E77"/>
    <mergeCell ref="F75:F77"/>
    <mergeCell ref="G75:G77"/>
    <mergeCell ref="I75:I77"/>
    <mergeCell ref="J75:J77"/>
    <mergeCell ref="K75:K77"/>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topLeftCell="A33" zoomScale="70" zoomScaleNormal="70" workbookViewId="0"/>
  </sheetViews>
  <sheetFormatPr defaultColWidth="9.140625" defaultRowHeight="15" x14ac:dyDescent="0.2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99" customWidth="1"/>
    <col min="56" max="16384" width="9.140625" style="3"/>
  </cols>
  <sheetData>
    <row r="1" spans="2:56" s="2" customFormat="1" ht="36" thickTop="1" x14ac:dyDescent="0.5">
      <c r="B1" s="2" t="s">
        <v>32</v>
      </c>
      <c r="M1" s="468" t="s">
        <v>225</v>
      </c>
      <c r="N1" s="469"/>
      <c r="O1" s="469"/>
      <c r="P1" s="469"/>
      <c r="Q1" s="469"/>
      <c r="R1" s="469"/>
      <c r="S1" s="469"/>
      <c r="T1" s="469"/>
      <c r="U1" s="469"/>
      <c r="V1" s="469"/>
      <c r="W1" s="469"/>
      <c r="X1" s="469"/>
      <c r="Y1" s="469"/>
      <c r="Z1" s="470"/>
      <c r="AZ1" s="98"/>
      <c r="BA1" s="98"/>
      <c r="BB1" s="98"/>
      <c r="BC1" s="98"/>
    </row>
    <row r="2" spans="2:56" s="2" customFormat="1" ht="35.25" x14ac:dyDescent="0.5">
      <c r="M2" s="471"/>
      <c r="N2" s="472"/>
      <c r="O2" s="472"/>
      <c r="P2" s="472"/>
      <c r="Q2" s="472"/>
      <c r="R2" s="472"/>
      <c r="S2" s="472"/>
      <c r="T2" s="472"/>
      <c r="U2" s="472"/>
      <c r="V2" s="472"/>
      <c r="W2" s="472"/>
      <c r="X2" s="472"/>
      <c r="Y2" s="472"/>
      <c r="Z2" s="473"/>
      <c r="AZ2" s="98"/>
      <c r="BA2" s="98"/>
      <c r="BB2" s="98"/>
      <c r="BC2" s="98"/>
    </row>
    <row r="3" spans="2:56" s="2" customFormat="1" ht="36" thickBot="1" x14ac:dyDescent="0.55000000000000004">
      <c r="M3" s="474"/>
      <c r="N3" s="475"/>
      <c r="O3" s="475"/>
      <c r="P3" s="475"/>
      <c r="Q3" s="475"/>
      <c r="R3" s="475"/>
      <c r="S3" s="475"/>
      <c r="T3" s="475"/>
      <c r="U3" s="475"/>
      <c r="V3" s="475"/>
      <c r="W3" s="475"/>
      <c r="X3" s="475"/>
      <c r="Y3" s="475"/>
      <c r="Z3" s="476"/>
      <c r="AZ3" s="98"/>
      <c r="BA3" s="98"/>
      <c r="BB3" s="98"/>
      <c r="BC3" s="98"/>
    </row>
    <row r="4" spans="2:56" ht="15.75" thickTop="1" x14ac:dyDescent="0.25">
      <c r="N4" s="22" t="s">
        <v>62</v>
      </c>
      <c r="W4" s="22" t="s">
        <v>62</v>
      </c>
      <c r="AF4" s="22" t="s">
        <v>62</v>
      </c>
      <c r="AO4" s="22" t="s">
        <v>62</v>
      </c>
    </row>
    <row r="5" spans="2:56" x14ac:dyDescent="0.25">
      <c r="AY5" s="5" t="s">
        <v>33</v>
      </c>
      <c r="AZ5" s="100"/>
      <c r="BA5" s="100"/>
      <c r="BB5" s="100"/>
      <c r="BC5" s="100"/>
      <c r="BD5" s="4"/>
    </row>
    <row r="6" spans="2:56" x14ac:dyDescent="0.25">
      <c r="AY6" s="6"/>
      <c r="AZ6" s="101" t="s">
        <v>34</v>
      </c>
      <c r="BA6" s="101" t="s">
        <v>35</v>
      </c>
      <c r="BB6" s="101" t="s">
        <v>36</v>
      </c>
      <c r="BC6" s="101" t="s">
        <v>37</v>
      </c>
      <c r="BD6" s="4"/>
    </row>
    <row r="7" spans="2:56" x14ac:dyDescent="0.25">
      <c r="AY7" s="7" t="s">
        <v>19</v>
      </c>
      <c r="AZ7" s="179">
        <f>'3. % BY PRIORITY'!G6</f>
        <v>0.96153846153846156</v>
      </c>
      <c r="BA7" s="179">
        <f>'3. % BY PRIORITY'!N6</f>
        <v>0.96261682242990654</v>
      </c>
      <c r="BB7" s="179">
        <f>'3. % BY PRIORITY'!U6</f>
        <v>0.95575221238938046</v>
      </c>
      <c r="BC7" s="179" t="e">
        <f>'3. % BY PRIORITY'!AB6</f>
        <v>#DIV/0!</v>
      </c>
      <c r="BD7" s="4"/>
    </row>
    <row r="8" spans="2:56" x14ac:dyDescent="0.25">
      <c r="L8" s="8"/>
      <c r="M8" s="8"/>
      <c r="AY8" s="7" t="s">
        <v>20</v>
      </c>
      <c r="AZ8" s="179">
        <f>'3. % BY PRIORITY'!G9</f>
        <v>0</v>
      </c>
      <c r="BA8" s="179">
        <f>'3. % BY PRIORITY'!N9</f>
        <v>0</v>
      </c>
      <c r="BB8" s="179">
        <f>'3. % BY PRIORITY'!U9</f>
        <v>8.8495575221238937E-3</v>
      </c>
      <c r="BC8" s="179" t="e">
        <f>'3. % BY PRIORITY'!AB9</f>
        <v>#DIV/0!</v>
      </c>
      <c r="BD8" s="4"/>
    </row>
    <row r="9" spans="2:56" x14ac:dyDescent="0.25">
      <c r="L9" s="8"/>
      <c r="M9" s="8"/>
      <c r="AY9" s="7" t="s">
        <v>21</v>
      </c>
      <c r="AZ9" s="179">
        <f>'3. % BY PRIORITY'!G13</f>
        <v>3.8461538461538464E-2</v>
      </c>
      <c r="BA9" s="179">
        <f>'3. % BY PRIORITY'!N13</f>
        <v>3.7383177570093455E-2</v>
      </c>
      <c r="BB9" s="179">
        <f>'3. % BY PRIORITY'!U13</f>
        <v>3.5398230088495575E-2</v>
      </c>
      <c r="BC9" s="179" t="e">
        <f>'3. % BY PRIORITY'!AB13</f>
        <v>#DIV/0!</v>
      </c>
      <c r="BD9" s="4"/>
    </row>
    <row r="10" spans="2:56" x14ac:dyDescent="0.25">
      <c r="L10" s="8"/>
      <c r="M10" s="8"/>
      <c r="AY10" s="6"/>
      <c r="AZ10" s="102"/>
      <c r="BA10" s="102"/>
      <c r="BB10" s="102"/>
      <c r="BC10" s="102"/>
      <c r="BD10" s="4"/>
    </row>
    <row r="11" spans="2:56" x14ac:dyDescent="0.25">
      <c r="AY11" s="9"/>
      <c r="AZ11" s="103"/>
      <c r="BA11" s="103"/>
      <c r="BB11" s="104"/>
      <c r="BC11" s="104"/>
      <c r="BD11" s="4"/>
    </row>
    <row r="12" spans="2:56" x14ac:dyDescent="0.25">
      <c r="AY12" s="9"/>
      <c r="AZ12" s="103"/>
      <c r="BA12" s="103"/>
      <c r="BB12" s="104"/>
      <c r="BC12" s="104"/>
      <c r="BD12" s="4"/>
    </row>
    <row r="13" spans="2:56" x14ac:dyDescent="0.25">
      <c r="AY13" s="9"/>
      <c r="AZ13" s="103"/>
      <c r="BA13" s="103"/>
      <c r="BB13" s="104"/>
      <c r="BC13" s="104"/>
      <c r="BD13" s="4"/>
    </row>
    <row r="14" spans="2:56" x14ac:dyDescent="0.25">
      <c r="AY14" s="4"/>
      <c r="AZ14" s="100"/>
      <c r="BA14" s="100"/>
      <c r="BB14" s="100"/>
      <c r="BC14" s="100"/>
      <c r="BD14" s="4"/>
    </row>
    <row r="15" spans="2:56" x14ac:dyDescent="0.25">
      <c r="AY15" s="4"/>
      <c r="AZ15" s="100"/>
      <c r="BA15" s="100"/>
      <c r="BB15" s="100"/>
      <c r="BC15" s="100"/>
      <c r="BD15" s="4"/>
    </row>
    <row r="16" spans="2:56" x14ac:dyDescent="0.25">
      <c r="AY16" s="4"/>
      <c r="AZ16" s="100"/>
      <c r="BA16" s="100"/>
      <c r="BB16" s="100"/>
      <c r="BC16" s="100"/>
      <c r="BD16" s="4"/>
    </row>
    <row r="17" spans="12:56" x14ac:dyDescent="0.25">
      <c r="AY17" s="4"/>
      <c r="AZ17" s="100"/>
      <c r="BA17" s="100"/>
      <c r="BB17" s="100"/>
      <c r="BC17" s="100"/>
      <c r="BD17" s="4"/>
    </row>
    <row r="18" spans="12:56" x14ac:dyDescent="0.25">
      <c r="AY18" s="4"/>
      <c r="AZ18" s="100"/>
      <c r="BA18" s="100"/>
      <c r="BB18" s="100"/>
      <c r="BC18" s="100"/>
      <c r="BD18" s="4"/>
    </row>
    <row r="19" spans="12:56" x14ac:dyDescent="0.25">
      <c r="AY19" s="4"/>
      <c r="AZ19" s="100"/>
      <c r="BA19" s="100"/>
      <c r="BB19" s="100"/>
      <c r="BC19" s="100"/>
      <c r="BD19" s="4"/>
    </row>
    <row r="20" spans="12:56" x14ac:dyDescent="0.25">
      <c r="N20" s="22" t="s">
        <v>62</v>
      </c>
      <c r="W20" s="22" t="s">
        <v>62</v>
      </c>
      <c r="AF20" s="22" t="s">
        <v>62</v>
      </c>
      <c r="AO20" s="22" t="s">
        <v>62</v>
      </c>
      <c r="AY20" s="4"/>
      <c r="AZ20" s="100"/>
      <c r="BA20" s="100"/>
      <c r="BB20" s="100"/>
      <c r="BC20" s="100"/>
      <c r="BD20" s="4"/>
    </row>
    <row r="21" spans="12:56" x14ac:dyDescent="0.25">
      <c r="AY21" s="5" t="s">
        <v>213</v>
      </c>
      <c r="AZ21" s="100"/>
      <c r="BA21" s="100"/>
      <c r="BB21" s="100"/>
      <c r="BC21" s="100"/>
      <c r="BD21" s="4"/>
    </row>
    <row r="22" spans="12:56" x14ac:dyDescent="0.25">
      <c r="AY22" s="6"/>
      <c r="AZ22" s="101" t="s">
        <v>34</v>
      </c>
      <c r="BA22" s="101" t="s">
        <v>35</v>
      </c>
      <c r="BB22" s="101" t="s">
        <v>36</v>
      </c>
      <c r="BC22" s="101" t="s">
        <v>37</v>
      </c>
      <c r="BD22" s="4"/>
    </row>
    <row r="23" spans="12:56" x14ac:dyDescent="0.25">
      <c r="AY23" s="7" t="s">
        <v>19</v>
      </c>
      <c r="AZ23" s="179">
        <f>'3. % BY PRIORITY'!G28</f>
        <v>0.94871794871794879</v>
      </c>
      <c r="BA23" s="179">
        <f>'3. % BY PRIORITY'!N28</f>
        <v>0.94000000000000006</v>
      </c>
      <c r="BB23" s="179">
        <f>'3. % BY PRIORITY'!U28</f>
        <v>0.94230769230769229</v>
      </c>
      <c r="BC23" s="179" t="e">
        <f>'3. % BY PRIORITY'!AB28</f>
        <v>#DIV/0!</v>
      </c>
      <c r="BD23" s="4"/>
    </row>
    <row r="24" spans="12:56" x14ac:dyDescent="0.25">
      <c r="L24" s="8"/>
      <c r="M24" s="8"/>
      <c r="AY24" s="7" t="s">
        <v>20</v>
      </c>
      <c r="AZ24" s="179">
        <f>'3. % BY PRIORITY'!G31</f>
        <v>0</v>
      </c>
      <c r="BA24" s="179">
        <f>'3. % BY PRIORITY'!N31</f>
        <v>0</v>
      </c>
      <c r="BB24" s="179">
        <f>'3. % BY PRIORITY'!U31</f>
        <v>0</v>
      </c>
      <c r="BC24" s="179" t="e">
        <f>'3. % BY PRIORITY'!AB31</f>
        <v>#DIV/0!</v>
      </c>
      <c r="BD24" s="4"/>
    </row>
    <row r="25" spans="12:56" x14ac:dyDescent="0.25">
      <c r="L25" s="8"/>
      <c r="M25" s="8"/>
      <c r="AY25" s="7" t="s">
        <v>21</v>
      </c>
      <c r="AZ25" s="179">
        <f>'3. % BY PRIORITY'!G35</f>
        <v>5.128205128205128E-2</v>
      </c>
      <c r="BA25" s="179">
        <f>'3. % BY PRIORITY'!N35</f>
        <v>0.06</v>
      </c>
      <c r="BB25" s="179">
        <f>'3. % BY PRIORITY'!U35</f>
        <v>5.7692307692307696E-2</v>
      </c>
      <c r="BC25" s="179" t="e">
        <f>'3. % BY PRIORITY'!AB35</f>
        <v>#DIV/0!</v>
      </c>
      <c r="BD25" s="4"/>
    </row>
    <row r="26" spans="12:56" x14ac:dyDescent="0.25">
      <c r="L26" s="8"/>
      <c r="M26" s="8"/>
      <c r="AY26" s="4"/>
      <c r="AZ26" s="100"/>
      <c r="BA26" s="100"/>
      <c r="BB26" s="100"/>
      <c r="BC26" s="100"/>
      <c r="BD26" s="4"/>
    </row>
    <row r="27" spans="12:56" x14ac:dyDescent="0.25">
      <c r="AY27" s="9"/>
      <c r="AZ27" s="100"/>
      <c r="BA27" s="100"/>
      <c r="BB27" s="100"/>
      <c r="BC27" s="100"/>
      <c r="BD27" s="4"/>
    </row>
    <row r="28" spans="12:56" x14ac:dyDescent="0.25">
      <c r="AY28" s="9"/>
      <c r="AZ28" s="100"/>
      <c r="BA28" s="100"/>
      <c r="BB28" s="100"/>
      <c r="BC28" s="100"/>
      <c r="BD28" s="4"/>
    </row>
    <row r="29" spans="12:56" x14ac:dyDescent="0.25">
      <c r="AY29" s="9"/>
      <c r="AZ29" s="100"/>
      <c r="BA29" s="100"/>
      <c r="BB29" s="100"/>
      <c r="BC29" s="100"/>
      <c r="BD29" s="4"/>
    </row>
    <row r="30" spans="12:56" x14ac:dyDescent="0.25">
      <c r="AY30" s="4"/>
      <c r="AZ30" s="100"/>
      <c r="BA30" s="100"/>
      <c r="BB30" s="100"/>
      <c r="BC30" s="100"/>
      <c r="BD30" s="4"/>
    </row>
    <row r="31" spans="12:56" x14ac:dyDescent="0.25">
      <c r="AY31" s="4"/>
      <c r="AZ31" s="100"/>
      <c r="BA31" s="100"/>
      <c r="BB31" s="100"/>
      <c r="BC31" s="100"/>
      <c r="BD31" s="4"/>
    </row>
    <row r="32" spans="12:56" x14ac:dyDescent="0.25">
      <c r="AY32" s="4"/>
      <c r="AZ32" s="100"/>
      <c r="BA32" s="100"/>
      <c r="BB32" s="100"/>
      <c r="BC32" s="100"/>
      <c r="BD32" s="4"/>
    </row>
    <row r="33" spans="11:56" x14ac:dyDescent="0.25">
      <c r="AY33" s="4"/>
      <c r="AZ33" s="100"/>
      <c r="BA33" s="100"/>
      <c r="BB33" s="100"/>
      <c r="BC33" s="100"/>
      <c r="BD33" s="4"/>
    </row>
    <row r="34" spans="11:56" x14ac:dyDescent="0.25">
      <c r="AY34" s="4"/>
      <c r="AZ34" s="100"/>
      <c r="BA34" s="100"/>
      <c r="BB34" s="100"/>
      <c r="BC34" s="100"/>
      <c r="BD34" s="4"/>
    </row>
    <row r="35" spans="11:56" x14ac:dyDescent="0.25">
      <c r="AY35" s="4"/>
      <c r="AZ35" s="100"/>
      <c r="BA35" s="100"/>
      <c r="BB35" s="100"/>
      <c r="BC35" s="100"/>
      <c r="BD35" s="4"/>
    </row>
    <row r="36" spans="11:56" x14ac:dyDescent="0.25">
      <c r="N36" s="22" t="s">
        <v>62</v>
      </c>
      <c r="W36" s="22" t="s">
        <v>62</v>
      </c>
      <c r="AF36" s="22" t="s">
        <v>62</v>
      </c>
      <c r="AO36" s="22" t="s">
        <v>62</v>
      </c>
      <c r="AY36" s="4"/>
      <c r="AZ36" s="100"/>
      <c r="BA36" s="100"/>
      <c r="BB36" s="100"/>
      <c r="BC36" s="100"/>
      <c r="BD36" s="4"/>
    </row>
    <row r="37" spans="11:56" x14ac:dyDescent="0.25">
      <c r="AY37" s="5" t="s">
        <v>214</v>
      </c>
      <c r="AZ37" s="105"/>
      <c r="BA37" s="105"/>
      <c r="BB37" s="105"/>
      <c r="BC37" s="105"/>
      <c r="BD37" s="10"/>
    </row>
    <row r="38" spans="11:56" x14ac:dyDescent="0.25">
      <c r="AY38" s="11"/>
      <c r="AZ38" s="101" t="s">
        <v>34</v>
      </c>
      <c r="BA38" s="101" t="s">
        <v>35</v>
      </c>
      <c r="BB38" s="101" t="s">
        <v>36</v>
      </c>
      <c r="BC38" s="101" t="s">
        <v>37</v>
      </c>
      <c r="BD38" s="10"/>
    </row>
    <row r="39" spans="11:56" x14ac:dyDescent="0.25">
      <c r="AY39" s="7" t="s">
        <v>19</v>
      </c>
      <c r="AZ39" s="179">
        <f>'3. % BY PRIORITY'!G50</f>
        <v>0.91666666666666663</v>
      </c>
      <c r="BA39" s="179">
        <f>'3. % BY PRIORITY'!N50</f>
        <v>0.91666666666666663</v>
      </c>
      <c r="BB39" s="179">
        <f>'3. % BY PRIORITY'!U50</f>
        <v>0.91666666666666674</v>
      </c>
      <c r="BC39" s="179" t="e">
        <f>'3. % BY PRIORITY'!AB50</f>
        <v>#DIV/0!</v>
      </c>
      <c r="BD39" s="10"/>
    </row>
    <row r="40" spans="11:56" x14ac:dyDescent="0.25">
      <c r="K40" s="8"/>
      <c r="L40" s="8"/>
      <c r="AY40" s="7" t="s">
        <v>20</v>
      </c>
      <c r="AZ40" s="179">
        <f>'3. % BY PRIORITY'!G53</f>
        <v>0</v>
      </c>
      <c r="BA40" s="179">
        <f>'3. % BY PRIORITY'!N53</f>
        <v>0</v>
      </c>
      <c r="BB40" s="179">
        <f>'3. % BY PRIORITY'!U53</f>
        <v>0</v>
      </c>
      <c r="BC40" s="179" t="e">
        <f>'3. % BY PRIORITY'!AB53</f>
        <v>#DIV/0!</v>
      </c>
      <c r="BD40" s="10"/>
    </row>
    <row r="41" spans="11:56" x14ac:dyDescent="0.25">
      <c r="K41" s="8"/>
      <c r="L41" s="8"/>
      <c r="AY41" s="7" t="s">
        <v>21</v>
      </c>
      <c r="AZ41" s="179">
        <f>'3. % BY PRIORITY'!G57</f>
        <v>8.3333333333333329E-2</v>
      </c>
      <c r="BA41" s="179">
        <f>'3. % BY PRIORITY'!N57</f>
        <v>8.3333333333333329E-2</v>
      </c>
      <c r="BB41" s="179">
        <f>'3. % BY PRIORITY'!U57</f>
        <v>8.3333333333333329E-2</v>
      </c>
      <c r="BC41" s="179" t="e">
        <f>'3. % BY PRIORITY'!AB57</f>
        <v>#DIV/0!</v>
      </c>
      <c r="BD41" s="10"/>
    </row>
    <row r="42" spans="11:56" x14ac:dyDescent="0.25">
      <c r="K42" s="8"/>
      <c r="L42" s="8"/>
      <c r="AY42" s="4"/>
      <c r="AZ42" s="100"/>
      <c r="BA42" s="100"/>
      <c r="BB42" s="100"/>
      <c r="BC42" s="100"/>
      <c r="BD42" s="4"/>
    </row>
    <row r="43" spans="11:56" x14ac:dyDescent="0.25">
      <c r="AY43" s="9"/>
      <c r="AZ43" s="100"/>
      <c r="BA43" s="100"/>
      <c r="BB43" s="100"/>
      <c r="BC43" s="100"/>
      <c r="BD43" s="4"/>
    </row>
    <row r="44" spans="11:56" x14ac:dyDescent="0.25">
      <c r="AY44" s="9"/>
      <c r="AZ44" s="100"/>
      <c r="BA44" s="100"/>
      <c r="BB44" s="100"/>
      <c r="BC44" s="100"/>
      <c r="BD44" s="4"/>
    </row>
    <row r="45" spans="11:56" x14ac:dyDescent="0.25">
      <c r="AY45" s="9"/>
      <c r="AZ45" s="100"/>
      <c r="BA45" s="100"/>
      <c r="BB45" s="100"/>
      <c r="BC45" s="100"/>
      <c r="BD45" s="4"/>
    </row>
    <row r="46" spans="11:56" x14ac:dyDescent="0.25">
      <c r="AY46" s="4"/>
      <c r="AZ46" s="100"/>
      <c r="BA46" s="100"/>
      <c r="BB46" s="100"/>
      <c r="BC46" s="100"/>
      <c r="BD46" s="4"/>
    </row>
    <row r="47" spans="11:56" x14ac:dyDescent="0.25">
      <c r="AY47" s="4"/>
      <c r="AZ47" s="100"/>
      <c r="BA47" s="100"/>
      <c r="BB47" s="100"/>
      <c r="BC47" s="100"/>
      <c r="BD47" s="4"/>
    </row>
    <row r="48" spans="11:56" x14ac:dyDescent="0.25">
      <c r="AY48" s="4"/>
      <c r="AZ48" s="100"/>
      <c r="BA48" s="100"/>
      <c r="BB48" s="100"/>
      <c r="BC48" s="100"/>
      <c r="BD48" s="4"/>
    </row>
    <row r="49" spans="12:56" x14ac:dyDescent="0.25">
      <c r="AY49" s="4"/>
      <c r="AZ49" s="100"/>
      <c r="BA49" s="100"/>
      <c r="BB49" s="100"/>
      <c r="BC49" s="100"/>
      <c r="BD49" s="4"/>
    </row>
    <row r="50" spans="12:56" x14ac:dyDescent="0.25">
      <c r="AY50" s="4"/>
      <c r="AZ50" s="100"/>
      <c r="BA50" s="100"/>
      <c r="BB50" s="100"/>
      <c r="BC50" s="100"/>
      <c r="BD50" s="4"/>
    </row>
    <row r="51" spans="12:56" x14ac:dyDescent="0.25">
      <c r="AY51" s="4"/>
      <c r="AZ51" s="100"/>
      <c r="BA51" s="100"/>
      <c r="BB51" s="100"/>
      <c r="BC51" s="100"/>
      <c r="BD51" s="4"/>
    </row>
    <row r="52" spans="12:56" x14ac:dyDescent="0.25">
      <c r="N52" s="22" t="s">
        <v>62</v>
      </c>
      <c r="W52" s="22" t="s">
        <v>62</v>
      </c>
      <c r="AF52" s="22" t="s">
        <v>62</v>
      </c>
      <c r="AP52" s="22" t="s">
        <v>62</v>
      </c>
      <c r="AY52" s="4"/>
      <c r="AZ52" s="100"/>
      <c r="BA52" s="100"/>
      <c r="BB52" s="100"/>
      <c r="BC52" s="100"/>
      <c r="BD52" s="4"/>
    </row>
    <row r="53" spans="12:56" x14ac:dyDescent="0.25">
      <c r="AY53" s="5" t="s">
        <v>215</v>
      </c>
      <c r="AZ53" s="105"/>
      <c r="BA53" s="105"/>
      <c r="BB53" s="105"/>
      <c r="BC53" s="105"/>
      <c r="BD53" s="4"/>
    </row>
    <row r="54" spans="12:56" x14ac:dyDescent="0.25">
      <c r="AY54" s="11"/>
      <c r="AZ54" s="101" t="s">
        <v>34</v>
      </c>
      <c r="BA54" s="101" t="s">
        <v>35</v>
      </c>
      <c r="BB54" s="101" t="s">
        <v>36</v>
      </c>
      <c r="BC54" s="101" t="s">
        <v>37</v>
      </c>
      <c r="BD54" s="4"/>
    </row>
    <row r="55" spans="12:56" x14ac:dyDescent="0.25">
      <c r="AY55" s="7" t="s">
        <v>19</v>
      </c>
      <c r="AZ55" s="179">
        <f>'3. % BY PRIORITY'!G72</f>
        <v>1</v>
      </c>
      <c r="BA55" s="179">
        <f>'3. % BY PRIORITY'!N72</f>
        <v>1</v>
      </c>
      <c r="BB55" s="179">
        <f>'3. % BY PRIORITY'!U72</f>
        <v>0.97959183673469385</v>
      </c>
      <c r="BC55" s="179" t="e">
        <f>'3. % BY PRIORITY'!AB72</f>
        <v>#DIV/0!</v>
      </c>
      <c r="BD55" s="4"/>
    </row>
    <row r="56" spans="12:56" x14ac:dyDescent="0.25">
      <c r="L56" s="8"/>
      <c r="M56" s="8"/>
      <c r="AY56" s="7" t="s">
        <v>20</v>
      </c>
      <c r="AZ56" s="179">
        <f>'3. % BY PRIORITY'!G75</f>
        <v>0</v>
      </c>
      <c r="BA56" s="179">
        <f>'3. % BY PRIORITY'!N75</f>
        <v>0</v>
      </c>
      <c r="BB56" s="179">
        <f>'3. % BY PRIORITY'!U75</f>
        <v>2.0408163265306121E-2</v>
      </c>
      <c r="BC56" s="179" t="e">
        <f>'3. % BY PRIORITY'!AB75</f>
        <v>#DIV/0!</v>
      </c>
      <c r="BD56" s="4"/>
    </row>
    <row r="57" spans="12:56" x14ac:dyDescent="0.25">
      <c r="L57" s="8"/>
      <c r="M57" s="8"/>
      <c r="AY57" s="7" t="s">
        <v>21</v>
      </c>
      <c r="AZ57" s="179">
        <f>'3. % BY PRIORITY'!G79</f>
        <v>0</v>
      </c>
      <c r="BA57" s="179">
        <f>'3. % BY PRIORITY'!N79</f>
        <v>0</v>
      </c>
      <c r="BB57" s="179">
        <f>'3. % BY PRIORITY'!U79</f>
        <v>0</v>
      </c>
      <c r="BC57" s="179" t="e">
        <f>'3. % BY PRIORITY'!AB79</f>
        <v>#DIV/0!</v>
      </c>
      <c r="BD57" s="4"/>
    </row>
    <row r="58" spans="12:56" x14ac:dyDescent="0.25">
      <c r="L58" s="8"/>
      <c r="M58" s="8"/>
      <c r="AY58" s="4"/>
      <c r="AZ58" s="100"/>
      <c r="BA58" s="100"/>
      <c r="BB58" s="100"/>
      <c r="BC58" s="100"/>
      <c r="BD58" s="4"/>
    </row>
    <row r="59" spans="12:56" x14ac:dyDescent="0.25">
      <c r="AY59" s="9"/>
      <c r="AZ59" s="100"/>
      <c r="BA59" s="100"/>
      <c r="BB59" s="100"/>
      <c r="BC59" s="100"/>
      <c r="BD59" s="4"/>
    </row>
    <row r="60" spans="12:56" x14ac:dyDescent="0.25">
      <c r="AY60" s="9"/>
      <c r="AZ60" s="100"/>
      <c r="BA60" s="100"/>
      <c r="BB60" s="100"/>
      <c r="BC60" s="100"/>
      <c r="BD60" s="4"/>
    </row>
    <row r="61" spans="12:56" x14ac:dyDescent="0.25">
      <c r="AY61" s="9"/>
      <c r="AZ61" s="100"/>
      <c r="BA61" s="100"/>
      <c r="BB61" s="100"/>
      <c r="BC61" s="100"/>
      <c r="BD61" s="4"/>
    </row>
    <row r="62" spans="12:56" x14ac:dyDescent="0.25">
      <c r="AY62" s="4"/>
      <c r="AZ62" s="100"/>
      <c r="BA62" s="100"/>
      <c r="BB62" s="100"/>
      <c r="BC62" s="100"/>
      <c r="BD62" s="4"/>
    </row>
    <row r="63" spans="12:56" x14ac:dyDescent="0.25">
      <c r="AY63" s="4"/>
      <c r="AZ63" s="100"/>
      <c r="BA63" s="100"/>
      <c r="BB63" s="100"/>
      <c r="BC63" s="100"/>
      <c r="BD63" s="4"/>
    </row>
    <row r="64" spans="12:56" x14ac:dyDescent="0.25">
      <c r="AY64" s="4"/>
      <c r="AZ64" s="100"/>
      <c r="BA64" s="100"/>
      <c r="BB64" s="100"/>
      <c r="BC64" s="100"/>
      <c r="BD64" s="4"/>
    </row>
    <row r="65" spans="51:56" x14ac:dyDescent="0.25">
      <c r="AY65" s="4"/>
      <c r="AZ65" s="100"/>
      <c r="BA65" s="100"/>
      <c r="BB65" s="100"/>
      <c r="BC65" s="100"/>
      <c r="BD65" s="4"/>
    </row>
    <row r="66" spans="51:56" x14ac:dyDescent="0.25">
      <c r="AY66" s="4"/>
      <c r="AZ66" s="100"/>
      <c r="BA66" s="100"/>
      <c r="BB66" s="100"/>
      <c r="BC66" s="100"/>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topLeftCell="O1" zoomScale="70" zoomScaleNormal="70" workbookViewId="0">
      <pane ySplit="1" topLeftCell="A2" activePane="bottomLeft" state="frozen"/>
      <selection pane="bottomLeft" activeCell="D1" sqref="D1"/>
    </sheetView>
  </sheetViews>
  <sheetFormatPr defaultColWidth="9.140625" defaultRowHeight="14.25" x14ac:dyDescent="0.25"/>
  <cols>
    <col min="1" max="1" width="3.42578125" style="58" customWidth="1"/>
    <col min="2" max="2" width="38.85546875" style="58" customWidth="1"/>
    <col min="3" max="3" width="13.7109375" style="79" customWidth="1"/>
    <col min="4" max="4" width="13.85546875" style="79" customWidth="1"/>
    <col min="5" max="5" width="16.28515625" style="79" customWidth="1"/>
    <col min="6" max="6" width="14.140625" style="58" customWidth="1"/>
    <col min="7" max="7" width="17.140625" style="79" customWidth="1"/>
    <col min="8" max="8" width="4.7109375" style="58" customWidth="1"/>
    <col min="9" max="9" width="40.140625" style="58" customWidth="1"/>
    <col min="10" max="10" width="13.7109375" style="79" customWidth="1"/>
    <col min="11" max="13" width="17.140625" style="58" customWidth="1"/>
    <col min="14" max="14" width="17.140625" style="79" customWidth="1"/>
    <col min="15" max="15" width="4.7109375" style="58" customWidth="1"/>
    <col min="16" max="16" width="40.140625" style="58" customWidth="1"/>
    <col min="17" max="17" width="13.7109375" style="79" customWidth="1"/>
    <col min="18" max="20" width="17.140625" style="58" customWidth="1"/>
    <col min="21" max="21" width="17.140625" style="87" customWidth="1"/>
    <col min="22" max="22" width="4.7109375" style="58" customWidth="1"/>
    <col min="23" max="23" width="55.28515625" style="58" customWidth="1"/>
    <col min="24" max="24" width="13.7109375" style="79" customWidth="1"/>
    <col min="25" max="27" width="17.140625" style="58" customWidth="1"/>
    <col min="28" max="28" width="17.140625" style="234" customWidth="1"/>
    <col min="29" max="16384" width="9.140625" style="58"/>
  </cols>
  <sheetData>
    <row r="1" spans="2:28" s="56" customFormat="1" ht="20.25" x14ac:dyDescent="0.25">
      <c r="B1" s="202"/>
      <c r="C1" s="369" t="s">
        <v>13</v>
      </c>
      <c r="D1" s="205"/>
      <c r="E1" s="205"/>
      <c r="F1" s="204"/>
      <c r="G1" s="205"/>
      <c r="I1" s="203" t="s">
        <v>14</v>
      </c>
      <c r="J1" s="369"/>
      <c r="K1" s="202"/>
      <c r="L1" s="202"/>
      <c r="M1" s="202"/>
      <c r="N1" s="206"/>
      <c r="P1" s="202" t="s">
        <v>15</v>
      </c>
      <c r="Q1" s="369"/>
      <c r="R1" s="202"/>
      <c r="S1" s="202"/>
      <c r="T1" s="202"/>
      <c r="U1" s="207"/>
      <c r="W1" s="202" t="s">
        <v>16</v>
      </c>
      <c r="X1" s="369"/>
      <c r="Y1" s="202"/>
      <c r="Z1" s="202"/>
      <c r="AA1" s="202"/>
      <c r="AB1" s="241"/>
    </row>
    <row r="2" spans="2:28" ht="15.75" x14ac:dyDescent="0.25">
      <c r="B2" s="65"/>
      <c r="C2" s="57"/>
      <c r="D2" s="57"/>
      <c r="E2" s="57"/>
      <c r="F2" s="65"/>
      <c r="G2" s="57"/>
      <c r="I2" s="66"/>
      <c r="J2" s="57"/>
      <c r="K2" s="66"/>
      <c r="L2" s="66"/>
      <c r="M2" s="66"/>
      <c r="N2" s="95"/>
      <c r="P2" s="66"/>
      <c r="Q2" s="57"/>
      <c r="R2" s="66"/>
      <c r="S2" s="66"/>
      <c r="T2" s="66"/>
      <c r="U2" s="83"/>
      <c r="W2" s="66"/>
      <c r="X2" s="57"/>
      <c r="Y2" s="66"/>
      <c r="Z2" s="66"/>
      <c r="AA2" s="66"/>
      <c r="AB2" s="229"/>
    </row>
    <row r="3" spans="2:28" s="61" customFormat="1" ht="15.75" x14ac:dyDescent="0.25">
      <c r="B3" s="315" t="s">
        <v>76</v>
      </c>
      <c r="C3" s="370"/>
      <c r="D3" s="370"/>
      <c r="E3" s="370"/>
      <c r="F3" s="309"/>
      <c r="G3" s="310"/>
      <c r="I3" s="315" t="s">
        <v>76</v>
      </c>
      <c r="J3" s="370"/>
      <c r="K3" s="309"/>
      <c r="L3" s="309"/>
      <c r="M3" s="309"/>
      <c r="N3" s="310"/>
      <c r="P3" s="315" t="s">
        <v>76</v>
      </c>
      <c r="Q3" s="370"/>
      <c r="R3" s="309"/>
      <c r="S3" s="309"/>
      <c r="T3" s="309"/>
      <c r="U3" s="310"/>
      <c r="W3" s="315" t="s">
        <v>76</v>
      </c>
      <c r="X3" s="370"/>
      <c r="Y3" s="309"/>
      <c r="Z3" s="309"/>
      <c r="AA3" s="309"/>
      <c r="AB3" s="310"/>
    </row>
    <row r="4" spans="2:28" ht="42" customHeight="1" x14ac:dyDescent="0.25">
      <c r="B4" s="311" t="s">
        <v>23</v>
      </c>
      <c r="C4" s="312" t="s">
        <v>24</v>
      </c>
      <c r="D4" s="312" t="s">
        <v>18</v>
      </c>
      <c r="E4" s="312" t="s">
        <v>48</v>
      </c>
      <c r="F4" s="311" t="s">
        <v>29</v>
      </c>
      <c r="G4" s="312" t="s">
        <v>49</v>
      </c>
      <c r="I4" s="311" t="s">
        <v>23</v>
      </c>
      <c r="J4" s="312" t="s">
        <v>24</v>
      </c>
      <c r="K4" s="311" t="s">
        <v>18</v>
      </c>
      <c r="L4" s="311" t="s">
        <v>48</v>
      </c>
      <c r="M4" s="311" t="s">
        <v>29</v>
      </c>
      <c r="N4" s="312" t="s">
        <v>49</v>
      </c>
      <c r="P4" s="311" t="s">
        <v>23</v>
      </c>
      <c r="Q4" s="312" t="s">
        <v>24</v>
      </c>
      <c r="R4" s="311" t="s">
        <v>18</v>
      </c>
      <c r="S4" s="311" t="s">
        <v>48</v>
      </c>
      <c r="T4" s="311" t="s">
        <v>29</v>
      </c>
      <c r="U4" s="313" t="s">
        <v>49</v>
      </c>
      <c r="W4" s="311" t="s">
        <v>23</v>
      </c>
      <c r="X4" s="312" t="s">
        <v>24</v>
      </c>
      <c r="Y4" s="311" t="s">
        <v>18</v>
      </c>
      <c r="Z4" s="311" t="s">
        <v>48</v>
      </c>
      <c r="AA4" s="311" t="s">
        <v>29</v>
      </c>
      <c r="AB4" s="314" t="s">
        <v>49</v>
      </c>
    </row>
    <row r="5" spans="2:28" s="61" customFormat="1" ht="6" customHeight="1" x14ac:dyDescent="0.25">
      <c r="B5" s="167"/>
      <c r="C5" s="177"/>
      <c r="D5" s="177"/>
      <c r="E5" s="177"/>
      <c r="F5" s="167"/>
      <c r="G5" s="177"/>
      <c r="I5" s="167"/>
      <c r="J5" s="177"/>
      <c r="K5" s="167"/>
      <c r="L5" s="167"/>
      <c r="M5" s="167"/>
      <c r="N5" s="177"/>
      <c r="P5" s="167"/>
      <c r="Q5" s="177"/>
      <c r="R5" s="167"/>
      <c r="S5" s="167"/>
      <c r="T5" s="167"/>
      <c r="U5" s="178"/>
      <c r="W5" s="167"/>
      <c r="X5" s="177"/>
      <c r="Y5" s="167"/>
      <c r="Z5" s="167"/>
      <c r="AA5" s="167"/>
      <c r="AB5" s="232"/>
    </row>
    <row r="6" spans="2:28" ht="21.75" customHeight="1" x14ac:dyDescent="0.25">
      <c r="B6" s="247" t="s">
        <v>45</v>
      </c>
      <c r="C6" s="269">
        <f>COUNTIFS('1. ALL DATA'!$Y$5:$Y$128,"LEADER OF THE COUNCIL",'1. ALL DATA'!$H$5:$H$128,"Fully Achieved")</f>
        <v>1</v>
      </c>
      <c r="D6" s="367">
        <f>C6/C20</f>
        <v>0.05</v>
      </c>
      <c r="E6" s="462">
        <f>D6+D7</f>
        <v>0.65</v>
      </c>
      <c r="F6" s="118">
        <f>C6/C21</f>
        <v>7.6923076923076927E-2</v>
      </c>
      <c r="G6" s="459">
        <f>F6+F7</f>
        <v>1</v>
      </c>
      <c r="I6" s="247" t="s">
        <v>45</v>
      </c>
      <c r="J6" s="269">
        <f>COUNTIFS('1. ALL DATA'!$Y$5:$Y$128,"LEADER OF THE COUNCIL",'1. ALL DATA'!$M$5:$M$128,"Fully Achieved")</f>
        <v>5</v>
      </c>
      <c r="K6" s="118">
        <f>J6/J20</f>
        <v>0.25</v>
      </c>
      <c r="L6" s="477">
        <f>K6+K7</f>
        <v>0.75</v>
      </c>
      <c r="M6" s="118">
        <f>J6/J21</f>
        <v>0.33333333333333331</v>
      </c>
      <c r="N6" s="459">
        <f>M6+M7</f>
        <v>1</v>
      </c>
      <c r="P6" s="247" t="s">
        <v>45</v>
      </c>
      <c r="Q6" s="269">
        <f>COUNTIFS('1. ALL DATA'!$Y$5:$Y$128,"LEADER OF THE COUNCIL",'1. ALL DATA'!$R$5:$R$128,"Fully Achieved")</f>
        <v>6</v>
      </c>
      <c r="R6" s="118">
        <f>Q6/Q20</f>
        <v>0.3</v>
      </c>
      <c r="S6" s="477">
        <f>R6+R7</f>
        <v>0.8</v>
      </c>
      <c r="T6" s="118">
        <f>Q6/Q21</f>
        <v>0.375</v>
      </c>
      <c r="U6" s="459">
        <f>T6+T7</f>
        <v>1</v>
      </c>
      <c r="W6" s="247" t="s">
        <v>45</v>
      </c>
      <c r="X6" s="269">
        <f>COUNTIFS('1. ALL DATA'!$Y$5:$Y$128,"LEADER OF THE COUNCIL",'1. ALL DATA'!$V$5:$V$128,"Fully Achieved")</f>
        <v>0</v>
      </c>
      <c r="Y6" s="118">
        <f>X6/$X$20</f>
        <v>0</v>
      </c>
      <c r="Z6" s="477">
        <f>Y6+Y7</f>
        <v>0</v>
      </c>
      <c r="AA6" s="118" t="e">
        <f>X6/$X$21</f>
        <v>#DIV/0!</v>
      </c>
      <c r="AB6" s="459" t="e">
        <f>AA6+AA7</f>
        <v>#DIV/0!</v>
      </c>
    </row>
    <row r="7" spans="2:28" ht="18.75" customHeight="1" x14ac:dyDescent="0.25">
      <c r="B7" s="247" t="s">
        <v>41</v>
      </c>
      <c r="C7" s="269">
        <f>COUNTIFS('1. ALL DATA'!$Y$5:$Y$128,"LEADER OF THE COUNCIL",'1. ALL DATA'!$H$5:$H$128,"On TRACK TO BE ACHIEVED")</f>
        <v>12</v>
      </c>
      <c r="D7" s="367">
        <f>C7/C20</f>
        <v>0.6</v>
      </c>
      <c r="E7" s="462"/>
      <c r="F7" s="118">
        <f>C7/C21</f>
        <v>0.92307692307692313</v>
      </c>
      <c r="G7" s="459"/>
      <c r="I7" s="247" t="s">
        <v>41</v>
      </c>
      <c r="J7" s="269">
        <f>COUNTIFS('1. ALL DATA'!$Y$5:$Y$128,"LEADER OF THE COUNCIL",'1. ALL DATA'!$M$5:$M$128,"On TRACK TO BE ACHIEVED")</f>
        <v>10</v>
      </c>
      <c r="K7" s="118">
        <f>J7/J20</f>
        <v>0.5</v>
      </c>
      <c r="L7" s="477"/>
      <c r="M7" s="118">
        <f>J7/J21</f>
        <v>0.66666666666666663</v>
      </c>
      <c r="N7" s="459"/>
      <c r="P7" s="247" t="s">
        <v>41</v>
      </c>
      <c r="Q7" s="269">
        <f>COUNTIFS('1. ALL DATA'!$Y$5:$Y$128,"LEADER OF THE COUNCIL",'1. ALL DATA'!$R$5:$R$128,"On TRACK TO BE ACHIEVED")</f>
        <v>10</v>
      </c>
      <c r="R7" s="118">
        <f>Q7/Q20</f>
        <v>0.5</v>
      </c>
      <c r="S7" s="477"/>
      <c r="T7" s="118">
        <f>Q7/Q21</f>
        <v>0.625</v>
      </c>
      <c r="U7" s="459"/>
      <c r="W7" s="247" t="s">
        <v>79</v>
      </c>
      <c r="X7" s="269">
        <f>COUNTIFS('1. ALL DATA'!$Y$5:$Y$128,"LEADER OF THE COUNCIL",'1. ALL DATA'!$V$5:$V$128,"Numerical Outturn Within 5% Tolerance")</f>
        <v>0</v>
      </c>
      <c r="Y7" s="137">
        <f>X7/$X$20</f>
        <v>0</v>
      </c>
      <c r="Z7" s="477"/>
      <c r="AA7" s="137" t="e">
        <f t="shared" ref="AA7:AA14" si="0">X7/$X$21</f>
        <v>#DIV/0!</v>
      </c>
      <c r="AB7" s="459"/>
    </row>
    <row r="8" spans="2:28" s="61" customFormat="1" ht="6" customHeight="1" x14ac:dyDescent="0.25">
      <c r="B8" s="167"/>
      <c r="C8" s="265"/>
      <c r="D8" s="251"/>
      <c r="E8" s="251"/>
      <c r="F8" s="168"/>
      <c r="G8" s="169"/>
      <c r="I8" s="167"/>
      <c r="J8" s="265"/>
      <c r="K8" s="168"/>
      <c r="L8" s="168"/>
      <c r="M8" s="168"/>
      <c r="N8" s="169"/>
      <c r="P8" s="167"/>
      <c r="Q8" s="265"/>
      <c r="R8" s="168"/>
      <c r="S8" s="168"/>
      <c r="T8" s="168"/>
      <c r="U8" s="169"/>
      <c r="W8" s="170"/>
      <c r="X8" s="265"/>
      <c r="Y8" s="316"/>
      <c r="Z8" s="168"/>
      <c r="AA8" s="316"/>
      <c r="AB8" s="169"/>
    </row>
    <row r="9" spans="2:28" ht="21" customHeight="1" x14ac:dyDescent="0.25">
      <c r="B9" s="460" t="s">
        <v>26</v>
      </c>
      <c r="C9" s="482">
        <f>COUNTIFS('1. ALL DATA'!$Y$5:$Y$128,"LEADER OF THE COUNCIL",'1. ALL DATA'!$H$5:$H$128,"In danger of falling behind target")</f>
        <v>0</v>
      </c>
      <c r="D9" s="462">
        <f>C9/C20</f>
        <v>0</v>
      </c>
      <c r="E9" s="462">
        <f>D9</f>
        <v>0</v>
      </c>
      <c r="F9" s="477">
        <f>C9/C21</f>
        <v>0</v>
      </c>
      <c r="G9" s="464">
        <f>F9</f>
        <v>0</v>
      </c>
      <c r="I9" s="460" t="s">
        <v>26</v>
      </c>
      <c r="J9" s="482">
        <f>COUNTIFS('1. ALL DATA'!$Y$5:$Y$128,"LEADER OF THE COUNCIL",'1. ALL DATA'!$M$5:$M$128,"In danger of falling behind target")</f>
        <v>0</v>
      </c>
      <c r="K9" s="477">
        <f>J9/J20</f>
        <v>0</v>
      </c>
      <c r="L9" s="477">
        <f>K9</f>
        <v>0</v>
      </c>
      <c r="M9" s="477">
        <f>J9/J21</f>
        <v>0</v>
      </c>
      <c r="N9" s="464">
        <f>M9</f>
        <v>0</v>
      </c>
      <c r="P9" s="460" t="s">
        <v>26</v>
      </c>
      <c r="Q9" s="482">
        <f>COUNTIFS('1. ALL DATA'!$Y$5:$Y$128,"LEADER OF THE COUNCIL",'1. ALL DATA'!$R$5:$R$128,"In danger of falling behind target")</f>
        <v>0</v>
      </c>
      <c r="R9" s="477">
        <f>Q9/Q20</f>
        <v>0</v>
      </c>
      <c r="S9" s="477">
        <f>R9</f>
        <v>0</v>
      </c>
      <c r="T9" s="477">
        <f>Q9/Q21</f>
        <v>0</v>
      </c>
      <c r="U9" s="464">
        <f>T9</f>
        <v>0</v>
      </c>
      <c r="W9" s="249" t="s">
        <v>80</v>
      </c>
      <c r="X9" s="371">
        <f>COUNTIFS('1. ALL DATA'!$Y$5:$Y$128,"LEADER OF THE COUNCIL",'1. ALL DATA'!$V$5:$V$128,"In danger of falling behind target")</f>
        <v>0</v>
      </c>
      <c r="Y9" s="137">
        <f t="shared" ref="Y9:Y19" si="1">X9/$X$20</f>
        <v>0</v>
      </c>
      <c r="Z9" s="478">
        <f>SUM(Y9:Y11)</f>
        <v>0</v>
      </c>
      <c r="AA9" s="137" t="e">
        <f t="shared" si="0"/>
        <v>#DIV/0!</v>
      </c>
      <c r="AB9" s="464" t="e">
        <f>SUM(AA9:AA11)</f>
        <v>#DIV/0!</v>
      </c>
    </row>
    <row r="10" spans="2:28" ht="20.25" customHeight="1" x14ac:dyDescent="0.25">
      <c r="B10" s="460"/>
      <c r="C10" s="482"/>
      <c r="D10" s="462"/>
      <c r="E10" s="462"/>
      <c r="F10" s="477"/>
      <c r="G10" s="464"/>
      <c r="I10" s="460"/>
      <c r="J10" s="482"/>
      <c r="K10" s="477"/>
      <c r="L10" s="477"/>
      <c r="M10" s="477"/>
      <c r="N10" s="464"/>
      <c r="P10" s="460"/>
      <c r="Q10" s="482"/>
      <c r="R10" s="477"/>
      <c r="S10" s="477"/>
      <c r="T10" s="477"/>
      <c r="U10" s="464"/>
      <c r="W10" s="249" t="s">
        <v>81</v>
      </c>
      <c r="X10" s="371">
        <f>COUNTIFS('1. ALL DATA'!$Y$5:$Y$128,"LEADER OF THE COUNCIL",'1. ALL DATA'!$V$5:$V$128,"Target Partially Met")</f>
        <v>0</v>
      </c>
      <c r="Y10" s="137">
        <f t="shared" si="1"/>
        <v>0</v>
      </c>
      <c r="Z10" s="479"/>
      <c r="AA10" s="137" t="e">
        <f t="shared" si="0"/>
        <v>#DIV/0!</v>
      </c>
      <c r="AB10" s="464"/>
    </row>
    <row r="11" spans="2:28" ht="15.75" customHeight="1" x14ac:dyDescent="0.25">
      <c r="B11" s="460"/>
      <c r="C11" s="482"/>
      <c r="D11" s="462"/>
      <c r="E11" s="462"/>
      <c r="F11" s="477"/>
      <c r="G11" s="464"/>
      <c r="I11" s="460"/>
      <c r="J11" s="482"/>
      <c r="K11" s="477"/>
      <c r="L11" s="477"/>
      <c r="M11" s="477"/>
      <c r="N11" s="464"/>
      <c r="P11" s="460"/>
      <c r="Q11" s="482"/>
      <c r="R11" s="477"/>
      <c r="S11" s="477"/>
      <c r="T11" s="477"/>
      <c r="U11" s="464"/>
      <c r="W11" s="249" t="s">
        <v>83</v>
      </c>
      <c r="X11" s="371">
        <f>COUNTIFS('1. ALL DATA'!$Y$5:$Y$128,"LEADER OF THE COUNCIL",'1. ALL DATA'!$V$5:$V$128,"Completion Date Within Reasonable Tolerance")</f>
        <v>0</v>
      </c>
      <c r="Y11" s="137">
        <f t="shared" si="1"/>
        <v>0</v>
      </c>
      <c r="Z11" s="480"/>
      <c r="AA11" s="137" t="e">
        <f t="shared" si="0"/>
        <v>#DIV/0!</v>
      </c>
      <c r="AB11" s="464"/>
    </row>
    <row r="12" spans="2:28" s="61" customFormat="1" ht="6" customHeight="1" x14ac:dyDescent="0.25">
      <c r="B12" s="167"/>
      <c r="C12" s="177"/>
      <c r="D12" s="251"/>
      <c r="E12" s="251"/>
      <c r="F12" s="168"/>
      <c r="G12" s="169"/>
      <c r="I12" s="167"/>
      <c r="J12" s="177"/>
      <c r="K12" s="168"/>
      <c r="L12" s="168"/>
      <c r="M12" s="168"/>
      <c r="N12" s="169"/>
      <c r="P12" s="167"/>
      <c r="Q12" s="177"/>
      <c r="R12" s="168"/>
      <c r="S12" s="168"/>
      <c r="T12" s="168"/>
      <c r="U12" s="169"/>
      <c r="W12" s="170"/>
      <c r="X12" s="177"/>
      <c r="Y12" s="316"/>
      <c r="Z12" s="168"/>
      <c r="AA12" s="316"/>
      <c r="AB12" s="169"/>
    </row>
    <row r="13" spans="2:28" ht="20.25" customHeight="1" x14ac:dyDescent="0.25">
      <c r="B13" s="248" t="s">
        <v>42</v>
      </c>
      <c r="C13" s="269">
        <f>COUNTIFS('1. ALL DATA'!$Y$5:$Y$128,"LEADER OF THE COUNCIL",'1. ALL DATA'!$H$5:$H$128,"Completed behind schedule")</f>
        <v>0</v>
      </c>
      <c r="D13" s="367">
        <f>C13/C20</f>
        <v>0</v>
      </c>
      <c r="E13" s="462">
        <f>D13+D14</f>
        <v>0</v>
      </c>
      <c r="F13" s="118">
        <f>C13/C21</f>
        <v>0</v>
      </c>
      <c r="G13" s="481">
        <f>F13+F14</f>
        <v>0</v>
      </c>
      <c r="I13" s="248" t="s">
        <v>42</v>
      </c>
      <c r="J13" s="269">
        <f>COUNTIFS('1. ALL DATA'!$Y$5:$Y$128,"LEADER OF THE COUNCIL",'1. ALL DATA'!$M$5:$M$128,"Completed behind schedule")</f>
        <v>0</v>
      </c>
      <c r="K13" s="118">
        <f>J13/J20</f>
        <v>0</v>
      </c>
      <c r="L13" s="477">
        <f>K13+K14</f>
        <v>0</v>
      </c>
      <c r="M13" s="118">
        <f>J13/J21</f>
        <v>0</v>
      </c>
      <c r="N13" s="481">
        <f>M13+M14</f>
        <v>0</v>
      </c>
      <c r="P13" s="248" t="s">
        <v>42</v>
      </c>
      <c r="Q13" s="269">
        <f>COUNTIFS('1. ALL DATA'!$Y$5:$Y$128,"LEADER OF THE COUNCIL",'1. ALL DATA'!$R$5:$R$128,"Completed behind schedule")</f>
        <v>0</v>
      </c>
      <c r="R13" s="118">
        <f>Q13/Q20</f>
        <v>0</v>
      </c>
      <c r="S13" s="477">
        <f>R13+R14</f>
        <v>0</v>
      </c>
      <c r="T13" s="118">
        <f>Q13/Q21</f>
        <v>0</v>
      </c>
      <c r="U13" s="481">
        <f>T13+T14</f>
        <v>0</v>
      </c>
      <c r="W13" s="248" t="s">
        <v>82</v>
      </c>
      <c r="X13" s="269">
        <f>COUNTIFS('1. ALL DATA'!$Y$5:$Y$128,"LEADER OF THE COUNCIL",'1. ALL DATA'!$V$5:$V$128,"Completed Significantly After Target Deadline")</f>
        <v>0</v>
      </c>
      <c r="Y13" s="137">
        <f t="shared" si="1"/>
        <v>0</v>
      </c>
      <c r="Z13" s="477">
        <f>Y13+Y14</f>
        <v>0</v>
      </c>
      <c r="AA13" s="137" t="e">
        <f t="shared" si="0"/>
        <v>#DIV/0!</v>
      </c>
      <c r="AB13" s="481" t="e">
        <f>AA13+AA14</f>
        <v>#DIV/0!</v>
      </c>
    </row>
    <row r="14" spans="2:28" ht="20.25" customHeight="1" x14ac:dyDescent="0.25">
      <c r="B14" s="248" t="s">
        <v>27</v>
      </c>
      <c r="C14" s="269">
        <f>COUNTIFS('1. ALL DATA'!$Y$5:$Y$128,"LEADER OF THE COUNCIL",'1. ALL DATA'!$H$5:$H$128,"Off target")</f>
        <v>0</v>
      </c>
      <c r="D14" s="367">
        <f>C14/C20</f>
        <v>0</v>
      </c>
      <c r="E14" s="462"/>
      <c r="F14" s="118">
        <f>C14/C21</f>
        <v>0</v>
      </c>
      <c r="G14" s="481"/>
      <c r="I14" s="248" t="s">
        <v>27</v>
      </c>
      <c r="J14" s="269">
        <f>COUNTIFS('1. ALL DATA'!$Y$5:$Y$128,"LEADER OF THE COUNCIL",'1. ALL DATA'!$M$5:$M$128,"Off target")</f>
        <v>0</v>
      </c>
      <c r="K14" s="118">
        <f>J14/J20</f>
        <v>0</v>
      </c>
      <c r="L14" s="477"/>
      <c r="M14" s="118">
        <f>J14/J21</f>
        <v>0</v>
      </c>
      <c r="N14" s="481"/>
      <c r="P14" s="248" t="s">
        <v>27</v>
      </c>
      <c r="Q14" s="269">
        <f>COUNTIFS('1. ALL DATA'!$Y$5:$Y$128,"LEADER OF THE COUNCIL",'1. ALL DATA'!$R$5:$R$128,"Off target")</f>
        <v>0</v>
      </c>
      <c r="R14" s="118">
        <f>Q14/Q20</f>
        <v>0</v>
      </c>
      <c r="S14" s="477"/>
      <c r="T14" s="118">
        <f>Q14/Q21</f>
        <v>0</v>
      </c>
      <c r="U14" s="481"/>
      <c r="W14" s="248" t="s">
        <v>27</v>
      </c>
      <c r="X14" s="269">
        <f>COUNTIFS('1. ALL DATA'!$Y$5:$Y$128,"LEADER OF THE COUNCIL",'1. ALL DATA'!$V$5:$V$128,"Off target")</f>
        <v>0</v>
      </c>
      <c r="Y14" s="137">
        <f t="shared" si="1"/>
        <v>0</v>
      </c>
      <c r="Z14" s="477"/>
      <c r="AA14" s="137" t="e">
        <f t="shared" si="0"/>
        <v>#DIV/0!</v>
      </c>
      <c r="AB14" s="481"/>
    </row>
    <row r="15" spans="2:28" s="61" customFormat="1" ht="6.75" customHeight="1" x14ac:dyDescent="0.25">
      <c r="B15" s="167"/>
      <c r="C15" s="265"/>
      <c r="D15" s="251"/>
      <c r="E15" s="251"/>
      <c r="F15" s="168"/>
      <c r="G15" s="172"/>
      <c r="I15" s="167"/>
      <c r="J15" s="265"/>
      <c r="K15" s="168"/>
      <c r="L15" s="168"/>
      <c r="M15" s="168"/>
      <c r="N15" s="172"/>
      <c r="P15" s="167"/>
      <c r="Q15" s="265"/>
      <c r="R15" s="168"/>
      <c r="S15" s="168"/>
      <c r="T15" s="168"/>
      <c r="U15" s="172"/>
      <c r="W15" s="318"/>
      <c r="X15" s="265"/>
      <c r="Y15" s="316"/>
      <c r="Z15" s="173"/>
      <c r="AA15" s="174"/>
      <c r="AB15" s="233"/>
    </row>
    <row r="16" spans="2:28" ht="15" customHeight="1" x14ac:dyDescent="0.25">
      <c r="B16" s="46" t="s">
        <v>1</v>
      </c>
      <c r="C16" s="269">
        <f>COUNTIFS('1. ALL DATA'!$Y$5:$Y$128,"LEADER OF THE COUNCIL",'1. ALL DATA'!$H$5:$H$128,"Not yet due")</f>
        <v>7</v>
      </c>
      <c r="D16" s="252">
        <f>C16/C20</f>
        <v>0.35</v>
      </c>
      <c r="E16" s="252">
        <f>D16</f>
        <v>0.35</v>
      </c>
      <c r="F16" s="74"/>
      <c r="G16" s="45"/>
      <c r="I16" s="46" t="s">
        <v>1</v>
      </c>
      <c r="J16" s="269">
        <f>COUNTIFS('1. ALL DATA'!$Y$5:$Y$128,"LEADER OF THE COUNCIL",'1. ALL DATA'!$M$5:$M$128,"Not yet due")</f>
        <v>5</v>
      </c>
      <c r="K16" s="73">
        <f>J16/J20</f>
        <v>0.25</v>
      </c>
      <c r="L16" s="73">
        <f>K16</f>
        <v>0.25</v>
      </c>
      <c r="M16" s="74"/>
      <c r="N16" s="45"/>
      <c r="P16" s="46" t="s">
        <v>1</v>
      </c>
      <c r="Q16" s="269">
        <f>COUNTIFS('1. ALL DATA'!$Y$5:$Y$128,"LEADER OF THE COUNCIL",'1. ALL DATA'!$R$5:$R$128,"Not yet due")</f>
        <v>3</v>
      </c>
      <c r="R16" s="73">
        <f>Q16/Q20</f>
        <v>0.15</v>
      </c>
      <c r="S16" s="73">
        <f>R16</f>
        <v>0.15</v>
      </c>
      <c r="T16" s="74"/>
      <c r="U16" s="91"/>
      <c r="W16" s="60" t="s">
        <v>1</v>
      </c>
      <c r="X16" s="269">
        <f>COUNTIFS('1. ALL DATA'!$Y$5:$Y$128,"LEADER OF THE COUNCIL",'1. ALL DATA'!$V$5:$V$128,"Not yet due")</f>
        <v>0</v>
      </c>
      <c r="Y16" s="137">
        <f t="shared" si="1"/>
        <v>0</v>
      </c>
      <c r="Z16" s="73">
        <f>Y16</f>
        <v>0</v>
      </c>
      <c r="AA16" s="74"/>
      <c r="AB16" s="235"/>
    </row>
    <row r="17" spans="2:28" ht="15" customHeight="1" x14ac:dyDescent="0.25">
      <c r="B17" s="46" t="s">
        <v>46</v>
      </c>
      <c r="C17" s="269">
        <f>COUNTIFS('1. ALL DATA'!$Y$5:$Y$128,"LEADER OF THE COUNCIL",'1. ALL DATA'!$H$5:$H$128,"Update not provided")</f>
        <v>0</v>
      </c>
      <c r="D17" s="252">
        <f>C17/C20</f>
        <v>0</v>
      </c>
      <c r="E17" s="252">
        <f>D17</f>
        <v>0</v>
      </c>
      <c r="F17" s="74"/>
      <c r="G17" s="96"/>
      <c r="I17" s="46" t="s">
        <v>46</v>
      </c>
      <c r="J17" s="269">
        <f>COUNTIFS('1. ALL DATA'!$Y$5:$Y$128,"LEADER OF THE COUNCIL",'1. ALL DATA'!$M$5:$M$128,"Update not provided")</f>
        <v>0</v>
      </c>
      <c r="K17" s="73">
        <f>J17/J20</f>
        <v>0</v>
      </c>
      <c r="L17" s="73">
        <f>K17</f>
        <v>0</v>
      </c>
      <c r="M17" s="74"/>
      <c r="N17" s="96"/>
      <c r="P17" s="46" t="s">
        <v>46</v>
      </c>
      <c r="Q17" s="269">
        <f>COUNTIFS('1. ALL DATA'!$Y$5:$Y$128,"LEADER OF THE COUNCIL",'1. ALL DATA'!$R$5:$R$128,"Update not provided")</f>
        <v>1</v>
      </c>
      <c r="R17" s="73">
        <f>Q17/Q20</f>
        <v>0.05</v>
      </c>
      <c r="S17" s="73">
        <f>R17</f>
        <v>0.05</v>
      </c>
      <c r="T17" s="74"/>
      <c r="U17" s="92"/>
      <c r="W17" s="62" t="s">
        <v>46</v>
      </c>
      <c r="X17" s="269">
        <f>COUNTIFS('1. ALL DATA'!$Y$5:$Y$128,"LEADER OF THE COUNCIL",'1. ALL DATA'!$V$5:$V$128,"Update not provided")</f>
        <v>20</v>
      </c>
      <c r="Y17" s="137">
        <f t="shared" si="1"/>
        <v>1</v>
      </c>
      <c r="Z17" s="73">
        <f>Y17</f>
        <v>1</v>
      </c>
      <c r="AA17" s="74"/>
    </row>
    <row r="18" spans="2:28" ht="15.75" customHeight="1" x14ac:dyDescent="0.25">
      <c r="B18" s="47" t="s">
        <v>22</v>
      </c>
      <c r="C18" s="269">
        <f>COUNTIFS('1. ALL DATA'!$Y$5:$Y$128,"LEADER OF THE COUNCIL",'1. ALL DATA'!$H$5:$H$128,"Deferred")</f>
        <v>0</v>
      </c>
      <c r="D18" s="253">
        <f>C18/C20</f>
        <v>0</v>
      </c>
      <c r="E18" s="253">
        <f>D18</f>
        <v>0</v>
      </c>
      <c r="F18" s="75"/>
      <c r="G18" s="45"/>
      <c r="I18" s="47" t="s">
        <v>22</v>
      </c>
      <c r="J18" s="269">
        <f>COUNTIFS('1. ALL DATA'!$Y$5:$Y$128,"LEADER OF THE COUNCIL",'1. ALL DATA'!$M$5:$M$128,"Deferred")</f>
        <v>0</v>
      </c>
      <c r="K18" s="76">
        <f>J18/J20</f>
        <v>0</v>
      </c>
      <c r="L18" s="76">
        <f>K18</f>
        <v>0</v>
      </c>
      <c r="M18" s="75"/>
      <c r="N18" s="45"/>
      <c r="P18" s="47" t="s">
        <v>22</v>
      </c>
      <c r="Q18" s="269">
        <f>COUNTIFS('1. ALL DATA'!$Y$5:$Y$128,"LEADER OF THE COUNCIL",'1. ALL DATA'!$R$5:$R$128,"Deferred")</f>
        <v>0</v>
      </c>
      <c r="R18" s="76">
        <f>Q18/Q20</f>
        <v>0</v>
      </c>
      <c r="S18" s="76">
        <f>R18</f>
        <v>0</v>
      </c>
      <c r="T18" s="75"/>
      <c r="U18" s="91"/>
      <c r="W18" s="47" t="s">
        <v>22</v>
      </c>
      <c r="X18" s="269">
        <f>COUNTIFS('1. ALL DATA'!$Y$5:$Y$128,"LEADER OF THE COUNCIL",'1. ALL DATA'!$V$5:$V$128,"Deferred")</f>
        <v>0</v>
      </c>
      <c r="Y18" s="137">
        <f t="shared" si="1"/>
        <v>0</v>
      </c>
      <c r="Z18" s="76">
        <f>Y18</f>
        <v>0</v>
      </c>
      <c r="AA18" s="75"/>
      <c r="AB18" s="235"/>
    </row>
    <row r="19" spans="2:28" ht="15.75" customHeight="1" x14ac:dyDescent="0.25">
      <c r="B19" s="47" t="s">
        <v>28</v>
      </c>
      <c r="C19" s="269">
        <f>COUNTIFS('1. ALL DATA'!$Y$5:$Y$128,"LEADER OF THE COUNCIL",'1. ALL DATA'!$H$5:$H$128,"Deleted")</f>
        <v>0</v>
      </c>
      <c r="D19" s="253">
        <f>C19/C20</f>
        <v>0</v>
      </c>
      <c r="E19" s="253">
        <f>D19</f>
        <v>0</v>
      </c>
      <c r="F19" s="75"/>
      <c r="G19" s="89" t="s">
        <v>62</v>
      </c>
      <c r="I19" s="47" t="s">
        <v>28</v>
      </c>
      <c r="J19" s="269">
        <f>COUNTIFS('1. ALL DATA'!$Y$5:$Y$128,"LEADER OF THE COUNCIL",'1. ALL DATA'!$M$5:$M$128,"Deleted")</f>
        <v>0</v>
      </c>
      <c r="K19" s="76">
        <f>J19/J20</f>
        <v>0</v>
      </c>
      <c r="L19" s="76">
        <f>K19</f>
        <v>0</v>
      </c>
      <c r="M19" s="75"/>
      <c r="N19" s="89" t="s">
        <v>62</v>
      </c>
      <c r="P19" s="47" t="s">
        <v>28</v>
      </c>
      <c r="Q19" s="269">
        <f>COUNTIFS('1. ALL DATA'!$Y$5:$Y$128,"LEADER OF THE COUNCIL",'1. ALL DATA'!$R$5:$R$128,"Deleted")</f>
        <v>0</v>
      </c>
      <c r="R19" s="76">
        <f>Q19/Q20</f>
        <v>0</v>
      </c>
      <c r="S19" s="76">
        <f>R19</f>
        <v>0</v>
      </c>
      <c r="T19" s="75"/>
      <c r="U19" s="89" t="s">
        <v>62</v>
      </c>
      <c r="W19" s="47" t="s">
        <v>28</v>
      </c>
      <c r="X19" s="269">
        <f>COUNTIFS('1. ALL DATA'!$Y$5:$Y$128,"LEADER OF THE COUNCIL",'1. ALL DATA'!$V$5:$V$128,"Deleted")</f>
        <v>0</v>
      </c>
      <c r="Y19" s="137">
        <f t="shared" si="1"/>
        <v>0</v>
      </c>
      <c r="Z19" s="76">
        <f>Y19</f>
        <v>0</v>
      </c>
      <c r="AA19" s="75"/>
      <c r="AB19" s="89" t="s">
        <v>62</v>
      </c>
    </row>
    <row r="20" spans="2:28" ht="15.75" customHeight="1" x14ac:dyDescent="0.25">
      <c r="B20" s="48" t="s">
        <v>30</v>
      </c>
      <c r="C20" s="271">
        <f>SUM(C6:C19)</f>
        <v>20</v>
      </c>
      <c r="D20" s="44"/>
      <c r="E20" s="44"/>
      <c r="F20" s="50"/>
      <c r="G20" s="45"/>
      <c r="I20" s="48" t="s">
        <v>30</v>
      </c>
      <c r="J20" s="271">
        <f>SUM(J6:J19)</f>
        <v>20</v>
      </c>
      <c r="K20" s="75"/>
      <c r="L20" s="75"/>
      <c r="M20" s="50"/>
      <c r="N20" s="45"/>
      <c r="P20" s="48" t="s">
        <v>30</v>
      </c>
      <c r="Q20" s="271">
        <f>SUM(Q6:Q19)</f>
        <v>20</v>
      </c>
      <c r="R20" s="75"/>
      <c r="S20" s="75"/>
      <c r="T20" s="50"/>
      <c r="U20" s="91"/>
      <c r="W20" s="48" t="s">
        <v>30</v>
      </c>
      <c r="X20" s="271">
        <f>SUM(X6:X19)</f>
        <v>20</v>
      </c>
      <c r="Y20" s="75"/>
      <c r="Z20" s="75"/>
      <c r="AA20" s="50"/>
      <c r="AB20" s="235"/>
    </row>
    <row r="21" spans="2:28" ht="15.75" customHeight="1" x14ac:dyDescent="0.25">
      <c r="B21" s="48" t="s">
        <v>31</v>
      </c>
      <c r="C21" s="271">
        <f>C20-C19-C18-C17-C16</f>
        <v>13</v>
      </c>
      <c r="D21" s="45"/>
      <c r="E21" s="45"/>
      <c r="F21" s="50"/>
      <c r="G21" s="45"/>
      <c r="I21" s="48" t="s">
        <v>31</v>
      </c>
      <c r="J21" s="271">
        <f>J20-J19-J18-J17-J16</f>
        <v>15</v>
      </c>
      <c r="K21" s="50"/>
      <c r="L21" s="50"/>
      <c r="M21" s="50"/>
      <c r="N21" s="45"/>
      <c r="P21" s="48" t="s">
        <v>31</v>
      </c>
      <c r="Q21" s="271">
        <f>Q20-Q19-Q18-Q17-Q16</f>
        <v>16</v>
      </c>
      <c r="R21" s="50"/>
      <c r="S21" s="50"/>
      <c r="T21" s="50"/>
      <c r="U21" s="91"/>
      <c r="W21" s="48" t="s">
        <v>31</v>
      </c>
      <c r="X21" s="271">
        <f>X20-X19-X18-X17-X16</f>
        <v>0</v>
      </c>
      <c r="Y21" s="50"/>
      <c r="Z21" s="50"/>
      <c r="AA21" s="50"/>
      <c r="AB21" s="235"/>
    </row>
    <row r="22" spans="2:28" ht="15.75" customHeight="1" x14ac:dyDescent="0.25">
      <c r="W22" s="63"/>
      <c r="Y22" s="61"/>
      <c r="Z22" s="61"/>
      <c r="AA22" s="50"/>
      <c r="AB22" s="235"/>
    </row>
    <row r="23" spans="2:28" ht="15.75" customHeight="1" x14ac:dyDescent="0.25"/>
    <row r="24" spans="2:28" s="61" customFormat="1" ht="15.75" customHeight="1" x14ac:dyDescent="0.25">
      <c r="B24" s="63"/>
      <c r="C24" s="1"/>
      <c r="D24" s="1"/>
      <c r="E24" s="1"/>
      <c r="F24" s="50"/>
      <c r="G24" s="1"/>
      <c r="I24" s="63"/>
      <c r="J24" s="1"/>
      <c r="M24" s="50"/>
      <c r="N24" s="1"/>
      <c r="P24" s="63"/>
      <c r="Q24" s="1"/>
      <c r="T24" s="50"/>
      <c r="U24" s="88"/>
      <c r="X24" s="1"/>
      <c r="AB24" s="235"/>
    </row>
    <row r="25" spans="2:28" ht="15" customHeight="1" x14ac:dyDescent="0.25">
      <c r="AA25" s="81"/>
    </row>
    <row r="26" spans="2:28" s="61" customFormat="1" ht="15.75" x14ac:dyDescent="0.25">
      <c r="B26" s="315" t="s">
        <v>88</v>
      </c>
      <c r="C26" s="370"/>
      <c r="D26" s="370"/>
      <c r="E26" s="370"/>
      <c r="F26" s="309"/>
      <c r="G26" s="310"/>
      <c r="I26" s="315" t="s">
        <v>88</v>
      </c>
      <c r="J26" s="370"/>
      <c r="K26" s="309"/>
      <c r="L26" s="309"/>
      <c r="M26" s="309"/>
      <c r="N26" s="310"/>
      <c r="P26" s="315" t="s">
        <v>88</v>
      </c>
      <c r="Q26" s="370"/>
      <c r="R26" s="309"/>
      <c r="S26" s="309"/>
      <c r="T26" s="309"/>
      <c r="U26" s="310"/>
      <c r="W26" s="315" t="s">
        <v>88</v>
      </c>
      <c r="X26" s="370"/>
      <c r="Y26" s="309"/>
      <c r="Z26" s="309"/>
      <c r="AA26" s="309"/>
      <c r="AB26" s="310"/>
    </row>
    <row r="27" spans="2:28" ht="42" customHeight="1" x14ac:dyDescent="0.25">
      <c r="B27" s="311" t="s">
        <v>23</v>
      </c>
      <c r="C27" s="312" t="s">
        <v>24</v>
      </c>
      <c r="D27" s="312" t="s">
        <v>18</v>
      </c>
      <c r="E27" s="312" t="s">
        <v>48</v>
      </c>
      <c r="F27" s="311" t="s">
        <v>29</v>
      </c>
      <c r="G27" s="312" t="s">
        <v>49</v>
      </c>
      <c r="I27" s="311" t="s">
        <v>23</v>
      </c>
      <c r="J27" s="312" t="s">
        <v>24</v>
      </c>
      <c r="K27" s="311" t="s">
        <v>18</v>
      </c>
      <c r="L27" s="311" t="s">
        <v>48</v>
      </c>
      <c r="M27" s="311" t="s">
        <v>29</v>
      </c>
      <c r="N27" s="312" t="s">
        <v>49</v>
      </c>
      <c r="P27" s="311" t="s">
        <v>23</v>
      </c>
      <c r="Q27" s="312" t="s">
        <v>24</v>
      </c>
      <c r="R27" s="311" t="s">
        <v>18</v>
      </c>
      <c r="S27" s="311" t="s">
        <v>48</v>
      </c>
      <c r="T27" s="311" t="s">
        <v>29</v>
      </c>
      <c r="U27" s="313" t="s">
        <v>49</v>
      </c>
      <c r="W27" s="311" t="s">
        <v>23</v>
      </c>
      <c r="X27" s="312" t="s">
        <v>24</v>
      </c>
      <c r="Y27" s="311" t="s">
        <v>18</v>
      </c>
      <c r="Z27" s="311" t="s">
        <v>48</v>
      </c>
      <c r="AA27" s="311" t="s">
        <v>29</v>
      </c>
      <c r="AB27" s="314" t="s">
        <v>49</v>
      </c>
    </row>
    <row r="28" spans="2:28" s="61" customFormat="1" ht="6" customHeight="1" x14ac:dyDescent="0.25">
      <c r="B28" s="167"/>
      <c r="C28" s="177"/>
      <c r="D28" s="177"/>
      <c r="E28" s="177"/>
      <c r="F28" s="167"/>
      <c r="G28" s="177"/>
      <c r="I28" s="167"/>
      <c r="J28" s="177"/>
      <c r="K28" s="167"/>
      <c r="L28" s="167"/>
      <c r="M28" s="167"/>
      <c r="N28" s="177"/>
      <c r="P28" s="167"/>
      <c r="Q28" s="177"/>
      <c r="R28" s="167"/>
      <c r="S28" s="167"/>
      <c r="T28" s="167"/>
      <c r="U28" s="178"/>
      <c r="W28" s="167"/>
      <c r="X28" s="177"/>
      <c r="Y28" s="167"/>
      <c r="Z28" s="167"/>
      <c r="AA28" s="167"/>
      <c r="AB28" s="232"/>
    </row>
    <row r="29" spans="2:28" ht="21.75" customHeight="1" x14ac:dyDescent="0.25">
      <c r="B29" s="247" t="s">
        <v>45</v>
      </c>
      <c r="C29" s="257">
        <f>COUNTIFS('1. ALL DATA'!$Y$5:$Y$128,"CULTURAL SERVICES",'1. ALL DATA'!$H$5:$H$128,"Fully Achieved")</f>
        <v>3</v>
      </c>
      <c r="D29" s="367">
        <f>C29/C43</f>
        <v>0.15</v>
      </c>
      <c r="E29" s="462">
        <f>D29+D30</f>
        <v>0.5</v>
      </c>
      <c r="F29" s="118">
        <f>C29/C44</f>
        <v>0.3</v>
      </c>
      <c r="G29" s="459">
        <f>F29+F30</f>
        <v>1</v>
      </c>
      <c r="I29" s="247" t="s">
        <v>45</v>
      </c>
      <c r="J29" s="257">
        <f>COUNTIFS('1. ALL DATA'!$Y$5:$Y$128,"CULTURAL SERVICES",'1. ALL DATA'!$M$5:$M$128,"Fully Achieved")</f>
        <v>11</v>
      </c>
      <c r="K29" s="118">
        <f>J29/J43</f>
        <v>0.55000000000000004</v>
      </c>
      <c r="L29" s="477">
        <f>K29+K30</f>
        <v>0.85000000000000009</v>
      </c>
      <c r="M29" s="118">
        <f>J29/J44</f>
        <v>0.61111111111111116</v>
      </c>
      <c r="N29" s="459">
        <f>M29+M30</f>
        <v>0.94444444444444442</v>
      </c>
      <c r="P29" s="247" t="s">
        <v>45</v>
      </c>
      <c r="Q29" s="257">
        <f>COUNTIFS('1. ALL DATA'!$Y$5:$Y$128,"CULTURAL SERVICES",'1. ALL DATA'!$R$5:$R$128,"Fully Achieved")</f>
        <v>15</v>
      </c>
      <c r="R29" s="118">
        <f>Q29/Q43</f>
        <v>0.75</v>
      </c>
      <c r="S29" s="477">
        <f>R29+R30</f>
        <v>0.9</v>
      </c>
      <c r="T29" s="118">
        <f>Q29/Q44</f>
        <v>0.78947368421052633</v>
      </c>
      <c r="U29" s="459">
        <f>T29+T30</f>
        <v>0.94736842105263164</v>
      </c>
      <c r="W29" s="247" t="s">
        <v>40</v>
      </c>
      <c r="X29" s="257">
        <f>COUNTIFS('1. ALL DATA'!$Y$5:$Y$128,"CULTURAL SERVICES",'1. ALL DATA'!$V$5:$V$128,"Fully Achieved")</f>
        <v>0</v>
      </c>
      <c r="Y29" s="118">
        <f>X29/$X$43</f>
        <v>0</v>
      </c>
      <c r="Z29" s="477">
        <f>Y29+Y30</f>
        <v>0</v>
      </c>
      <c r="AA29" s="118" t="e">
        <f>X29/$X$44</f>
        <v>#DIV/0!</v>
      </c>
      <c r="AB29" s="459" t="e">
        <f>AA29+AA30</f>
        <v>#DIV/0!</v>
      </c>
    </row>
    <row r="30" spans="2:28" ht="18.75" customHeight="1" x14ac:dyDescent="0.25">
      <c r="B30" s="247" t="s">
        <v>41</v>
      </c>
      <c r="C30" s="257">
        <f>COUNTIFS('1. ALL DATA'!$Y$5:$Y$128,"CULTURAL SERVICES",'1. ALL DATA'!$H$5:$H$128,"On track to be achieved")</f>
        <v>7</v>
      </c>
      <c r="D30" s="367">
        <f>C30/C43</f>
        <v>0.35</v>
      </c>
      <c r="E30" s="462"/>
      <c r="F30" s="118">
        <f>C30/C44</f>
        <v>0.7</v>
      </c>
      <c r="G30" s="459"/>
      <c r="I30" s="247" t="s">
        <v>41</v>
      </c>
      <c r="J30" s="257">
        <f>COUNTIFS('1. ALL DATA'!$Y$5:$Y$128,"CULTURAL SERVICES",'1. ALL DATA'!$M$5:$M$128,"On track to be achieved")</f>
        <v>6</v>
      </c>
      <c r="K30" s="118">
        <f>J30/J43</f>
        <v>0.3</v>
      </c>
      <c r="L30" s="477"/>
      <c r="M30" s="118">
        <f>J30/J44</f>
        <v>0.33333333333333331</v>
      </c>
      <c r="N30" s="459"/>
      <c r="P30" s="247" t="s">
        <v>41</v>
      </c>
      <c r="Q30" s="257">
        <f>COUNTIFS('1. ALL DATA'!$Y$5:$Y$128,"CULTURAL SERVICES",'1. ALL DATA'!$R$5:$R$128,"On track to be achieved")</f>
        <v>3</v>
      </c>
      <c r="R30" s="118">
        <f>Q30/Q43</f>
        <v>0.15</v>
      </c>
      <c r="S30" s="477"/>
      <c r="T30" s="118">
        <f>Q30/Q44</f>
        <v>0.15789473684210525</v>
      </c>
      <c r="U30" s="459"/>
      <c r="W30" s="247" t="s">
        <v>79</v>
      </c>
      <c r="X30" s="257">
        <f>COUNTIFS('1. ALL DATA'!$Y$5:$Y$128,"CULTURAL SERVICES",'1. ALL DATA'!$V$5:$V$128,"Numerical Outturn Within 5% Tolerance")</f>
        <v>0</v>
      </c>
      <c r="Y30" s="118">
        <f>X30/$X$43</f>
        <v>0</v>
      </c>
      <c r="Z30" s="477"/>
      <c r="AA30" s="118" t="e">
        <f>X30/$X$44</f>
        <v>#DIV/0!</v>
      </c>
      <c r="AB30" s="459"/>
    </row>
    <row r="31" spans="2:28" s="61" customFormat="1" ht="6" customHeight="1" x14ac:dyDescent="0.25">
      <c r="B31" s="167"/>
      <c r="C31" s="265"/>
      <c r="D31" s="251"/>
      <c r="E31" s="251"/>
      <c r="F31" s="168"/>
      <c r="G31" s="169"/>
      <c r="I31" s="167"/>
      <c r="J31" s="265"/>
      <c r="K31" s="168"/>
      <c r="L31" s="168"/>
      <c r="M31" s="168"/>
      <c r="N31" s="169"/>
      <c r="P31" s="167"/>
      <c r="Q31" s="265"/>
      <c r="R31" s="168"/>
      <c r="S31" s="168"/>
      <c r="T31" s="168"/>
      <c r="U31" s="169"/>
      <c r="W31" s="170"/>
      <c r="X31" s="265"/>
      <c r="Y31" s="168"/>
      <c r="Z31" s="168"/>
      <c r="AA31" s="168"/>
      <c r="AB31" s="169"/>
    </row>
    <row r="32" spans="2:28" ht="21" customHeight="1" x14ac:dyDescent="0.25">
      <c r="B32" s="460" t="s">
        <v>26</v>
      </c>
      <c r="C32" s="461">
        <f>COUNTIFS('1. ALL DATA'!$Y$5:$Y$128,"CULTURAL SERVICES",'1. ALL DATA'!$H$5:$H$128,"In danger of falling behind target")</f>
        <v>0</v>
      </c>
      <c r="D32" s="462">
        <f>C32/C43</f>
        <v>0</v>
      </c>
      <c r="E32" s="462">
        <f>D32</f>
        <v>0</v>
      </c>
      <c r="F32" s="477">
        <f>C32/C44</f>
        <v>0</v>
      </c>
      <c r="G32" s="464">
        <f>F32</f>
        <v>0</v>
      </c>
      <c r="I32" s="460" t="s">
        <v>26</v>
      </c>
      <c r="J32" s="461">
        <f>COUNTIFS('1. ALL DATA'!$Y$5:$Y$128,"CULTURAL SERVICES",'1. ALL DATA'!$M$5:$M$128,"In danger of falling behind target")</f>
        <v>0</v>
      </c>
      <c r="K32" s="477">
        <f>J32/J43</f>
        <v>0</v>
      </c>
      <c r="L32" s="477">
        <f>K32</f>
        <v>0</v>
      </c>
      <c r="M32" s="477">
        <f>J32/J44</f>
        <v>0</v>
      </c>
      <c r="N32" s="464">
        <f>M32</f>
        <v>0</v>
      </c>
      <c r="P32" s="460" t="s">
        <v>26</v>
      </c>
      <c r="Q32" s="461">
        <f>COUNTIFS('1. ALL DATA'!$Y$5:$Y$128,"CULTURAL SERVICES",'1. ALL DATA'!$R$5:$R$128,"In danger of falling behind target")</f>
        <v>0</v>
      </c>
      <c r="R32" s="477">
        <f>Q32/Q43</f>
        <v>0</v>
      </c>
      <c r="S32" s="477">
        <f>R32</f>
        <v>0</v>
      </c>
      <c r="T32" s="477">
        <f>Q32/Q44</f>
        <v>0</v>
      </c>
      <c r="U32" s="464">
        <f>T32</f>
        <v>0</v>
      </c>
      <c r="W32" s="249" t="s">
        <v>80</v>
      </c>
      <c r="X32" s="368">
        <f>COUNTIFS('1. ALL DATA'!$Y$5:$Y$128,"CULTURAL SERVICES",'1. ALL DATA'!$V$5:$V$128,"Numerical Outturn Within 10% Tolerance")</f>
        <v>0</v>
      </c>
      <c r="Y32" s="118">
        <f>X32/$X$43</f>
        <v>0</v>
      </c>
      <c r="Z32" s="478">
        <f>SUM(Y32:Y34)</f>
        <v>0</v>
      </c>
      <c r="AA32" s="70" t="e">
        <f>X32/$X$44</f>
        <v>#DIV/0!</v>
      </c>
      <c r="AB32" s="464" t="e">
        <f>SUM(AA32:AA34)</f>
        <v>#DIV/0!</v>
      </c>
    </row>
    <row r="33" spans="2:28" ht="20.25" customHeight="1" x14ac:dyDescent="0.25">
      <c r="B33" s="460"/>
      <c r="C33" s="461"/>
      <c r="D33" s="462"/>
      <c r="E33" s="462"/>
      <c r="F33" s="477"/>
      <c r="G33" s="464"/>
      <c r="I33" s="460"/>
      <c r="J33" s="461"/>
      <c r="K33" s="477"/>
      <c r="L33" s="477"/>
      <c r="M33" s="477"/>
      <c r="N33" s="464"/>
      <c r="P33" s="460"/>
      <c r="Q33" s="461"/>
      <c r="R33" s="477"/>
      <c r="S33" s="477"/>
      <c r="T33" s="477"/>
      <c r="U33" s="464"/>
      <c r="W33" s="249" t="s">
        <v>81</v>
      </c>
      <c r="X33" s="368">
        <f>COUNTIFS('1. ALL DATA'!$Y$5:$Y$128,"CULTURAL SERVICES",'1. ALL DATA'!$V$5:$V$128,"Target Partially Met")</f>
        <v>0</v>
      </c>
      <c r="Y33" s="118">
        <f>X33/$X$43</f>
        <v>0</v>
      </c>
      <c r="Z33" s="479"/>
      <c r="AA33" s="70" t="e">
        <f>X33/$X$44</f>
        <v>#DIV/0!</v>
      </c>
      <c r="AB33" s="464"/>
    </row>
    <row r="34" spans="2:28" ht="15.75" customHeight="1" x14ac:dyDescent="0.25">
      <c r="B34" s="460"/>
      <c r="C34" s="461"/>
      <c r="D34" s="462"/>
      <c r="E34" s="462"/>
      <c r="F34" s="477"/>
      <c r="G34" s="464"/>
      <c r="I34" s="460"/>
      <c r="J34" s="461"/>
      <c r="K34" s="477"/>
      <c r="L34" s="477"/>
      <c r="M34" s="477"/>
      <c r="N34" s="464"/>
      <c r="P34" s="460"/>
      <c r="Q34" s="461"/>
      <c r="R34" s="477"/>
      <c r="S34" s="477"/>
      <c r="T34" s="477"/>
      <c r="U34" s="464"/>
      <c r="W34" s="249" t="s">
        <v>83</v>
      </c>
      <c r="X34" s="368">
        <f>COUNTIFS('1. ALL DATA'!$Y$5:$Y$128,"CULTURAL SERVICES",'1. ALL DATA'!$V$5:$V$128,"Completion Date Within Reasonable Tolerance")</f>
        <v>0</v>
      </c>
      <c r="Y34" s="118">
        <f>X34/$X$43</f>
        <v>0</v>
      </c>
      <c r="Z34" s="480"/>
      <c r="AA34" s="70" t="e">
        <f>X34/$X$44</f>
        <v>#DIV/0!</v>
      </c>
      <c r="AB34" s="464"/>
    </row>
    <row r="35" spans="2:28" s="61" customFormat="1" ht="6" customHeight="1" x14ac:dyDescent="0.25">
      <c r="B35" s="167"/>
      <c r="C35" s="177"/>
      <c r="D35" s="251"/>
      <c r="E35" s="251"/>
      <c r="F35" s="168"/>
      <c r="G35" s="169"/>
      <c r="I35" s="167"/>
      <c r="J35" s="177"/>
      <c r="K35" s="168"/>
      <c r="L35" s="168"/>
      <c r="M35" s="168"/>
      <c r="N35" s="169"/>
      <c r="P35" s="167"/>
      <c r="Q35" s="177"/>
      <c r="R35" s="168"/>
      <c r="S35" s="168"/>
      <c r="T35" s="168"/>
      <c r="U35" s="169"/>
      <c r="W35" s="170"/>
      <c r="X35" s="177"/>
      <c r="Y35" s="168"/>
      <c r="Z35" s="168"/>
      <c r="AA35" s="168"/>
      <c r="AB35" s="169"/>
    </row>
    <row r="36" spans="2:28" ht="20.25" customHeight="1" x14ac:dyDescent="0.25">
      <c r="B36" s="248" t="s">
        <v>42</v>
      </c>
      <c r="C36" s="257">
        <f>COUNTIFS('1. ALL DATA'!$Y$5:$Y$128,"CULTURAL SERVICES",'1. ALL DATA'!$H$5:$H$128,"Completed behind schedule")</f>
        <v>0</v>
      </c>
      <c r="D36" s="367">
        <f>C36/C43</f>
        <v>0</v>
      </c>
      <c r="E36" s="462">
        <f>D36+D37</f>
        <v>0</v>
      </c>
      <c r="F36" s="118">
        <f>C36/C44</f>
        <v>0</v>
      </c>
      <c r="G36" s="481">
        <f>F36+F37</f>
        <v>0</v>
      </c>
      <c r="I36" s="248" t="s">
        <v>42</v>
      </c>
      <c r="J36" s="257">
        <f>COUNTIFS('1. ALL DATA'!$Y$5:$Y$128,"CULTURAL SERVICES",'1. ALL DATA'!$M$5:$M$128,"Completed behind schedule")</f>
        <v>0</v>
      </c>
      <c r="K36" s="118">
        <f>J36/J43</f>
        <v>0</v>
      </c>
      <c r="L36" s="477">
        <f>K36+K37</f>
        <v>0.05</v>
      </c>
      <c r="M36" s="118">
        <f>J36/J44</f>
        <v>0</v>
      </c>
      <c r="N36" s="481">
        <f>M36+M37</f>
        <v>5.5555555555555552E-2</v>
      </c>
      <c r="P36" s="248" t="s">
        <v>42</v>
      </c>
      <c r="Q36" s="257">
        <f>COUNTIFS('1. ALL DATA'!$Y$5:$Y$128,"CULTURAL SERVICES",'1. ALL DATA'!$R$5:$R$128,"Completed behind schedule")</f>
        <v>1</v>
      </c>
      <c r="R36" s="118">
        <f>Q36/Q43</f>
        <v>0.05</v>
      </c>
      <c r="S36" s="477">
        <f>R36+R37</f>
        <v>0.05</v>
      </c>
      <c r="T36" s="118">
        <f>Q36/Q44</f>
        <v>5.2631578947368418E-2</v>
      </c>
      <c r="U36" s="481">
        <f>T36+T37</f>
        <v>5.2631578947368418E-2</v>
      </c>
      <c r="W36" s="248" t="s">
        <v>82</v>
      </c>
      <c r="X36" s="257">
        <f>COUNTIFS('1. ALL DATA'!$Y$5:$Y$128,"CULTURAL SERVICES",'1. ALL DATA'!$V$5:$V$128,"Completed Significantly After Target Deadline")</f>
        <v>0</v>
      </c>
      <c r="Y36" s="118">
        <f>X36/$X$43</f>
        <v>0</v>
      </c>
      <c r="Z36" s="477">
        <f>Y36+Y37</f>
        <v>0</v>
      </c>
      <c r="AA36" s="118" t="e">
        <f>X36/X44</f>
        <v>#DIV/0!</v>
      </c>
      <c r="AB36" s="481" t="e">
        <f>AA36+AA37</f>
        <v>#DIV/0!</v>
      </c>
    </row>
    <row r="37" spans="2:28" ht="20.25" customHeight="1" x14ac:dyDescent="0.25">
      <c r="B37" s="248" t="s">
        <v>27</v>
      </c>
      <c r="C37" s="257">
        <f>COUNTIFS('1. ALL DATA'!$Y$5:$Y$128,"CULTURAL SERVICES",'1. ALL DATA'!$H$5:$H$128,"Off target")</f>
        <v>0</v>
      </c>
      <c r="D37" s="367">
        <f>C37/C43</f>
        <v>0</v>
      </c>
      <c r="E37" s="462"/>
      <c r="F37" s="118">
        <f>C37/C44</f>
        <v>0</v>
      </c>
      <c r="G37" s="481"/>
      <c r="I37" s="248" t="s">
        <v>27</v>
      </c>
      <c r="J37" s="257">
        <f>COUNTIFS('1. ALL DATA'!$Y$5:$Y$128,"CULTURAL SERVICES",'1. ALL DATA'!$M$5:$M$128,"Off target")</f>
        <v>1</v>
      </c>
      <c r="K37" s="118">
        <f>J37/J43</f>
        <v>0.05</v>
      </c>
      <c r="L37" s="477"/>
      <c r="M37" s="118">
        <f>J37/J44</f>
        <v>5.5555555555555552E-2</v>
      </c>
      <c r="N37" s="481"/>
      <c r="P37" s="248" t="s">
        <v>27</v>
      </c>
      <c r="Q37" s="257">
        <f>COUNTIFS('1. ALL DATA'!$Y$5:$Y$128,"CULTURAL SERVICES",'1. ALL DATA'!$R$5:$R$128,"Off target")</f>
        <v>0</v>
      </c>
      <c r="R37" s="118">
        <f>Q37/Q43</f>
        <v>0</v>
      </c>
      <c r="S37" s="477"/>
      <c r="T37" s="118">
        <f>Q37/Q44</f>
        <v>0</v>
      </c>
      <c r="U37" s="481"/>
      <c r="W37" s="248" t="s">
        <v>27</v>
      </c>
      <c r="X37" s="257">
        <f>COUNTIFS('1. ALL DATA'!$Y$5:$Y$128,"CULTURAL SERVICES",'1. ALL DATA'!$V$5:$V$128,"Off target")</f>
        <v>0</v>
      </c>
      <c r="Y37" s="118">
        <f>X37/$X$43</f>
        <v>0</v>
      </c>
      <c r="Z37" s="477"/>
      <c r="AA37" s="118" t="e">
        <f>X37/X44</f>
        <v>#DIV/0!</v>
      </c>
      <c r="AB37" s="481"/>
    </row>
    <row r="38" spans="2:28" s="61" customFormat="1" ht="6.75" customHeight="1" x14ac:dyDescent="0.25">
      <c r="B38" s="167"/>
      <c r="C38" s="265"/>
      <c r="D38" s="251"/>
      <c r="E38" s="251"/>
      <c r="F38" s="168"/>
      <c r="G38" s="172"/>
      <c r="I38" s="167"/>
      <c r="J38" s="265"/>
      <c r="K38" s="168"/>
      <c r="L38" s="168"/>
      <c r="M38" s="168"/>
      <c r="N38" s="172"/>
      <c r="P38" s="167"/>
      <c r="Q38" s="265"/>
      <c r="R38" s="168"/>
      <c r="S38" s="168"/>
      <c r="T38" s="168"/>
      <c r="U38" s="172"/>
      <c r="W38" s="318"/>
      <c r="X38" s="265"/>
      <c r="Y38" s="173"/>
      <c r="Z38" s="173"/>
      <c r="AA38" s="174"/>
      <c r="AB38" s="233"/>
    </row>
    <row r="39" spans="2:28" ht="15" customHeight="1" x14ac:dyDescent="0.25">
      <c r="B39" s="46" t="s">
        <v>1</v>
      </c>
      <c r="C39" s="269">
        <f>COUNTIFS('1. ALL DATA'!$Y$5:$Y$128,"CULTURAL SERVICES",'1. ALL DATA'!$H$5:$H$128,"Not yet due")</f>
        <v>10</v>
      </c>
      <c r="D39" s="252">
        <f>C39/C43</f>
        <v>0.5</v>
      </c>
      <c r="E39" s="252">
        <f>D39</f>
        <v>0.5</v>
      </c>
      <c r="F39" s="74"/>
      <c r="G39" s="45"/>
      <c r="I39" s="46" t="s">
        <v>1</v>
      </c>
      <c r="J39" s="269">
        <f>COUNTIFS('1. ALL DATA'!$Y$5:$Y$128,"CULTURAL SERVICES",'1. ALL DATA'!$M$5:$M$128,"Not yet due")</f>
        <v>1</v>
      </c>
      <c r="K39" s="73">
        <f>J39/J43</f>
        <v>0.05</v>
      </c>
      <c r="L39" s="73">
        <f>K39</f>
        <v>0.05</v>
      </c>
      <c r="M39" s="74"/>
      <c r="N39" s="45"/>
      <c r="P39" s="46" t="s">
        <v>1</v>
      </c>
      <c r="Q39" s="269">
        <f>COUNTIFS('1. ALL DATA'!$Y$5:$Y$128,"CULTURAL SERVICES",'1. ALL DATA'!$R$5:$R$128,"Not yet due")</f>
        <v>0</v>
      </c>
      <c r="R39" s="73">
        <f>Q39/Q43</f>
        <v>0</v>
      </c>
      <c r="S39" s="73">
        <f>R39</f>
        <v>0</v>
      </c>
      <c r="T39" s="74"/>
      <c r="U39" s="91"/>
      <c r="W39" s="60" t="s">
        <v>1</v>
      </c>
      <c r="X39" s="269">
        <f>COUNTIFS('1. ALL DATA'!$Y$5:$Y$128,"CULTURAL SERVICES",'1. ALL DATA'!$V$5:$V$128,"Not yet due")</f>
        <v>0</v>
      </c>
      <c r="Y39" s="73">
        <f>X39/$X$43</f>
        <v>0</v>
      </c>
      <c r="Z39" s="73">
        <f>Y39</f>
        <v>0</v>
      </c>
      <c r="AA39" s="74"/>
      <c r="AB39" s="235"/>
    </row>
    <row r="40" spans="2:28" ht="15" customHeight="1" x14ac:dyDescent="0.25">
      <c r="B40" s="46" t="s">
        <v>46</v>
      </c>
      <c r="C40" s="269">
        <f>COUNTIFS('1. ALL DATA'!$Y$5:$Y$128,"CULTURAL SERVICES",'1. ALL DATA'!$H$5:$H$128,"Update not provided")</f>
        <v>0</v>
      </c>
      <c r="D40" s="252">
        <f>C40/C43</f>
        <v>0</v>
      </c>
      <c r="E40" s="252">
        <f>D40</f>
        <v>0</v>
      </c>
      <c r="F40" s="74"/>
      <c r="G40" s="96"/>
      <c r="I40" s="46" t="s">
        <v>46</v>
      </c>
      <c r="J40" s="269">
        <f>COUNTIFS('1. ALL DATA'!$Y$5:$Y$128,"CULTURAL SERVICES",'1. ALL DATA'!$M$5:$M$128,"Update not provided")</f>
        <v>0</v>
      </c>
      <c r="K40" s="73">
        <f>J40/J43</f>
        <v>0</v>
      </c>
      <c r="L40" s="73">
        <f>K40</f>
        <v>0</v>
      </c>
      <c r="M40" s="74"/>
      <c r="N40" s="96"/>
      <c r="P40" s="46" t="s">
        <v>46</v>
      </c>
      <c r="Q40" s="269">
        <f>COUNTIFS('1. ALL DATA'!$Y$5:$Y$128,"CULTURAL SERVICES",'1. ALL DATA'!$R$5:$R$128,"Update not provided")</f>
        <v>0</v>
      </c>
      <c r="R40" s="73">
        <f>Q40/Q43</f>
        <v>0</v>
      </c>
      <c r="S40" s="73">
        <f>R40</f>
        <v>0</v>
      </c>
      <c r="T40" s="74"/>
      <c r="U40" s="92"/>
      <c r="W40" s="62" t="s">
        <v>46</v>
      </c>
      <c r="X40" s="269">
        <f>COUNTIFS('1. ALL DATA'!$Y$5:$Y$128,"CULTURAL SERVICES",'1. ALL DATA'!$V$5:$V$128,"Update not provided")</f>
        <v>20</v>
      </c>
      <c r="Y40" s="73">
        <f>X40/$X$43</f>
        <v>1</v>
      </c>
      <c r="Z40" s="73">
        <f>Y40</f>
        <v>1</v>
      </c>
      <c r="AA40" s="74"/>
    </row>
    <row r="41" spans="2:28" ht="15.75" customHeight="1" x14ac:dyDescent="0.25">
      <c r="B41" s="47" t="s">
        <v>22</v>
      </c>
      <c r="C41" s="269">
        <f>COUNTIFS('1. ALL DATA'!$Y$5:$Y$128,"CULTURAL SERVICES",'1. ALL DATA'!$H$5:$H$128,"Deferred")</f>
        <v>0</v>
      </c>
      <c r="D41" s="253">
        <f>C41/C43</f>
        <v>0</v>
      </c>
      <c r="E41" s="253">
        <f>D41</f>
        <v>0</v>
      </c>
      <c r="F41" s="75"/>
      <c r="G41" s="45"/>
      <c r="I41" s="47" t="s">
        <v>22</v>
      </c>
      <c r="J41" s="269">
        <f>COUNTIFS('1. ALL DATA'!$Y$5:$Y$128,"CULTURAL SERVICES",'1. ALL DATA'!$M$5:$M$128,"Deferred")</f>
        <v>1</v>
      </c>
      <c r="K41" s="76">
        <f>J41/J43</f>
        <v>0.05</v>
      </c>
      <c r="L41" s="76">
        <f>K41</f>
        <v>0.05</v>
      </c>
      <c r="M41" s="75"/>
      <c r="N41" s="45"/>
      <c r="P41" s="47" t="s">
        <v>22</v>
      </c>
      <c r="Q41" s="269">
        <f>COUNTIFS('1. ALL DATA'!$Y$5:$Y$128,"CULTURAL SERVICES",'1. ALL DATA'!$R$5:$R$128,"Deferred")</f>
        <v>1</v>
      </c>
      <c r="R41" s="76">
        <f>Q41/Q43</f>
        <v>0.05</v>
      </c>
      <c r="S41" s="76">
        <f>R41</f>
        <v>0.05</v>
      </c>
      <c r="T41" s="75"/>
      <c r="U41" s="91"/>
      <c r="W41" s="47" t="s">
        <v>22</v>
      </c>
      <c r="X41" s="269">
        <f>COUNTIFS('1. ALL DATA'!$Y$5:$Y$128,"CULTURAL SERVICES",'1. ALL DATA'!$V$5:$V$128,"Deferred")</f>
        <v>0</v>
      </c>
      <c r="Y41" s="76">
        <f>X41/$X$43</f>
        <v>0</v>
      </c>
      <c r="Z41" s="76">
        <f>Y41</f>
        <v>0</v>
      </c>
      <c r="AA41" s="75"/>
      <c r="AB41" s="235"/>
    </row>
    <row r="42" spans="2:28" ht="15.75" customHeight="1" x14ac:dyDescent="0.25">
      <c r="B42" s="47" t="s">
        <v>28</v>
      </c>
      <c r="C42" s="269">
        <f>COUNTIFS('1. ALL DATA'!$Y$5:$Y$128,"CULTURAL SERVICES",'1. ALL DATA'!$H$5:$H$128,"Deleted")</f>
        <v>0</v>
      </c>
      <c r="D42" s="253">
        <f>C42/C43</f>
        <v>0</v>
      </c>
      <c r="E42" s="253">
        <f>D42</f>
        <v>0</v>
      </c>
      <c r="F42" s="75"/>
      <c r="G42" s="89" t="s">
        <v>62</v>
      </c>
      <c r="I42" s="47" t="s">
        <v>28</v>
      </c>
      <c r="J42" s="269">
        <f>COUNTIFS('1. ALL DATA'!$Y$5:$Y$128,"CULTURAL SERVICES",'1. ALL DATA'!$M$5:$M$128,"Deleted")</f>
        <v>0</v>
      </c>
      <c r="K42" s="76">
        <f>J42/J43</f>
        <v>0</v>
      </c>
      <c r="L42" s="76">
        <f>K42</f>
        <v>0</v>
      </c>
      <c r="M42" s="75"/>
      <c r="N42" s="97"/>
      <c r="P42" s="47" t="s">
        <v>28</v>
      </c>
      <c r="Q42" s="269">
        <f>COUNTIFS('1. ALL DATA'!$Y$5:$Y$128,"CULTURAL SERVICES",'1. ALL DATA'!$R$5:$R$128,"Deleted")</f>
        <v>0</v>
      </c>
      <c r="R42" s="76">
        <f>Q42/Q43</f>
        <v>0</v>
      </c>
      <c r="S42" s="76">
        <f>R42</f>
        <v>0</v>
      </c>
      <c r="T42" s="75"/>
      <c r="U42" s="89" t="s">
        <v>62</v>
      </c>
      <c r="W42" s="47" t="s">
        <v>28</v>
      </c>
      <c r="X42" s="269">
        <f>COUNTIFS('1. ALL DATA'!$Y$5:$Y$128,"CULTURAL SERVICES",'1. ALL DATA'!$V$5:$V$128,"Deleted")</f>
        <v>0</v>
      </c>
      <c r="Y42" s="76">
        <f>X42/$X$43</f>
        <v>0</v>
      </c>
      <c r="Z42" s="76">
        <f>Y42</f>
        <v>0</v>
      </c>
      <c r="AA42" s="75"/>
      <c r="AB42" s="89" t="s">
        <v>62</v>
      </c>
    </row>
    <row r="43" spans="2:28" ht="15.75" customHeight="1" x14ac:dyDescent="0.25">
      <c r="B43" s="48" t="s">
        <v>30</v>
      </c>
      <c r="C43" s="271">
        <f>SUM(C29:C42)</f>
        <v>20</v>
      </c>
      <c r="D43" s="44"/>
      <c r="E43" s="44"/>
      <c r="F43" s="50"/>
      <c r="G43" s="97"/>
      <c r="I43" s="48" t="s">
        <v>30</v>
      </c>
      <c r="J43" s="271">
        <f>SUM(J29:J42)</f>
        <v>20</v>
      </c>
      <c r="K43" s="75"/>
      <c r="L43" s="75"/>
      <c r="M43" s="50"/>
      <c r="N43" s="89" t="s">
        <v>62</v>
      </c>
      <c r="P43" s="48" t="s">
        <v>30</v>
      </c>
      <c r="Q43" s="271">
        <f>SUM(Q29:Q42)</f>
        <v>20</v>
      </c>
      <c r="R43" s="75"/>
      <c r="S43" s="75"/>
      <c r="T43" s="50"/>
      <c r="U43" s="91"/>
      <c r="W43" s="48" t="s">
        <v>30</v>
      </c>
      <c r="X43" s="271">
        <f>SUM(X29:X42)</f>
        <v>20</v>
      </c>
      <c r="Y43" s="75"/>
      <c r="Z43" s="75"/>
      <c r="AA43" s="50"/>
      <c r="AB43" s="235"/>
    </row>
    <row r="44" spans="2:28" ht="15.75" customHeight="1" x14ac:dyDescent="0.25">
      <c r="B44" s="48" t="s">
        <v>31</v>
      </c>
      <c r="C44" s="271">
        <f>C43-C42-C41-C40-C39</f>
        <v>10</v>
      </c>
      <c r="D44" s="45"/>
      <c r="E44" s="45"/>
      <c r="F44" s="50"/>
      <c r="G44" s="45"/>
      <c r="I44" s="48" t="s">
        <v>31</v>
      </c>
      <c r="J44" s="271">
        <f>J43-J42-J41-J40-J39</f>
        <v>18</v>
      </c>
      <c r="K44" s="50"/>
      <c r="L44" s="50"/>
      <c r="M44" s="50"/>
      <c r="N44" s="45"/>
      <c r="P44" s="48" t="s">
        <v>31</v>
      </c>
      <c r="Q44" s="271">
        <f>Q43-Q42-Q41-Q40-Q39</f>
        <v>19</v>
      </c>
      <c r="R44" s="50"/>
      <c r="S44" s="50"/>
      <c r="T44" s="50"/>
      <c r="U44" s="91"/>
      <c r="W44" s="48" t="s">
        <v>31</v>
      </c>
      <c r="X44" s="271">
        <f>X43-X42-X41-X40-X39</f>
        <v>0</v>
      </c>
      <c r="Y44" s="50"/>
      <c r="Z44" s="50"/>
      <c r="AA44" s="50"/>
      <c r="AB44" s="235"/>
    </row>
    <row r="45" spans="2:28" ht="15.75" customHeight="1" x14ac:dyDescent="0.25">
      <c r="W45" s="63"/>
      <c r="Y45" s="61"/>
      <c r="Z45" s="61"/>
      <c r="AA45" s="50"/>
      <c r="AB45" s="235"/>
    </row>
    <row r="46" spans="2:28" ht="15.75" customHeight="1" x14ac:dyDescent="0.25"/>
    <row r="47" spans="2:28" s="61" customFormat="1" ht="15.75" customHeight="1" x14ac:dyDescent="0.25">
      <c r="B47" s="63"/>
      <c r="C47" s="1"/>
      <c r="D47" s="1"/>
      <c r="E47" s="1"/>
      <c r="F47" s="50"/>
      <c r="G47" s="1"/>
      <c r="I47" s="63"/>
      <c r="J47" s="1"/>
      <c r="M47" s="50"/>
      <c r="N47" s="1"/>
      <c r="P47" s="63"/>
      <c r="Q47" s="1"/>
      <c r="T47" s="50"/>
      <c r="U47" s="88"/>
      <c r="X47" s="1"/>
      <c r="AB47" s="235"/>
    </row>
    <row r="48" spans="2:28" s="61" customFormat="1" ht="15.75" customHeight="1" x14ac:dyDescent="0.25">
      <c r="B48" s="315" t="s">
        <v>267</v>
      </c>
      <c r="C48" s="370"/>
      <c r="D48" s="370"/>
      <c r="E48" s="370"/>
      <c r="F48" s="309"/>
      <c r="G48" s="310"/>
      <c r="I48" s="315" t="s">
        <v>267</v>
      </c>
      <c r="J48" s="370"/>
      <c r="K48" s="309"/>
      <c r="L48" s="309"/>
      <c r="M48" s="309"/>
      <c r="N48" s="310"/>
      <c r="P48" s="315" t="s">
        <v>267</v>
      </c>
      <c r="Q48" s="370"/>
      <c r="R48" s="309"/>
      <c r="S48" s="309"/>
      <c r="T48" s="309"/>
      <c r="U48" s="310"/>
      <c r="W48" s="315" t="s">
        <v>267</v>
      </c>
      <c r="X48" s="370"/>
      <c r="Y48" s="309"/>
      <c r="Z48" s="309"/>
      <c r="AA48" s="309"/>
      <c r="AB48" s="310"/>
    </row>
    <row r="49" spans="2:28" ht="36" customHeight="1" x14ac:dyDescent="0.25">
      <c r="B49" s="311" t="s">
        <v>23</v>
      </c>
      <c r="C49" s="312" t="s">
        <v>24</v>
      </c>
      <c r="D49" s="312" t="s">
        <v>18</v>
      </c>
      <c r="E49" s="312" t="s">
        <v>48</v>
      </c>
      <c r="F49" s="311" t="s">
        <v>29</v>
      </c>
      <c r="G49" s="312" t="s">
        <v>49</v>
      </c>
      <c r="I49" s="311" t="s">
        <v>23</v>
      </c>
      <c r="J49" s="312" t="s">
        <v>24</v>
      </c>
      <c r="K49" s="311" t="s">
        <v>18</v>
      </c>
      <c r="L49" s="311" t="s">
        <v>48</v>
      </c>
      <c r="M49" s="311" t="s">
        <v>29</v>
      </c>
      <c r="N49" s="312" t="s">
        <v>49</v>
      </c>
      <c r="P49" s="311" t="s">
        <v>23</v>
      </c>
      <c r="Q49" s="312" t="s">
        <v>24</v>
      </c>
      <c r="R49" s="311" t="s">
        <v>18</v>
      </c>
      <c r="S49" s="311" t="s">
        <v>48</v>
      </c>
      <c r="T49" s="311" t="s">
        <v>29</v>
      </c>
      <c r="U49" s="313" t="s">
        <v>49</v>
      </c>
      <c r="W49" s="311" t="s">
        <v>23</v>
      </c>
      <c r="X49" s="312" t="s">
        <v>24</v>
      </c>
      <c r="Y49" s="311" t="s">
        <v>18</v>
      </c>
      <c r="Z49" s="311" t="s">
        <v>48</v>
      </c>
      <c r="AA49" s="311" t="s">
        <v>29</v>
      </c>
      <c r="AB49" s="314" t="s">
        <v>49</v>
      </c>
    </row>
    <row r="50" spans="2:28" s="61" customFormat="1" ht="7.5" customHeight="1" x14ac:dyDescent="0.25">
      <c r="B50" s="167"/>
      <c r="C50" s="177"/>
      <c r="D50" s="177"/>
      <c r="E50" s="177"/>
      <c r="F50" s="167"/>
      <c r="G50" s="177"/>
      <c r="I50" s="167"/>
      <c r="J50" s="177"/>
      <c r="K50" s="167"/>
      <c r="L50" s="167"/>
      <c r="M50" s="167"/>
      <c r="N50" s="177"/>
      <c r="P50" s="167"/>
      <c r="Q50" s="177"/>
      <c r="R50" s="167"/>
      <c r="S50" s="167"/>
      <c r="T50" s="167"/>
      <c r="U50" s="178"/>
      <c r="W50" s="167"/>
      <c r="X50" s="177"/>
      <c r="Y50" s="167"/>
      <c r="Z50" s="167"/>
      <c r="AA50" s="167"/>
      <c r="AB50" s="232"/>
    </row>
    <row r="51" spans="2:28" ht="18.75" customHeight="1" x14ac:dyDescent="0.25">
      <c r="B51" s="247" t="s">
        <v>45</v>
      </c>
      <c r="C51" s="257">
        <f>COUNTIFS('1. ALL DATA'!$Y$5:$Y$128,"HOUSING AND HOMELESSNESS",'1. ALL DATA'!$H$5:$H$128,"Fully Achieved")</f>
        <v>1</v>
      </c>
      <c r="D51" s="367">
        <f>C51/C65</f>
        <v>5.8823529411764705E-2</v>
      </c>
      <c r="E51" s="462">
        <f>D51+D52</f>
        <v>0.6470588235294118</v>
      </c>
      <c r="F51" s="118">
        <f>C51/C66</f>
        <v>8.3333333333333329E-2</v>
      </c>
      <c r="G51" s="459">
        <f>F51+F52</f>
        <v>0.91666666666666674</v>
      </c>
      <c r="I51" s="247" t="s">
        <v>45</v>
      </c>
      <c r="J51" s="257">
        <f>COUNTIFS('1. ALL DATA'!$Y$5:$Y$128,"HOUSING AND HOMELESSNESS",'1. ALL DATA'!$M$5:$M$128,"Fully Achieved")</f>
        <v>5</v>
      </c>
      <c r="K51" s="118">
        <f>J51/J65</f>
        <v>0.29411764705882354</v>
      </c>
      <c r="L51" s="477">
        <f>K51+K52</f>
        <v>0.88235294117647056</v>
      </c>
      <c r="M51" s="118">
        <f>J51/J66</f>
        <v>0.3125</v>
      </c>
      <c r="N51" s="459">
        <f>M51+M52</f>
        <v>0.9375</v>
      </c>
      <c r="P51" s="247" t="s">
        <v>45</v>
      </c>
      <c r="Q51" s="257">
        <f>COUNTIFS('1. ALL DATA'!$Y$5:$Y$128,"HOUSING AND HOMELESSNESS",'1. ALL DATA'!$R$5:$R$128,"Fully Achieved")</f>
        <v>8</v>
      </c>
      <c r="R51" s="118">
        <f>Q51/Q65</f>
        <v>0.47058823529411764</v>
      </c>
      <c r="S51" s="477">
        <f>R51+R52</f>
        <v>0.88235294117647056</v>
      </c>
      <c r="T51" s="118">
        <f>Q51/Q66</f>
        <v>0.5</v>
      </c>
      <c r="U51" s="459">
        <f>T51+T52</f>
        <v>0.9375</v>
      </c>
      <c r="W51" s="247" t="s">
        <v>40</v>
      </c>
      <c r="X51" s="257">
        <f>COUNTIFS('1. ALL DATA'!$Y$5:$Y$128,"HOUSING AND HOMELESSNESS",'1. ALL DATA'!$V$5:$V$128,"Fully Achieved")</f>
        <v>0</v>
      </c>
      <c r="Y51" s="118">
        <f>X51/$X$65</f>
        <v>0</v>
      </c>
      <c r="Z51" s="477">
        <f>Y51+Y52</f>
        <v>0</v>
      </c>
      <c r="AA51" s="118" t="e">
        <f>X51/$X$66</f>
        <v>#DIV/0!</v>
      </c>
      <c r="AB51" s="459" t="e">
        <f>AA51+AA52</f>
        <v>#DIV/0!</v>
      </c>
    </row>
    <row r="52" spans="2:28" ht="18.75" customHeight="1" x14ac:dyDescent="0.25">
      <c r="B52" s="247" t="s">
        <v>41</v>
      </c>
      <c r="C52" s="257">
        <f>COUNTIFS('1. ALL DATA'!$Y$5:$Y$128,"HOUSING AND HOMELESSNESS",'1. ALL DATA'!$H$5:$H$128,"On track to be achieved")</f>
        <v>10</v>
      </c>
      <c r="D52" s="367">
        <f>C52/C65</f>
        <v>0.58823529411764708</v>
      </c>
      <c r="E52" s="462"/>
      <c r="F52" s="118">
        <f>C52/C66</f>
        <v>0.83333333333333337</v>
      </c>
      <c r="G52" s="459"/>
      <c r="I52" s="247" t="s">
        <v>41</v>
      </c>
      <c r="J52" s="257">
        <f>COUNTIFS('1. ALL DATA'!$Y$5:$Y$128,"HOUSING AND HOMELESSNESS",'1. ALL DATA'!$M$5:$M$128,"On track to be achieved")</f>
        <v>10</v>
      </c>
      <c r="K52" s="118">
        <f>J52/J65</f>
        <v>0.58823529411764708</v>
      </c>
      <c r="L52" s="477"/>
      <c r="M52" s="118">
        <f>J52/J66</f>
        <v>0.625</v>
      </c>
      <c r="N52" s="459"/>
      <c r="P52" s="247" t="s">
        <v>41</v>
      </c>
      <c r="Q52" s="257">
        <f>COUNTIFS('1. ALL DATA'!$Y$5:$Y$128,"HOUSING AND HOMELESSNESS",'1. ALL DATA'!$R$5:$R$128,"On track to be achieved")</f>
        <v>7</v>
      </c>
      <c r="R52" s="118">
        <f>Q52/Q65</f>
        <v>0.41176470588235292</v>
      </c>
      <c r="S52" s="477"/>
      <c r="T52" s="118">
        <f>Q52/Q66</f>
        <v>0.4375</v>
      </c>
      <c r="U52" s="459"/>
      <c r="W52" s="247" t="s">
        <v>79</v>
      </c>
      <c r="X52" s="257">
        <f>COUNTIFS('1. ALL DATA'!$Y$5:$Y$128,"HOUSING AND HOMELESSNESS",'1. ALL DATA'!$V$5:$V$128,"Numerical Outturn Within 5% Tolerance")</f>
        <v>0</v>
      </c>
      <c r="Y52" s="118">
        <f>X52/$X$65</f>
        <v>0</v>
      </c>
      <c r="Z52" s="477"/>
      <c r="AA52" s="118" t="e">
        <f>X52/$X$66</f>
        <v>#DIV/0!</v>
      </c>
      <c r="AB52" s="459"/>
    </row>
    <row r="53" spans="2:28" s="61" customFormat="1" ht="6.75" customHeight="1" x14ac:dyDescent="0.25">
      <c r="B53" s="167"/>
      <c r="C53" s="265"/>
      <c r="D53" s="251"/>
      <c r="E53" s="251"/>
      <c r="F53" s="168"/>
      <c r="G53" s="169"/>
      <c r="I53" s="167"/>
      <c r="J53" s="265"/>
      <c r="K53" s="168"/>
      <c r="L53" s="168"/>
      <c r="M53" s="168"/>
      <c r="N53" s="169"/>
      <c r="P53" s="167"/>
      <c r="Q53" s="265"/>
      <c r="R53" s="168"/>
      <c r="S53" s="168"/>
      <c r="T53" s="168"/>
      <c r="U53" s="169"/>
      <c r="W53" s="170"/>
      <c r="X53" s="265"/>
      <c r="Y53" s="168"/>
      <c r="Z53" s="168"/>
      <c r="AA53" s="168"/>
      <c r="AB53" s="169"/>
    </row>
    <row r="54" spans="2:28" ht="16.5" customHeight="1" x14ac:dyDescent="0.25">
      <c r="B54" s="460" t="s">
        <v>26</v>
      </c>
      <c r="C54" s="461">
        <f>COUNTIFS('1. ALL DATA'!$Y$5:$Y$128,"HOUSING AND HOMELESSNESS",'1. ALL DATA'!$H$5:$H$128,"In danger of falling behind target")</f>
        <v>0</v>
      </c>
      <c r="D54" s="462">
        <f>C54/C65</f>
        <v>0</v>
      </c>
      <c r="E54" s="462">
        <f>D54</f>
        <v>0</v>
      </c>
      <c r="F54" s="477">
        <f>C54/C66</f>
        <v>0</v>
      </c>
      <c r="G54" s="464">
        <f>F54</f>
        <v>0</v>
      </c>
      <c r="I54" s="460" t="s">
        <v>26</v>
      </c>
      <c r="J54" s="461">
        <f>COUNTIFS('1. ALL DATA'!$Y$5:$Y$128,"HOUSING AND HOMELESSNESS",'1. ALL DATA'!$M$5:$M$128,"In danger of falling behind target")</f>
        <v>0</v>
      </c>
      <c r="K54" s="477">
        <f>J54/J65</f>
        <v>0</v>
      </c>
      <c r="L54" s="477">
        <f>K54</f>
        <v>0</v>
      </c>
      <c r="M54" s="477">
        <f>J54/J66</f>
        <v>0</v>
      </c>
      <c r="N54" s="464">
        <f>M54</f>
        <v>0</v>
      </c>
      <c r="P54" s="460" t="s">
        <v>26</v>
      </c>
      <c r="Q54" s="461">
        <f>COUNTIFS('1. ALL DATA'!$Y$5:$Y$128,"HOUSING AND HOMELESSNESS",'1. ALL DATA'!$R$5:$R$128,"In danger of falling behind target")</f>
        <v>0</v>
      </c>
      <c r="R54" s="477">
        <f>Q54/Q65</f>
        <v>0</v>
      </c>
      <c r="S54" s="477">
        <f>R54</f>
        <v>0</v>
      </c>
      <c r="T54" s="477">
        <f>Q54/Q66</f>
        <v>0</v>
      </c>
      <c r="U54" s="464">
        <f>T54</f>
        <v>0</v>
      </c>
      <c r="W54" s="249" t="s">
        <v>80</v>
      </c>
      <c r="X54" s="368">
        <f>COUNTIFS('1. ALL DATA'!$Y$5:$Y$128,"HOUSING AND HOMELESSNESS",'1. ALL DATA'!$V$5:$V$128,"Numerical Outturn Within 10% Tolerance")</f>
        <v>0</v>
      </c>
      <c r="Y54" s="118">
        <f>X54/$X$65</f>
        <v>0</v>
      </c>
      <c r="Z54" s="478">
        <f>SUM(Y54:Y56)</f>
        <v>0</v>
      </c>
      <c r="AA54" s="70" t="e">
        <f>X54/$X$66</f>
        <v>#DIV/0!</v>
      </c>
      <c r="AB54" s="464" t="e">
        <f>SUM(AA54:AA56)</f>
        <v>#DIV/0!</v>
      </c>
    </row>
    <row r="55" spans="2:28" ht="16.5" customHeight="1" x14ac:dyDescent="0.25">
      <c r="B55" s="460"/>
      <c r="C55" s="461"/>
      <c r="D55" s="462"/>
      <c r="E55" s="462"/>
      <c r="F55" s="477"/>
      <c r="G55" s="464"/>
      <c r="I55" s="460"/>
      <c r="J55" s="461"/>
      <c r="K55" s="477"/>
      <c r="L55" s="477"/>
      <c r="M55" s="477"/>
      <c r="N55" s="464"/>
      <c r="P55" s="460"/>
      <c r="Q55" s="461"/>
      <c r="R55" s="477"/>
      <c r="S55" s="477"/>
      <c r="T55" s="477"/>
      <c r="U55" s="464"/>
      <c r="W55" s="249" t="s">
        <v>81</v>
      </c>
      <c r="X55" s="368">
        <f>COUNTIFS('1. ALL DATA'!$Y$5:$Y$128,"HOUSING AND HOMELESSNESS",'1. ALL DATA'!$V$5:$V$128,"Target Partially Met")</f>
        <v>0</v>
      </c>
      <c r="Y55" s="118">
        <f>X55/$X$65</f>
        <v>0</v>
      </c>
      <c r="Z55" s="479"/>
      <c r="AA55" s="70" t="e">
        <f>X55/$X$66</f>
        <v>#DIV/0!</v>
      </c>
      <c r="AB55" s="464"/>
    </row>
    <row r="56" spans="2:28" ht="16.5" customHeight="1" x14ac:dyDescent="0.25">
      <c r="B56" s="460"/>
      <c r="C56" s="461"/>
      <c r="D56" s="462"/>
      <c r="E56" s="462"/>
      <c r="F56" s="477"/>
      <c r="G56" s="464"/>
      <c r="I56" s="460"/>
      <c r="J56" s="461"/>
      <c r="K56" s="477"/>
      <c r="L56" s="477"/>
      <c r="M56" s="477"/>
      <c r="N56" s="464"/>
      <c r="P56" s="460"/>
      <c r="Q56" s="461"/>
      <c r="R56" s="477"/>
      <c r="S56" s="477"/>
      <c r="T56" s="477"/>
      <c r="U56" s="464"/>
      <c r="W56" s="249" t="s">
        <v>83</v>
      </c>
      <c r="X56" s="368">
        <f>COUNTIFS('1. ALL DATA'!$Y$5:$Y$128,"HOUSING AND HOMELESSNESS",'1. ALL DATA'!$V$5:$V$128,"Completion Date Within Reasonable Tolerance")</f>
        <v>0</v>
      </c>
      <c r="Y56" s="118">
        <f>X56/$X$65</f>
        <v>0</v>
      </c>
      <c r="Z56" s="480"/>
      <c r="AA56" s="70" t="e">
        <f>X56/$X$66</f>
        <v>#DIV/0!</v>
      </c>
      <c r="AB56" s="464"/>
    </row>
    <row r="57" spans="2:28" s="61" customFormat="1" ht="6" customHeight="1" x14ac:dyDescent="0.25">
      <c r="B57" s="167"/>
      <c r="C57" s="177"/>
      <c r="D57" s="251"/>
      <c r="E57" s="251"/>
      <c r="F57" s="168"/>
      <c r="G57" s="169"/>
      <c r="I57" s="167"/>
      <c r="J57" s="177"/>
      <c r="K57" s="168"/>
      <c r="L57" s="168"/>
      <c r="M57" s="168"/>
      <c r="N57" s="169"/>
      <c r="P57" s="167"/>
      <c r="Q57" s="177"/>
      <c r="R57" s="168"/>
      <c r="S57" s="168"/>
      <c r="T57" s="168"/>
      <c r="U57" s="169"/>
      <c r="W57" s="170"/>
      <c r="X57" s="177"/>
      <c r="Y57" s="168"/>
      <c r="Z57" s="168"/>
      <c r="AA57" s="168"/>
      <c r="AB57" s="169"/>
    </row>
    <row r="58" spans="2:28" ht="22.5" customHeight="1" x14ac:dyDescent="0.25">
      <c r="B58" s="248" t="s">
        <v>42</v>
      </c>
      <c r="C58" s="257">
        <f>COUNTIFS('1. ALL DATA'!$Y$5:$Y$128,"HOUSING AND HOMELESSNESS",'1. ALL DATA'!$H$5:$H$128,"Completed behind schedule")</f>
        <v>0</v>
      </c>
      <c r="D58" s="367">
        <f>C58/C65</f>
        <v>0</v>
      </c>
      <c r="E58" s="462">
        <f>D58+D59</f>
        <v>5.8823529411764705E-2</v>
      </c>
      <c r="F58" s="118">
        <f>C58/C66</f>
        <v>0</v>
      </c>
      <c r="G58" s="481">
        <f>F58+F59</f>
        <v>8.3333333333333329E-2</v>
      </c>
      <c r="I58" s="248" t="s">
        <v>42</v>
      </c>
      <c r="J58" s="257">
        <f>COUNTIFS('1. ALL DATA'!$Y$5:$Y$128,"HOUSING AND HOMELESSNESS",'1. ALL DATA'!$M$5:$M$128,"Completed behind schedule")</f>
        <v>1</v>
      </c>
      <c r="K58" s="118">
        <f>J58/J65</f>
        <v>5.8823529411764705E-2</v>
      </c>
      <c r="L58" s="477">
        <f>K58+K59</f>
        <v>5.8823529411764705E-2</v>
      </c>
      <c r="M58" s="118">
        <f>J58/J66</f>
        <v>6.25E-2</v>
      </c>
      <c r="N58" s="481">
        <f>M58+M59</f>
        <v>6.25E-2</v>
      </c>
      <c r="P58" s="248" t="s">
        <v>42</v>
      </c>
      <c r="Q58" s="257">
        <f>COUNTIFS('1. ALL DATA'!$Y$5:$Y$128,"HOUSING AND HOMELESSNESS",'1. ALL DATA'!$R$5:$R$128,"Completed behind schedule")</f>
        <v>1</v>
      </c>
      <c r="R58" s="118">
        <f>Q58/Q65</f>
        <v>5.8823529411764705E-2</v>
      </c>
      <c r="S58" s="477">
        <f>R58+R59</f>
        <v>5.8823529411764705E-2</v>
      </c>
      <c r="T58" s="118">
        <f>Q58/Q66</f>
        <v>6.25E-2</v>
      </c>
      <c r="U58" s="481">
        <f>T58+T59</f>
        <v>6.25E-2</v>
      </c>
      <c r="W58" s="248" t="s">
        <v>82</v>
      </c>
      <c r="X58" s="257">
        <f>COUNTIFS('1. ALL DATA'!$Y$5:$Y$128,"HOUSING AND HOMELESSNESS",'1. ALL DATA'!$V$5:$V$128,"Completed Significantly After Target Deadline")</f>
        <v>0</v>
      </c>
      <c r="Y58" s="118">
        <f>X58/$X$65</f>
        <v>0</v>
      </c>
      <c r="Z58" s="477">
        <f>Y58+Y59</f>
        <v>0</v>
      </c>
      <c r="AA58" s="118" t="e">
        <f>X58/$X$66</f>
        <v>#DIV/0!</v>
      </c>
      <c r="AB58" s="481" t="e">
        <f>AA58+AA59</f>
        <v>#DIV/0!</v>
      </c>
    </row>
    <row r="59" spans="2:28" ht="22.5" customHeight="1" x14ac:dyDescent="0.25">
      <c r="B59" s="248" t="s">
        <v>27</v>
      </c>
      <c r="C59" s="257">
        <f>COUNTIFS('1. ALL DATA'!$Y$5:$Y$128,"HOUSING AND HOMELESSNESS",'1. ALL DATA'!$H$5:$H$128,"Off target")</f>
        <v>1</v>
      </c>
      <c r="D59" s="367">
        <f>C59/C65</f>
        <v>5.8823529411764705E-2</v>
      </c>
      <c r="E59" s="462"/>
      <c r="F59" s="118">
        <f>C59/C66</f>
        <v>8.3333333333333329E-2</v>
      </c>
      <c r="G59" s="481"/>
      <c r="I59" s="248" t="s">
        <v>27</v>
      </c>
      <c r="J59" s="257">
        <f>COUNTIFS('1. ALL DATA'!$Y$5:$Y$128,"HOUSING AND HOMELESSNESS",'1. ALL DATA'!$M$5:$M$128,"Off target")</f>
        <v>0</v>
      </c>
      <c r="K59" s="118">
        <f>J59/J65</f>
        <v>0</v>
      </c>
      <c r="L59" s="477"/>
      <c r="M59" s="118">
        <f>J59/J66</f>
        <v>0</v>
      </c>
      <c r="N59" s="481"/>
      <c r="P59" s="248" t="s">
        <v>27</v>
      </c>
      <c r="Q59" s="257">
        <f>COUNTIFS('1. ALL DATA'!$Y$5:$Y$128,"HOUSING AND HOMELESSNESS",'1. ALL DATA'!$R$5:$R$128,"Off target")</f>
        <v>0</v>
      </c>
      <c r="R59" s="118">
        <f>Q59/Q65</f>
        <v>0</v>
      </c>
      <c r="S59" s="477"/>
      <c r="T59" s="118">
        <f>Q59/Q66</f>
        <v>0</v>
      </c>
      <c r="U59" s="481"/>
      <c r="W59" s="248" t="s">
        <v>27</v>
      </c>
      <c r="X59" s="257">
        <f>COUNTIFS('1. ALL DATA'!$Y$5:$Y$128,"HOUSING AND HOMELESSNESS",'1. ALL DATA'!$V$5:$V$128,"Off target")</f>
        <v>0</v>
      </c>
      <c r="Y59" s="118">
        <f>X59/$X$65</f>
        <v>0</v>
      </c>
      <c r="Z59" s="477"/>
      <c r="AA59" s="118" t="e">
        <f>X59/$X$66</f>
        <v>#DIV/0!</v>
      </c>
      <c r="AB59" s="481"/>
    </row>
    <row r="60" spans="2:28" s="61" customFormat="1" ht="6.75" customHeight="1" x14ac:dyDescent="0.25">
      <c r="B60" s="167"/>
      <c r="C60" s="265"/>
      <c r="D60" s="251"/>
      <c r="E60" s="251"/>
      <c r="F60" s="168"/>
      <c r="G60" s="172"/>
      <c r="I60" s="167"/>
      <c r="J60" s="265"/>
      <c r="K60" s="168"/>
      <c r="L60" s="168"/>
      <c r="M60" s="168"/>
      <c r="N60" s="172"/>
      <c r="P60" s="167"/>
      <c r="Q60" s="265"/>
      <c r="R60" s="168"/>
      <c r="S60" s="168"/>
      <c r="T60" s="168"/>
      <c r="U60" s="172"/>
      <c r="W60" s="318"/>
      <c r="X60" s="265"/>
      <c r="Y60" s="173"/>
      <c r="Z60" s="173"/>
      <c r="AA60" s="174"/>
      <c r="AB60" s="233"/>
    </row>
    <row r="61" spans="2:28" ht="15.75" customHeight="1" x14ac:dyDescent="0.25">
      <c r="B61" s="46" t="s">
        <v>1</v>
      </c>
      <c r="C61" s="269">
        <f>COUNTIFS('1. ALL DATA'!$Y$5:$Y$128,"HOUSING AND HOMELESSNESS",'1. ALL DATA'!$H$5:$H$128,"Not yet due")</f>
        <v>5</v>
      </c>
      <c r="D61" s="252">
        <f>C61/C65</f>
        <v>0.29411764705882354</v>
      </c>
      <c r="E61" s="252">
        <f>D61</f>
        <v>0.29411764705882354</v>
      </c>
      <c r="F61" s="74"/>
      <c r="G61" s="45"/>
      <c r="I61" s="46" t="s">
        <v>1</v>
      </c>
      <c r="J61" s="269">
        <f>COUNTIFS('1. ALL DATA'!$Y$5:$Y$128,"HOUSING AND HOMELESSNESS",'1. ALL DATA'!$M$5:$M$128,"Not yet due")</f>
        <v>1</v>
      </c>
      <c r="K61" s="73">
        <f>J61/J65</f>
        <v>5.8823529411764705E-2</v>
      </c>
      <c r="L61" s="73">
        <f>K61</f>
        <v>5.8823529411764705E-2</v>
      </c>
      <c r="M61" s="74"/>
      <c r="N61" s="45"/>
      <c r="P61" s="46" t="s">
        <v>1</v>
      </c>
      <c r="Q61" s="269">
        <f>COUNTIFS('1. ALL DATA'!$Y$5:$Y$128,"HOUSING AND HOMELESSNESS",'1. ALL DATA'!$R$5:$R$128,"Not yet due")</f>
        <v>1</v>
      </c>
      <c r="R61" s="73">
        <f>Q61/Q65</f>
        <v>5.8823529411764705E-2</v>
      </c>
      <c r="S61" s="73">
        <f>R61</f>
        <v>5.8823529411764705E-2</v>
      </c>
      <c r="T61" s="74"/>
      <c r="U61" s="91"/>
      <c r="W61" s="60" t="s">
        <v>1</v>
      </c>
      <c r="X61" s="269">
        <f>COUNTIFS('1. ALL DATA'!$Y$5:$Y$128,"HOUSING AND HOMELESSNESS",'1. ALL DATA'!$V$5:$V$128,"Not yet due")</f>
        <v>0</v>
      </c>
      <c r="Y61" s="73">
        <f>X61/$X$65</f>
        <v>0</v>
      </c>
      <c r="Z61" s="73">
        <f>Y61</f>
        <v>0</v>
      </c>
      <c r="AA61" s="74"/>
      <c r="AB61" s="235"/>
    </row>
    <row r="62" spans="2:28" ht="15.75" customHeight="1" x14ac:dyDescent="0.25">
      <c r="B62" s="46" t="s">
        <v>46</v>
      </c>
      <c r="C62" s="269">
        <f>COUNTIFS('1. ALL DATA'!$Y$5:$Y$128,"HOUSING AND HOMELESSNESS",'1. ALL DATA'!$H$5:$H$128,"Update not provided")</f>
        <v>0</v>
      </c>
      <c r="D62" s="252">
        <f>C62/C65</f>
        <v>0</v>
      </c>
      <c r="E62" s="252">
        <f>D62</f>
        <v>0</v>
      </c>
      <c r="F62" s="74"/>
      <c r="G62" s="96"/>
      <c r="I62" s="46" t="s">
        <v>46</v>
      </c>
      <c r="J62" s="269">
        <f>COUNTIFS('1. ALL DATA'!$Y$5:$Y$128,"HOUSING AND HOMELESSNESS",'1. ALL DATA'!$M$5:$M$128,"Update not provided")</f>
        <v>0</v>
      </c>
      <c r="K62" s="73">
        <f>J62/J65</f>
        <v>0</v>
      </c>
      <c r="L62" s="73">
        <f>K62</f>
        <v>0</v>
      </c>
      <c r="M62" s="74"/>
      <c r="N62" s="96"/>
      <c r="P62" s="46" t="s">
        <v>46</v>
      </c>
      <c r="Q62" s="269">
        <f>COUNTIFS('1. ALL DATA'!$Y$5:$Y$128,"HOUSING AND HOMELESSNESS",'1. ALL DATA'!$R$5:$R$128,"Update not provided")</f>
        <v>0</v>
      </c>
      <c r="R62" s="73">
        <f>Q62/Q65</f>
        <v>0</v>
      </c>
      <c r="S62" s="73">
        <f>R62</f>
        <v>0</v>
      </c>
      <c r="T62" s="74"/>
      <c r="U62" s="92"/>
      <c r="W62" s="62" t="s">
        <v>46</v>
      </c>
      <c r="X62" s="269">
        <f>COUNTIFS('1. ALL DATA'!$Y$5:$Y$128,"HOUSING AND HOMELESSNESS",'1. ALL DATA'!$V$5:$V$128,"Update not provided")</f>
        <v>17</v>
      </c>
      <c r="Y62" s="73">
        <f>X62/$X$65</f>
        <v>1</v>
      </c>
      <c r="Z62" s="73">
        <f>Y62</f>
        <v>1</v>
      </c>
      <c r="AA62" s="74"/>
    </row>
    <row r="63" spans="2:28" ht="15.75" customHeight="1" x14ac:dyDescent="0.25">
      <c r="B63" s="47" t="s">
        <v>22</v>
      </c>
      <c r="C63" s="269">
        <f>COUNTIFS('1. ALL DATA'!$Y$5:$Y$128,"HOUSING AND HOMELESSNESS",'1. ALL DATA'!$H$5:$H$128,"Deferred")</f>
        <v>0</v>
      </c>
      <c r="D63" s="253">
        <f>C63/C65</f>
        <v>0</v>
      </c>
      <c r="E63" s="253">
        <f>D63</f>
        <v>0</v>
      </c>
      <c r="F63" s="75"/>
      <c r="G63" s="45"/>
      <c r="I63" s="47" t="s">
        <v>22</v>
      </c>
      <c r="J63" s="269">
        <f>COUNTIFS('1. ALL DATA'!$Y$5:$Y$128,"HOUSING AND HOMELESSNESS",'1. ALL DATA'!$M$5:$M$128,"Deferred")</f>
        <v>0</v>
      </c>
      <c r="K63" s="76">
        <f>J63/J65</f>
        <v>0</v>
      </c>
      <c r="L63" s="76">
        <f>K63</f>
        <v>0</v>
      </c>
      <c r="M63" s="75"/>
      <c r="N63" s="45"/>
      <c r="P63" s="47" t="s">
        <v>22</v>
      </c>
      <c r="Q63" s="269">
        <f>COUNTIFS('1. ALL DATA'!$Y$5:$Y$128,"HOUSING AND HOMELESSNESS",'1. ALL DATA'!$R$5:$R$128,"Deferred")</f>
        <v>0</v>
      </c>
      <c r="R63" s="76">
        <f>Q63/Q65</f>
        <v>0</v>
      </c>
      <c r="S63" s="76">
        <f>R63</f>
        <v>0</v>
      </c>
      <c r="T63" s="75"/>
      <c r="U63" s="91"/>
      <c r="W63" s="47" t="s">
        <v>22</v>
      </c>
      <c r="X63" s="269">
        <f>COUNTIFS('1. ALL DATA'!$Y$5:$Y$128,"HOUSING AND HOMELESSNESS",'1. ALL DATA'!$V$5:$V$128,"Deferred")</f>
        <v>0</v>
      </c>
      <c r="Y63" s="76">
        <f>X63/$X$65</f>
        <v>0</v>
      </c>
      <c r="Z63" s="76">
        <f>Y63</f>
        <v>0</v>
      </c>
      <c r="AA63" s="75"/>
      <c r="AB63" s="235"/>
    </row>
    <row r="64" spans="2:28" ht="15.75" customHeight="1" x14ac:dyDescent="0.25">
      <c r="B64" s="47" t="s">
        <v>28</v>
      </c>
      <c r="C64" s="269">
        <f>COUNTIFS('1. ALL DATA'!$Y$5:$Y$128,"HOUSING AND HOMELESSNESS",'1. ALL DATA'!$H$5:$H$128,"Deleted")</f>
        <v>0</v>
      </c>
      <c r="D64" s="253">
        <f>C64/C65</f>
        <v>0</v>
      </c>
      <c r="E64" s="253">
        <f>D64</f>
        <v>0</v>
      </c>
      <c r="F64" s="75"/>
      <c r="G64" s="89" t="s">
        <v>62</v>
      </c>
      <c r="I64" s="47" t="s">
        <v>28</v>
      </c>
      <c r="J64" s="269">
        <f>COUNTIFS('1. ALL DATA'!$Y$5:$Y$128,"HOUSING AND HOMELESSNESS",'1. ALL DATA'!$M$5:$M$128,"Deleted")</f>
        <v>0</v>
      </c>
      <c r="K64" s="76">
        <f>J64/J65</f>
        <v>0</v>
      </c>
      <c r="L64" s="76">
        <f>K64</f>
        <v>0</v>
      </c>
      <c r="M64" s="75"/>
      <c r="N64" s="89" t="s">
        <v>62</v>
      </c>
      <c r="P64" s="47" t="s">
        <v>28</v>
      </c>
      <c r="Q64" s="269">
        <f>COUNTIFS('1. ALL DATA'!$Y$5:$Y$128,"HOUSING AND HOMELESSNESS",'1. ALL DATA'!$R$5:$R$128,"Deleted")</f>
        <v>0</v>
      </c>
      <c r="R64" s="76">
        <f>Q64/Q65</f>
        <v>0</v>
      </c>
      <c r="S64" s="76">
        <f>R64</f>
        <v>0</v>
      </c>
      <c r="T64" s="75"/>
      <c r="U64" s="89" t="s">
        <v>62</v>
      </c>
      <c r="W64" s="47" t="s">
        <v>28</v>
      </c>
      <c r="X64" s="269">
        <f>COUNTIFS('1. ALL DATA'!$Y$5:$Y$128,"HOUSING AND HOMELESSNESS",'1. ALL DATA'!$V$5:$V$128,"Deleted")</f>
        <v>0</v>
      </c>
      <c r="Y64" s="76">
        <f>X64/$X$65</f>
        <v>0</v>
      </c>
      <c r="Z64" s="76">
        <f>Y64</f>
        <v>0</v>
      </c>
      <c r="AA64" s="75"/>
      <c r="AB64" s="89" t="s">
        <v>62</v>
      </c>
    </row>
    <row r="65" spans="2:28" ht="15.75" customHeight="1" x14ac:dyDescent="0.25">
      <c r="B65" s="48" t="s">
        <v>30</v>
      </c>
      <c r="C65" s="271">
        <f>SUM(C51:C64)</f>
        <v>17</v>
      </c>
      <c r="D65" s="44"/>
      <c r="E65" s="44"/>
      <c r="F65" s="50"/>
      <c r="G65" s="97"/>
      <c r="I65" s="48" t="s">
        <v>30</v>
      </c>
      <c r="J65" s="271">
        <f>SUM(J51:J64)</f>
        <v>17</v>
      </c>
      <c r="K65" s="75"/>
      <c r="L65" s="75"/>
      <c r="M65" s="50"/>
      <c r="N65" s="45"/>
      <c r="P65" s="48" t="s">
        <v>30</v>
      </c>
      <c r="Q65" s="271">
        <f>SUM(Q51:Q64)</f>
        <v>17</v>
      </c>
      <c r="R65" s="75"/>
      <c r="S65" s="75"/>
      <c r="T65" s="50"/>
      <c r="U65" s="91"/>
      <c r="W65" s="48" t="s">
        <v>30</v>
      </c>
      <c r="X65" s="271">
        <f>SUM(X51:X64)</f>
        <v>17</v>
      </c>
      <c r="Y65" s="75"/>
      <c r="Z65" s="75"/>
      <c r="AA65" s="50"/>
      <c r="AB65" s="235"/>
    </row>
    <row r="66" spans="2:28" ht="15.75" customHeight="1" x14ac:dyDescent="0.25">
      <c r="B66" s="48" t="s">
        <v>31</v>
      </c>
      <c r="C66" s="271">
        <f>C65-C64-C63-C62-C61</f>
        <v>12</v>
      </c>
      <c r="D66" s="45"/>
      <c r="E66" s="45"/>
      <c r="F66" s="50"/>
      <c r="G66" s="45"/>
      <c r="I66" s="48" t="s">
        <v>31</v>
      </c>
      <c r="J66" s="271">
        <f>J65-J64-J63-J62-J61</f>
        <v>16</v>
      </c>
      <c r="K66" s="50"/>
      <c r="L66" s="50"/>
      <c r="M66" s="50"/>
      <c r="N66" s="45"/>
      <c r="P66" s="48" t="s">
        <v>31</v>
      </c>
      <c r="Q66" s="271">
        <f>Q65-Q64-Q63-Q62-Q61</f>
        <v>16</v>
      </c>
      <c r="R66" s="50"/>
      <c r="S66" s="50"/>
      <c r="T66" s="50"/>
      <c r="U66" s="91"/>
      <c r="W66" s="48" t="s">
        <v>31</v>
      </c>
      <c r="X66" s="271">
        <f>X65-X64-X63-X62-X61</f>
        <v>0</v>
      </c>
      <c r="Y66" s="50"/>
      <c r="Z66" s="50"/>
      <c r="AA66" s="50"/>
      <c r="AB66" s="235"/>
    </row>
    <row r="67" spans="2:28" ht="15.75" customHeight="1" x14ac:dyDescent="0.25"/>
    <row r="68" spans="2:28" ht="15.75" customHeight="1" x14ac:dyDescent="0.25"/>
    <row r="69" spans="2:28" ht="15.75" customHeight="1" x14ac:dyDescent="0.25"/>
    <row r="70" spans="2:28" s="61" customFormat="1" ht="15.75" x14ac:dyDescent="0.25">
      <c r="B70" s="317" t="s">
        <v>241</v>
      </c>
      <c r="C70" s="370"/>
      <c r="D70" s="370"/>
      <c r="E70" s="370"/>
      <c r="F70" s="309"/>
      <c r="G70" s="310"/>
      <c r="I70" s="317" t="s">
        <v>241</v>
      </c>
      <c r="J70" s="370"/>
      <c r="K70" s="309"/>
      <c r="L70" s="309"/>
      <c r="M70" s="309"/>
      <c r="N70" s="310"/>
      <c r="P70" s="317" t="s">
        <v>241</v>
      </c>
      <c r="Q70" s="370"/>
      <c r="R70" s="309"/>
      <c r="S70" s="309"/>
      <c r="T70" s="309"/>
      <c r="U70" s="310"/>
      <c r="W70" s="317" t="s">
        <v>241</v>
      </c>
      <c r="X70" s="370"/>
      <c r="Y70" s="309"/>
      <c r="Z70" s="309"/>
      <c r="AA70" s="309"/>
      <c r="AB70" s="310"/>
    </row>
    <row r="71" spans="2:28" ht="41.25" customHeight="1" x14ac:dyDescent="0.25">
      <c r="B71" s="311" t="s">
        <v>23</v>
      </c>
      <c r="C71" s="312" t="s">
        <v>24</v>
      </c>
      <c r="D71" s="312" t="s">
        <v>18</v>
      </c>
      <c r="E71" s="312" t="s">
        <v>48</v>
      </c>
      <c r="F71" s="311" t="s">
        <v>29</v>
      </c>
      <c r="G71" s="312" t="s">
        <v>49</v>
      </c>
      <c r="I71" s="311" t="s">
        <v>23</v>
      </c>
      <c r="J71" s="312" t="s">
        <v>24</v>
      </c>
      <c r="K71" s="311" t="s">
        <v>18</v>
      </c>
      <c r="L71" s="311" t="s">
        <v>48</v>
      </c>
      <c r="M71" s="311" t="s">
        <v>29</v>
      </c>
      <c r="N71" s="312" t="s">
        <v>49</v>
      </c>
      <c r="P71" s="311" t="s">
        <v>23</v>
      </c>
      <c r="Q71" s="312" t="s">
        <v>24</v>
      </c>
      <c r="R71" s="311" t="s">
        <v>18</v>
      </c>
      <c r="S71" s="311" t="s">
        <v>48</v>
      </c>
      <c r="T71" s="311" t="s">
        <v>29</v>
      </c>
      <c r="U71" s="313" t="s">
        <v>49</v>
      </c>
      <c r="W71" s="311" t="s">
        <v>23</v>
      </c>
      <c r="X71" s="312" t="s">
        <v>24</v>
      </c>
      <c r="Y71" s="311" t="s">
        <v>18</v>
      </c>
      <c r="Z71" s="311" t="s">
        <v>48</v>
      </c>
      <c r="AA71" s="311" t="s">
        <v>29</v>
      </c>
      <c r="AB71" s="314" t="s">
        <v>49</v>
      </c>
    </row>
    <row r="72" spans="2:28" ht="6.75" customHeight="1" x14ac:dyDescent="0.25">
      <c r="B72" s="51"/>
      <c r="C72" s="54"/>
      <c r="D72" s="54"/>
      <c r="E72" s="54"/>
      <c r="F72" s="51"/>
      <c r="G72" s="54"/>
      <c r="I72" s="51"/>
      <c r="J72" s="54"/>
      <c r="K72" s="51"/>
      <c r="L72" s="51"/>
      <c r="M72" s="51"/>
      <c r="N72" s="54"/>
      <c r="P72" s="51"/>
      <c r="Q72" s="54"/>
      <c r="R72" s="51"/>
      <c r="S72" s="51"/>
      <c r="T72" s="51"/>
      <c r="U72" s="86"/>
      <c r="W72" s="51"/>
      <c r="X72" s="54"/>
      <c r="Y72" s="51"/>
      <c r="Z72" s="51"/>
      <c r="AA72" s="51"/>
      <c r="AB72" s="237"/>
    </row>
    <row r="73" spans="2:28" ht="27.75" customHeight="1" x14ac:dyDescent="0.25">
      <c r="B73" s="247" t="s">
        <v>45</v>
      </c>
      <c r="C73" s="257">
        <f>COUNTIFS('1. ALL DATA'!$Y$5:$Y$128,"ENVIRONMENT",'1. ALL DATA'!$H$5:$H$128,"Fully Achieved")</f>
        <v>1</v>
      </c>
      <c r="D73" s="367">
        <f>C73/C87</f>
        <v>6.6666666666666666E-2</v>
      </c>
      <c r="E73" s="462">
        <f>D73+D74</f>
        <v>0.46666666666666667</v>
      </c>
      <c r="F73" s="118">
        <f>C73/C88</f>
        <v>0.125</v>
      </c>
      <c r="G73" s="459">
        <f>F73+F74</f>
        <v>0.875</v>
      </c>
      <c r="I73" s="247" t="s">
        <v>45</v>
      </c>
      <c r="J73" s="257">
        <f>COUNTIFS('1. ALL DATA'!$Y$5:$Y$128,"ENVIRONMENT",'1. ALL DATA'!$M$5:$M$128,"Fully Achieved")</f>
        <v>1</v>
      </c>
      <c r="K73" s="118">
        <f>J73/J87</f>
        <v>6.6666666666666666E-2</v>
      </c>
      <c r="L73" s="477">
        <f>K73+K74</f>
        <v>0.73333333333333328</v>
      </c>
      <c r="M73" s="118">
        <f>J73/J88</f>
        <v>8.3333333333333329E-2</v>
      </c>
      <c r="N73" s="459">
        <f>M73+M74</f>
        <v>0.91666666666666674</v>
      </c>
      <c r="P73" s="247" t="s">
        <v>45</v>
      </c>
      <c r="Q73" s="257">
        <f>COUNTIFS('1. ALL DATA'!$Y$5:$Y$128,"ENVIRONMENT",'1. ALL DATA'!$R$5:$R$128,"Fully Achieved")</f>
        <v>3</v>
      </c>
      <c r="R73" s="118">
        <f>Q73/Q87</f>
        <v>0.2</v>
      </c>
      <c r="S73" s="477">
        <f>R73+R74</f>
        <v>0.8666666666666667</v>
      </c>
      <c r="T73" s="118">
        <f>Q73/Q88</f>
        <v>0.2</v>
      </c>
      <c r="U73" s="459">
        <f>T73+T74</f>
        <v>0.8666666666666667</v>
      </c>
      <c r="W73" s="247" t="s">
        <v>40</v>
      </c>
      <c r="X73" s="257">
        <f>COUNTIFS('1. ALL DATA'!$Y$5:$Y$128,"ENVIRONMENT",'1. ALL DATA'!$V$5:$V$128,"Fully Achieved")</f>
        <v>0</v>
      </c>
      <c r="Y73" s="118">
        <f>X73/$X$87</f>
        <v>0</v>
      </c>
      <c r="Z73" s="477">
        <f>Y73+Y74</f>
        <v>0</v>
      </c>
      <c r="AA73" s="118" t="e">
        <f>X73/$X$88</f>
        <v>#DIV/0!</v>
      </c>
      <c r="AB73" s="459" t="e">
        <f>AA73+AA74</f>
        <v>#DIV/0!</v>
      </c>
    </row>
    <row r="74" spans="2:28" ht="27.75" customHeight="1" x14ac:dyDescent="0.25">
      <c r="B74" s="247" t="s">
        <v>41</v>
      </c>
      <c r="C74" s="257">
        <f>COUNTIFS('1. ALL DATA'!$Y$5:$Y$128,"ENVIRONMENT",'1. ALL DATA'!$H$5:$H$128,"On track to be achieved")</f>
        <v>6</v>
      </c>
      <c r="D74" s="367">
        <f>C74/C87</f>
        <v>0.4</v>
      </c>
      <c r="E74" s="462"/>
      <c r="F74" s="118">
        <f>C74/C88</f>
        <v>0.75</v>
      </c>
      <c r="G74" s="459"/>
      <c r="I74" s="247" t="s">
        <v>41</v>
      </c>
      <c r="J74" s="257">
        <f>COUNTIFS('1. ALL DATA'!$Y$5:$Y$128,"ENVIRONMENT",'1. ALL DATA'!$M$5:$M$128,"On track to be achieved")</f>
        <v>10</v>
      </c>
      <c r="K74" s="118">
        <f>J74/J87</f>
        <v>0.66666666666666663</v>
      </c>
      <c r="L74" s="477"/>
      <c r="M74" s="118">
        <f>J74/J88</f>
        <v>0.83333333333333337</v>
      </c>
      <c r="N74" s="459"/>
      <c r="P74" s="247" t="s">
        <v>41</v>
      </c>
      <c r="Q74" s="257">
        <f>COUNTIFS('1. ALL DATA'!$Y$5:$Y$128,"ENVIRONMENT",'1. ALL DATA'!$R$5:$R$128,"On track to be achieved")</f>
        <v>10</v>
      </c>
      <c r="R74" s="118">
        <f>Q74/Q87</f>
        <v>0.66666666666666663</v>
      </c>
      <c r="S74" s="477"/>
      <c r="T74" s="118">
        <f>Q74/Q88</f>
        <v>0.66666666666666663</v>
      </c>
      <c r="U74" s="459"/>
      <c r="W74" s="247" t="s">
        <v>79</v>
      </c>
      <c r="X74" s="257">
        <f>COUNTIFS('1. ALL DATA'!$Y$5:$Y$128,"ENVIRONMENT",'1. ALL DATA'!$V$5:$V$128,"Numerical Outturn Within 5% Tolerance")</f>
        <v>0</v>
      </c>
      <c r="Y74" s="118">
        <f>X74/$X$87</f>
        <v>0</v>
      </c>
      <c r="Z74" s="477"/>
      <c r="AA74" s="118" t="e">
        <f>X74/$X$88</f>
        <v>#DIV/0!</v>
      </c>
      <c r="AB74" s="459"/>
    </row>
    <row r="75" spans="2:28" ht="7.5" customHeight="1" x14ac:dyDescent="0.25">
      <c r="B75" s="167"/>
      <c r="C75" s="260"/>
      <c r="D75" s="192"/>
      <c r="E75" s="192"/>
      <c r="F75" s="69"/>
      <c r="G75" s="169"/>
      <c r="I75" s="167"/>
      <c r="J75" s="260"/>
      <c r="K75" s="69"/>
      <c r="L75" s="69"/>
      <c r="M75" s="69"/>
      <c r="N75" s="169"/>
      <c r="P75" s="167"/>
      <c r="Q75" s="260"/>
      <c r="R75" s="69"/>
      <c r="S75" s="69"/>
      <c r="T75" s="69"/>
      <c r="U75" s="169"/>
      <c r="W75" s="170"/>
      <c r="X75" s="260"/>
      <c r="Y75" s="69"/>
      <c r="Z75" s="69"/>
      <c r="AA75" s="69"/>
      <c r="AB75" s="169"/>
    </row>
    <row r="76" spans="2:28" ht="21" customHeight="1" x14ac:dyDescent="0.25">
      <c r="B76" s="460" t="s">
        <v>26</v>
      </c>
      <c r="C76" s="461">
        <f>COUNTIFS('1. ALL DATA'!$Y$5:$Y$128,"ENVIRONMENT",'1. ALL DATA'!$H$5:$H$128,"In danger of falling behind target")</f>
        <v>0</v>
      </c>
      <c r="D76" s="462">
        <f>C76/C87</f>
        <v>0</v>
      </c>
      <c r="E76" s="462">
        <f>D76</f>
        <v>0</v>
      </c>
      <c r="F76" s="477">
        <f>C76/C88</f>
        <v>0</v>
      </c>
      <c r="G76" s="464">
        <f>F76</f>
        <v>0</v>
      </c>
      <c r="I76" s="460" t="s">
        <v>26</v>
      </c>
      <c r="J76" s="461">
        <f>COUNTIFS('1. ALL DATA'!$Y$5:$Y$128,"ENVIRONMENT",'1. ALL DATA'!$M$5:$M$128,"In danger of falling behind target")</f>
        <v>0</v>
      </c>
      <c r="K76" s="477">
        <f>J76/J87</f>
        <v>0</v>
      </c>
      <c r="L76" s="477">
        <f>K76</f>
        <v>0</v>
      </c>
      <c r="M76" s="477">
        <f>J76/J88</f>
        <v>0</v>
      </c>
      <c r="N76" s="464">
        <f>M76</f>
        <v>0</v>
      </c>
      <c r="P76" s="460" t="s">
        <v>26</v>
      </c>
      <c r="Q76" s="461">
        <f>COUNTIFS('1. ALL DATA'!$Y$5:$Y$128,"ENVIRONMENT",'1. ALL DATA'!$R$5:$R$128,"In danger of falling behind target")</f>
        <v>1</v>
      </c>
      <c r="R76" s="477">
        <f>Q76/Q87</f>
        <v>6.6666666666666666E-2</v>
      </c>
      <c r="S76" s="477">
        <f>R76</f>
        <v>6.6666666666666666E-2</v>
      </c>
      <c r="T76" s="477">
        <f>Q76/Q88</f>
        <v>6.6666666666666666E-2</v>
      </c>
      <c r="U76" s="464">
        <f>T76</f>
        <v>6.6666666666666666E-2</v>
      </c>
      <c r="W76" s="249" t="s">
        <v>80</v>
      </c>
      <c r="X76" s="368">
        <f>COUNTIFS('1. ALL DATA'!$Y$5:$Y$128,"ENVIRONMENT",'1. ALL DATA'!$V$5:$V$128,"Numerical Outturn Within 10% Tolerance")</f>
        <v>0</v>
      </c>
      <c r="Y76" s="118">
        <f>X76/$X$87</f>
        <v>0</v>
      </c>
      <c r="Z76" s="478">
        <f>SUM(Y76:Y79)</f>
        <v>0</v>
      </c>
      <c r="AA76" s="70" t="e">
        <f>X76/$X$88</f>
        <v>#DIV/0!</v>
      </c>
      <c r="AB76" s="464" t="e">
        <f>SUM(AA76:AA79)</f>
        <v>#DIV/0!</v>
      </c>
    </row>
    <row r="77" spans="2:28" ht="18.75" customHeight="1" x14ac:dyDescent="0.25">
      <c r="B77" s="460"/>
      <c r="C77" s="461"/>
      <c r="D77" s="462"/>
      <c r="E77" s="462"/>
      <c r="F77" s="477"/>
      <c r="G77" s="464"/>
      <c r="I77" s="460"/>
      <c r="J77" s="461"/>
      <c r="K77" s="477"/>
      <c r="L77" s="477"/>
      <c r="M77" s="477"/>
      <c r="N77" s="464"/>
      <c r="P77" s="460"/>
      <c r="Q77" s="461"/>
      <c r="R77" s="477"/>
      <c r="S77" s="477"/>
      <c r="T77" s="477"/>
      <c r="U77" s="464"/>
      <c r="W77" s="249" t="s">
        <v>81</v>
      </c>
      <c r="X77" s="368">
        <f>COUNTIFS('1. ALL DATA'!$Y$5:$Y$128,"ENVIRONMENT",'1. ALL DATA'!$V$5:$V$128,"Target Partially Met")</f>
        <v>0</v>
      </c>
      <c r="Y77" s="118">
        <f>X77/$X$87</f>
        <v>0</v>
      </c>
      <c r="Z77" s="479"/>
      <c r="AA77" s="70" t="e">
        <f>X77/$X$88</f>
        <v>#DIV/0!</v>
      </c>
      <c r="AB77" s="464"/>
    </row>
    <row r="78" spans="2:28" ht="20.25" customHeight="1" x14ac:dyDescent="0.25">
      <c r="B78" s="460"/>
      <c r="C78" s="461"/>
      <c r="D78" s="462"/>
      <c r="E78" s="462"/>
      <c r="F78" s="477"/>
      <c r="G78" s="464"/>
      <c r="I78" s="460"/>
      <c r="J78" s="461"/>
      <c r="K78" s="477"/>
      <c r="L78" s="477"/>
      <c r="M78" s="477"/>
      <c r="N78" s="464"/>
      <c r="P78" s="460"/>
      <c r="Q78" s="461"/>
      <c r="R78" s="477"/>
      <c r="S78" s="477"/>
      <c r="T78" s="477"/>
      <c r="U78" s="464"/>
      <c r="W78" s="249" t="s">
        <v>83</v>
      </c>
      <c r="X78" s="368">
        <f>COUNTIFS('1. ALL DATA'!$Y$5:$Y$128,"ENVIRONMENT",'1. ALL DATA'!$V$5:$V$128,"Completion Date Within Reasonable Tolerance")</f>
        <v>0</v>
      </c>
      <c r="Y78" s="118">
        <f>X78/$X$87</f>
        <v>0</v>
      </c>
      <c r="Z78" s="480"/>
      <c r="AA78" s="70" t="e">
        <f>X78/$X$88</f>
        <v>#DIV/0!</v>
      </c>
      <c r="AB78" s="464"/>
    </row>
    <row r="79" spans="2:28" ht="6" customHeight="1" x14ac:dyDescent="0.25">
      <c r="B79" s="167"/>
      <c r="C79" s="54"/>
      <c r="D79" s="192"/>
      <c r="E79" s="192"/>
      <c r="F79" s="69"/>
      <c r="G79" s="169"/>
      <c r="I79" s="167"/>
      <c r="J79" s="54"/>
      <c r="K79" s="69"/>
      <c r="L79" s="69"/>
      <c r="M79" s="69"/>
      <c r="N79" s="169"/>
      <c r="P79" s="167"/>
      <c r="Q79" s="54"/>
      <c r="R79" s="69"/>
      <c r="S79" s="69"/>
      <c r="T79" s="69"/>
      <c r="U79" s="169"/>
      <c r="W79" s="170"/>
      <c r="X79" s="54"/>
      <c r="Y79" s="69"/>
      <c r="Z79" s="69"/>
      <c r="AA79" s="69"/>
      <c r="AB79" s="169"/>
    </row>
    <row r="80" spans="2:28" ht="30" customHeight="1" x14ac:dyDescent="0.25">
      <c r="B80" s="248" t="s">
        <v>42</v>
      </c>
      <c r="C80" s="257">
        <f>COUNTIFS('1. ALL DATA'!$Y$5:$Y$128,"ENVIRONMENT",'1. ALL DATA'!$H$5:$H$128,"Completed behind schedule")</f>
        <v>0</v>
      </c>
      <c r="D80" s="367">
        <f>C80/C87</f>
        <v>0</v>
      </c>
      <c r="E80" s="462">
        <f>D80+D81</f>
        <v>6.6666666666666666E-2</v>
      </c>
      <c r="F80" s="118">
        <f>C80/C88</f>
        <v>0</v>
      </c>
      <c r="G80" s="481">
        <f>F80+F81</f>
        <v>0.125</v>
      </c>
      <c r="I80" s="248" t="s">
        <v>42</v>
      </c>
      <c r="J80" s="257">
        <f>COUNTIFS('1. ALL DATA'!$Y$5:$Y$128,"ENVIRONMENT",'1. ALL DATA'!$M$5:$M$128,"Completed behind schedule")</f>
        <v>0</v>
      </c>
      <c r="K80" s="118">
        <f>J80/J87</f>
        <v>0</v>
      </c>
      <c r="L80" s="477">
        <f>K80+K81</f>
        <v>6.6666666666666666E-2</v>
      </c>
      <c r="M80" s="118">
        <f>J80/J88</f>
        <v>0</v>
      </c>
      <c r="N80" s="481">
        <f>M80+M81</f>
        <v>8.3333333333333329E-2</v>
      </c>
      <c r="P80" s="248" t="s">
        <v>42</v>
      </c>
      <c r="Q80" s="257">
        <f>COUNTIFS('1. ALL DATA'!$Y$5:$Y$128,"ENVIRONMENT",'1. ALL DATA'!$R$5:$R$128,"Completed behind schedule")</f>
        <v>0</v>
      </c>
      <c r="R80" s="118">
        <f>Q80/Q87</f>
        <v>0</v>
      </c>
      <c r="S80" s="477">
        <f>R80+R81</f>
        <v>6.6666666666666666E-2</v>
      </c>
      <c r="T80" s="118">
        <f>Q80/Q88</f>
        <v>0</v>
      </c>
      <c r="U80" s="481">
        <f>T80+T81</f>
        <v>6.6666666666666666E-2</v>
      </c>
      <c r="W80" s="248" t="s">
        <v>82</v>
      </c>
      <c r="X80" s="257">
        <f>COUNTIFS('1. ALL DATA'!$Y$5:$Y$128,"ENVIRONMENT",'1. ALL DATA'!$V$5:$V$128,"Completed Significantly After Target Deadline")</f>
        <v>0</v>
      </c>
      <c r="Y80" s="118">
        <f>X80/$X$87</f>
        <v>0</v>
      </c>
      <c r="Z80" s="477">
        <f>Y80+Y81</f>
        <v>0</v>
      </c>
      <c r="AA80" s="118" t="e">
        <f>X80/$X$88</f>
        <v>#DIV/0!</v>
      </c>
      <c r="AB80" s="481" t="e">
        <f>AA80+AA81</f>
        <v>#DIV/0!</v>
      </c>
    </row>
    <row r="81" spans="2:28" ht="30" customHeight="1" x14ac:dyDescent="0.25">
      <c r="B81" s="248" t="s">
        <v>27</v>
      </c>
      <c r="C81" s="257">
        <f>COUNTIFS('1. ALL DATA'!$Y$5:$Y$128,"ENVIRONMENT",'1. ALL DATA'!$H$5:$H$128,"Off target")</f>
        <v>1</v>
      </c>
      <c r="D81" s="367">
        <f>C81/C87</f>
        <v>6.6666666666666666E-2</v>
      </c>
      <c r="E81" s="462"/>
      <c r="F81" s="118">
        <f>C81/C88</f>
        <v>0.125</v>
      </c>
      <c r="G81" s="481"/>
      <c r="I81" s="248" t="s">
        <v>27</v>
      </c>
      <c r="J81" s="257">
        <f>COUNTIFS('1. ALL DATA'!$Y$5:$Y$128,"ENVIRONMENT",'1. ALL DATA'!$M$5:$M$128,"Off target")</f>
        <v>1</v>
      </c>
      <c r="K81" s="118">
        <f>J81/J87</f>
        <v>6.6666666666666666E-2</v>
      </c>
      <c r="L81" s="477"/>
      <c r="M81" s="118">
        <f>J81/J88</f>
        <v>8.3333333333333329E-2</v>
      </c>
      <c r="N81" s="481"/>
      <c r="P81" s="248" t="s">
        <v>27</v>
      </c>
      <c r="Q81" s="257">
        <f>COUNTIFS('1. ALL DATA'!$Y$5:$Y$128,"ENVIRONMENT",'1. ALL DATA'!$R$5:$R$128,"Off target")</f>
        <v>1</v>
      </c>
      <c r="R81" s="118">
        <f>Q81/Q87</f>
        <v>6.6666666666666666E-2</v>
      </c>
      <c r="S81" s="477"/>
      <c r="T81" s="118">
        <f>Q81/Q88</f>
        <v>6.6666666666666666E-2</v>
      </c>
      <c r="U81" s="481"/>
      <c r="W81" s="248" t="s">
        <v>27</v>
      </c>
      <c r="X81" s="257">
        <f>COUNTIFS('1. ALL DATA'!$Y$5:$Y$128,"ENVIRONMENT",'1. ALL DATA'!$V$5:$V$128,"Off target")</f>
        <v>0</v>
      </c>
      <c r="Y81" s="118">
        <f>X81/$X$87</f>
        <v>0</v>
      </c>
      <c r="Z81" s="477"/>
      <c r="AA81" s="118" t="e">
        <f>X81/$X$88</f>
        <v>#DIV/0!</v>
      </c>
      <c r="AB81" s="481"/>
    </row>
    <row r="82" spans="2:28" ht="5.25" customHeight="1" x14ac:dyDescent="0.25">
      <c r="B82" s="51"/>
      <c r="C82" s="260"/>
      <c r="D82" s="192"/>
      <c r="E82" s="192"/>
      <c r="F82" s="69"/>
      <c r="G82" s="90"/>
      <c r="I82" s="51"/>
      <c r="J82" s="260"/>
      <c r="K82" s="69"/>
      <c r="L82" s="69"/>
      <c r="M82" s="69"/>
      <c r="N82" s="90"/>
      <c r="P82" s="51"/>
      <c r="Q82" s="260"/>
      <c r="R82" s="69"/>
      <c r="S82" s="69"/>
      <c r="T82" s="69"/>
      <c r="U82" s="90"/>
      <c r="W82" s="250"/>
      <c r="X82" s="260"/>
      <c r="Y82" s="71"/>
      <c r="Z82" s="71"/>
      <c r="AA82" s="72"/>
      <c r="AB82" s="238"/>
    </row>
    <row r="83" spans="2:28" ht="15.75" customHeight="1" x14ac:dyDescent="0.25">
      <c r="B83" s="46" t="s">
        <v>1</v>
      </c>
      <c r="C83" s="269">
        <f>COUNTIFS('1. ALL DATA'!$Y$5:$Y$128,"ENVIRONMENT",'1. ALL DATA'!$H$5:$H$128,"Not yet due")</f>
        <v>7</v>
      </c>
      <c r="D83" s="252">
        <f>C83/C87</f>
        <v>0.46666666666666667</v>
      </c>
      <c r="E83" s="252">
        <f>D83</f>
        <v>0.46666666666666667</v>
      </c>
      <c r="F83" s="74"/>
      <c r="G83" s="45"/>
      <c r="I83" s="46" t="s">
        <v>1</v>
      </c>
      <c r="J83" s="269">
        <f>COUNTIFS('1. ALL DATA'!$Y$5:$Y$128,"ENVIRONMENT",'1. ALL DATA'!$M$5:$M$128,"Not yet due")</f>
        <v>3</v>
      </c>
      <c r="K83" s="73">
        <f>J83/J87</f>
        <v>0.2</v>
      </c>
      <c r="L83" s="73">
        <f>K83</f>
        <v>0.2</v>
      </c>
      <c r="M83" s="74"/>
      <c r="N83" s="45"/>
      <c r="P83" s="46" t="s">
        <v>1</v>
      </c>
      <c r="Q83" s="269">
        <f>COUNTIFS('1. ALL DATA'!$Y$5:$Y$128,"ENVIRONMENT",'1. ALL DATA'!$R$5:$R$128,"Not yet due")</f>
        <v>0</v>
      </c>
      <c r="R83" s="73">
        <f>Q83/Q87</f>
        <v>0</v>
      </c>
      <c r="S83" s="73">
        <f>R83</f>
        <v>0</v>
      </c>
      <c r="T83" s="74"/>
      <c r="U83" s="91"/>
      <c r="W83" s="60" t="s">
        <v>1</v>
      </c>
      <c r="X83" s="269">
        <f>COUNTIFS('1. ALL DATA'!$Y$5:$Y$128,"ENVIRONMENT",'1. ALL DATA'!$V$5:$V$128,"Not yet due")</f>
        <v>0</v>
      </c>
      <c r="Y83" s="73">
        <f>X83/$X$87</f>
        <v>0</v>
      </c>
      <c r="Z83" s="73">
        <f>Y83</f>
        <v>0</v>
      </c>
      <c r="AA83" s="74"/>
      <c r="AB83" s="235"/>
    </row>
    <row r="84" spans="2:28" ht="15.75" customHeight="1" x14ac:dyDescent="0.25">
      <c r="B84" s="46" t="s">
        <v>46</v>
      </c>
      <c r="C84" s="269">
        <f>COUNTIFS('1. ALL DATA'!$Y$5:$Y$128,"ENVIRONMENT",'1. ALL DATA'!$H$5:$H$128,"Update not provided")</f>
        <v>0</v>
      </c>
      <c r="D84" s="252">
        <f>C84/C87</f>
        <v>0</v>
      </c>
      <c r="E84" s="252">
        <f>D84</f>
        <v>0</v>
      </c>
      <c r="F84" s="74"/>
      <c r="G84" s="96"/>
      <c r="I84" s="46" t="s">
        <v>46</v>
      </c>
      <c r="J84" s="269">
        <f>COUNTIFS('1. ALL DATA'!$Y$5:$Y$128,"ENVIRONMENT",'1. ALL DATA'!$M$5:$M$128,"Update not provided")</f>
        <v>0</v>
      </c>
      <c r="K84" s="73">
        <f>J84/J87</f>
        <v>0</v>
      </c>
      <c r="L84" s="73">
        <f>K84</f>
        <v>0</v>
      </c>
      <c r="M84" s="74"/>
      <c r="N84" s="96"/>
      <c r="P84" s="46" t="s">
        <v>46</v>
      </c>
      <c r="Q84" s="269">
        <f>COUNTIFS('1. ALL DATA'!$Y$5:$Y$128,"ENVIRONMENT",'1. ALL DATA'!$R$5:$R$128,"Update not provided")</f>
        <v>0</v>
      </c>
      <c r="R84" s="73">
        <f>Q84/Q87</f>
        <v>0</v>
      </c>
      <c r="S84" s="73">
        <f>R84</f>
        <v>0</v>
      </c>
      <c r="T84" s="74"/>
      <c r="U84" s="92"/>
      <c r="W84" s="62" t="s">
        <v>46</v>
      </c>
      <c r="X84" s="269">
        <f>COUNTIFS('1. ALL DATA'!$Y$5:$Y$128,"ENVIRONMENT",'1. ALL DATA'!$V$5:$V$128,"Update not provided")</f>
        <v>15</v>
      </c>
      <c r="Y84" s="73">
        <f>X84/$X$87</f>
        <v>1</v>
      </c>
      <c r="Z84" s="73">
        <f>Y84</f>
        <v>1</v>
      </c>
      <c r="AA84" s="74"/>
    </row>
    <row r="85" spans="2:28" ht="15.75" customHeight="1" x14ac:dyDescent="0.25">
      <c r="B85" s="47" t="s">
        <v>22</v>
      </c>
      <c r="C85" s="269">
        <f>COUNTIFS('1. ALL DATA'!$Y$5:$Y$128,"ENVIRONMENT",'1. ALL DATA'!$H$5:$H$128,"Deferred")</f>
        <v>0</v>
      </c>
      <c r="D85" s="253">
        <f>C85/C87</f>
        <v>0</v>
      </c>
      <c r="E85" s="253">
        <f>D85</f>
        <v>0</v>
      </c>
      <c r="F85" s="75"/>
      <c r="G85" s="45"/>
      <c r="I85" s="47" t="s">
        <v>22</v>
      </c>
      <c r="J85" s="269">
        <f>COUNTIFS('1. ALL DATA'!$Y$5:$Y$128,"ENVIRONMENT",'1. ALL DATA'!$M$5:$M$128,"Deferred")</f>
        <v>0</v>
      </c>
      <c r="K85" s="76">
        <f>J85/J87</f>
        <v>0</v>
      </c>
      <c r="L85" s="76">
        <f>K85</f>
        <v>0</v>
      </c>
      <c r="M85" s="75"/>
      <c r="N85" s="45"/>
      <c r="P85" s="47" t="s">
        <v>22</v>
      </c>
      <c r="Q85" s="269">
        <f>COUNTIFS('1. ALL DATA'!$Y$5:$Y$128,"ENVIRONMENT",'1. ALL DATA'!$R$5:$R$128,"Deferred")</f>
        <v>0</v>
      </c>
      <c r="R85" s="76">
        <f>Q85/Q87</f>
        <v>0</v>
      </c>
      <c r="S85" s="76">
        <f>R85</f>
        <v>0</v>
      </c>
      <c r="T85" s="75"/>
      <c r="U85" s="91"/>
      <c r="W85" s="47" t="s">
        <v>22</v>
      </c>
      <c r="X85" s="269">
        <f>COUNTIFS('1. ALL DATA'!$Y$5:$Y$128,"ENVIRONMENT",'1. ALL DATA'!$V$5:$V$128,"Deferred")</f>
        <v>0</v>
      </c>
      <c r="Y85" s="76">
        <f>X85/$X$87</f>
        <v>0</v>
      </c>
      <c r="Z85" s="76">
        <f>Y85</f>
        <v>0</v>
      </c>
      <c r="AA85" s="75"/>
      <c r="AB85" s="235"/>
    </row>
    <row r="86" spans="2:28" ht="15.75" customHeight="1" x14ac:dyDescent="0.25">
      <c r="B86" s="47" t="s">
        <v>28</v>
      </c>
      <c r="C86" s="269">
        <f>COUNTIFS('1. ALL DATA'!$Y$5:$Y$128,"ENVIRONMENT",'1. ALL DATA'!$H$5:$H$128,"Deleted")</f>
        <v>0</v>
      </c>
      <c r="D86" s="253">
        <f>C86/C87</f>
        <v>0</v>
      </c>
      <c r="E86" s="253">
        <f>D86</f>
        <v>0</v>
      </c>
      <c r="F86" s="75"/>
      <c r="G86" s="89" t="s">
        <v>62</v>
      </c>
      <c r="I86" s="47" t="s">
        <v>28</v>
      </c>
      <c r="J86" s="269">
        <f>COUNTIFS('1. ALL DATA'!$Y$5:$Y$128,"ENVIRONMENT",'1. ALL DATA'!$M$5:$M$128,"Deleted")</f>
        <v>0</v>
      </c>
      <c r="K86" s="76">
        <f>J86/J87</f>
        <v>0</v>
      </c>
      <c r="L86" s="76">
        <f>K86</f>
        <v>0</v>
      </c>
      <c r="M86" s="75"/>
      <c r="N86" s="89" t="s">
        <v>62</v>
      </c>
      <c r="P86" s="47" t="s">
        <v>28</v>
      </c>
      <c r="Q86" s="269">
        <f>COUNTIFS('1. ALL DATA'!$Y$5:$Y$128,"ENVIRONMENT",'1. ALL DATA'!$R$5:$R$128,"Deleted")</f>
        <v>0</v>
      </c>
      <c r="R86" s="76">
        <f>Q86/Q87</f>
        <v>0</v>
      </c>
      <c r="S86" s="76">
        <f>R86</f>
        <v>0</v>
      </c>
      <c r="T86" s="75"/>
      <c r="U86" s="89" t="s">
        <v>62</v>
      </c>
      <c r="W86" s="47" t="s">
        <v>28</v>
      </c>
      <c r="X86" s="269">
        <f>COUNTIFS('1. ALL DATA'!$Y$5:$Y$128,"ENVIRONMENT",'1. ALL DATA'!$V$5:$V$128,"Deleted")</f>
        <v>0</v>
      </c>
      <c r="Y86" s="76">
        <f>X86/$X$87</f>
        <v>0</v>
      </c>
      <c r="Z86" s="76">
        <f>Y86</f>
        <v>0</v>
      </c>
      <c r="AA86" s="75"/>
      <c r="AB86" s="89" t="s">
        <v>62</v>
      </c>
    </row>
    <row r="87" spans="2:28" ht="15.75" customHeight="1" x14ac:dyDescent="0.25">
      <c r="B87" s="48" t="s">
        <v>30</v>
      </c>
      <c r="C87" s="271">
        <f>SUM(C73:C86)</f>
        <v>15</v>
      </c>
      <c r="D87" s="44"/>
      <c r="E87" s="44"/>
      <c r="F87" s="50"/>
      <c r="G87" s="45"/>
      <c r="I87" s="48" t="s">
        <v>30</v>
      </c>
      <c r="J87" s="271">
        <f>SUM(J73:J86)</f>
        <v>15</v>
      </c>
      <c r="K87" s="75"/>
      <c r="L87" s="75"/>
      <c r="M87" s="50"/>
      <c r="N87" s="45"/>
      <c r="P87" s="48" t="s">
        <v>30</v>
      </c>
      <c r="Q87" s="271">
        <f>SUM(Q73:Q86)</f>
        <v>15</v>
      </c>
      <c r="R87" s="75"/>
      <c r="S87" s="75"/>
      <c r="T87" s="50"/>
      <c r="U87" s="91"/>
      <c r="W87" s="48" t="s">
        <v>30</v>
      </c>
      <c r="X87" s="271">
        <f>SUM(X73:X86)</f>
        <v>15</v>
      </c>
      <c r="Y87" s="75"/>
      <c r="Z87" s="75"/>
      <c r="AA87" s="50"/>
      <c r="AB87" s="235"/>
    </row>
    <row r="88" spans="2:28" ht="15.75" customHeight="1" x14ac:dyDescent="0.25">
      <c r="B88" s="48" t="s">
        <v>31</v>
      </c>
      <c r="C88" s="271">
        <f>C87-C86-C85-C84-C83</f>
        <v>8</v>
      </c>
      <c r="D88" s="45"/>
      <c r="E88" s="45"/>
      <c r="F88" s="50"/>
      <c r="G88" s="45"/>
      <c r="I88" s="48" t="s">
        <v>31</v>
      </c>
      <c r="J88" s="271">
        <f>J87-J86-J85-J84-J83</f>
        <v>12</v>
      </c>
      <c r="K88" s="50"/>
      <c r="L88" s="50"/>
      <c r="M88" s="50"/>
      <c r="N88" s="45"/>
      <c r="P88" s="48" t="s">
        <v>31</v>
      </c>
      <c r="Q88" s="271">
        <f>Q87-Q86-Q85-Q84-Q83</f>
        <v>15</v>
      </c>
      <c r="R88" s="50"/>
      <c r="S88" s="50"/>
      <c r="T88" s="50"/>
      <c r="U88" s="91"/>
      <c r="W88" s="48" t="s">
        <v>31</v>
      </c>
      <c r="X88" s="271">
        <f>X87-X86-X85-X84-X83</f>
        <v>0</v>
      </c>
      <c r="Y88" s="50"/>
      <c r="Z88" s="50"/>
      <c r="AA88" s="50"/>
      <c r="AB88" s="235"/>
    </row>
    <row r="89" spans="2:28" ht="15.75" customHeight="1" x14ac:dyDescent="0.25">
      <c r="W89" s="63"/>
      <c r="Y89" s="61"/>
      <c r="Z89" s="61"/>
      <c r="AA89" s="50"/>
      <c r="AB89" s="235"/>
    </row>
    <row r="90" spans="2:28" ht="15.75" customHeight="1" x14ac:dyDescent="0.25"/>
    <row r="91" spans="2:28" s="61" customFormat="1" ht="15.75" customHeight="1" x14ac:dyDescent="0.25">
      <c r="B91" s="63"/>
      <c r="C91" s="1"/>
      <c r="D91" s="1"/>
      <c r="E91" s="1"/>
      <c r="F91" s="50"/>
      <c r="G91" s="1"/>
      <c r="I91" s="63"/>
      <c r="J91" s="1"/>
      <c r="M91" s="50"/>
      <c r="N91" s="1"/>
      <c r="P91" s="63"/>
      <c r="Q91" s="1"/>
      <c r="T91" s="50"/>
      <c r="U91" s="88"/>
      <c r="X91" s="1"/>
      <c r="AB91" s="235"/>
    </row>
    <row r="92" spans="2:28" s="61" customFormat="1" ht="15.75" x14ac:dyDescent="0.25">
      <c r="B92" s="317" t="s">
        <v>242</v>
      </c>
      <c r="C92" s="370"/>
      <c r="D92" s="370"/>
      <c r="E92" s="370"/>
      <c r="F92" s="309"/>
      <c r="G92" s="310"/>
      <c r="I92" s="317" t="s">
        <v>242</v>
      </c>
      <c r="J92" s="370"/>
      <c r="K92" s="309"/>
      <c r="L92" s="309"/>
      <c r="M92" s="309"/>
      <c r="N92" s="310"/>
      <c r="P92" s="317" t="s">
        <v>242</v>
      </c>
      <c r="Q92" s="370"/>
      <c r="R92" s="309"/>
      <c r="S92" s="309"/>
      <c r="T92" s="309"/>
      <c r="U92" s="310"/>
      <c r="W92" s="317" t="s">
        <v>242</v>
      </c>
      <c r="X92" s="370"/>
      <c r="Y92" s="309"/>
      <c r="Z92" s="309"/>
      <c r="AA92" s="309"/>
      <c r="AB92" s="310"/>
    </row>
    <row r="93" spans="2:28" ht="36" customHeight="1" x14ac:dyDescent="0.25">
      <c r="B93" s="311" t="s">
        <v>23</v>
      </c>
      <c r="C93" s="312" t="s">
        <v>24</v>
      </c>
      <c r="D93" s="312" t="s">
        <v>18</v>
      </c>
      <c r="E93" s="312" t="s">
        <v>48</v>
      </c>
      <c r="F93" s="311" t="s">
        <v>29</v>
      </c>
      <c r="G93" s="312" t="s">
        <v>49</v>
      </c>
      <c r="I93" s="311" t="s">
        <v>23</v>
      </c>
      <c r="J93" s="312" t="s">
        <v>24</v>
      </c>
      <c r="K93" s="311" t="s">
        <v>18</v>
      </c>
      <c r="L93" s="311" t="s">
        <v>48</v>
      </c>
      <c r="M93" s="311" t="s">
        <v>29</v>
      </c>
      <c r="N93" s="312" t="s">
        <v>49</v>
      </c>
      <c r="P93" s="311" t="s">
        <v>23</v>
      </c>
      <c r="Q93" s="312" t="s">
        <v>24</v>
      </c>
      <c r="R93" s="311" t="s">
        <v>18</v>
      </c>
      <c r="S93" s="311" t="s">
        <v>48</v>
      </c>
      <c r="T93" s="311" t="s">
        <v>29</v>
      </c>
      <c r="U93" s="313" t="s">
        <v>49</v>
      </c>
      <c r="W93" s="311" t="s">
        <v>23</v>
      </c>
      <c r="X93" s="312" t="s">
        <v>24</v>
      </c>
      <c r="Y93" s="311" t="s">
        <v>18</v>
      </c>
      <c r="Z93" s="311" t="s">
        <v>48</v>
      </c>
      <c r="AA93" s="311" t="s">
        <v>29</v>
      </c>
      <c r="AB93" s="314" t="s">
        <v>49</v>
      </c>
    </row>
    <row r="94" spans="2:28" s="61" customFormat="1" ht="7.5" customHeight="1" x14ac:dyDescent="0.25">
      <c r="B94" s="167"/>
      <c r="C94" s="177"/>
      <c r="D94" s="177"/>
      <c r="E94" s="177"/>
      <c r="F94" s="167"/>
      <c r="G94" s="177"/>
      <c r="I94" s="167"/>
      <c r="J94" s="177"/>
      <c r="K94" s="167"/>
      <c r="L94" s="167"/>
      <c r="M94" s="167"/>
      <c r="N94" s="177"/>
      <c r="P94" s="167"/>
      <c r="Q94" s="177"/>
      <c r="R94" s="167"/>
      <c r="S94" s="167"/>
      <c r="T94" s="167"/>
      <c r="U94" s="178"/>
      <c r="W94" s="167"/>
      <c r="X94" s="177"/>
      <c r="Y94" s="167"/>
      <c r="Z94" s="167"/>
      <c r="AA94" s="167"/>
      <c r="AB94" s="232"/>
    </row>
    <row r="95" spans="2:28" ht="18.75" customHeight="1" x14ac:dyDescent="0.25">
      <c r="B95" s="247" t="s">
        <v>45</v>
      </c>
      <c r="C95" s="257">
        <f>COUNTIFS('1. ALL DATA'!$Y$5:$Y$128,"PLANNING",'1. ALL DATA'!$H$5:$H$128,"Fully Achieved")</f>
        <v>5</v>
      </c>
      <c r="D95" s="367">
        <f>C95/C109</f>
        <v>0.25</v>
      </c>
      <c r="E95" s="462">
        <f>D95+D96</f>
        <v>0.8</v>
      </c>
      <c r="F95" s="118">
        <f>C95/C110</f>
        <v>0.3125</v>
      </c>
      <c r="G95" s="459">
        <f>F95+F96</f>
        <v>1</v>
      </c>
      <c r="I95" s="247" t="s">
        <v>45</v>
      </c>
      <c r="J95" s="257">
        <f>COUNTIFS('1. ALL DATA'!$Y$5:$Y$128,"PLANNING",'1. ALL DATA'!$M$5:$M$128,"Fully Achieved")</f>
        <v>7</v>
      </c>
      <c r="K95" s="118">
        <f>J95/J109</f>
        <v>0.35</v>
      </c>
      <c r="L95" s="477">
        <f>K95+K96</f>
        <v>1</v>
      </c>
      <c r="M95" s="118">
        <f>J95/J110</f>
        <v>0.35</v>
      </c>
      <c r="N95" s="459">
        <f>M95+M96</f>
        <v>1</v>
      </c>
      <c r="P95" s="247" t="s">
        <v>45</v>
      </c>
      <c r="Q95" s="257">
        <f>COUNTIFS('1. ALL DATA'!$Y$5:$Y$128,"PLANNING",'1. ALL DATA'!$R$5:$R$128,"Fully Achieved")</f>
        <v>12</v>
      </c>
      <c r="R95" s="118">
        <f>Q95/Q109</f>
        <v>0.6</v>
      </c>
      <c r="S95" s="477">
        <f>R95+R96</f>
        <v>1</v>
      </c>
      <c r="T95" s="118">
        <f>Q95/Q110</f>
        <v>0.6</v>
      </c>
      <c r="U95" s="459">
        <f>T95+T96</f>
        <v>1</v>
      </c>
      <c r="W95" s="247" t="s">
        <v>40</v>
      </c>
      <c r="X95" s="257">
        <f>COUNTIFS('1. ALL DATA'!$Y$5:$Y$128,"PLANNING",'1. ALL DATA'!$V$5:$V$128,"Fully Achieved")</f>
        <v>0</v>
      </c>
      <c r="Y95" s="118">
        <f>X95/$X$109</f>
        <v>0</v>
      </c>
      <c r="Z95" s="477">
        <f>Y95+Y96</f>
        <v>0</v>
      </c>
      <c r="AA95" s="118" t="e">
        <f>X95/$X$110</f>
        <v>#DIV/0!</v>
      </c>
      <c r="AB95" s="459" t="e">
        <f>AA95+AA96</f>
        <v>#DIV/0!</v>
      </c>
    </row>
    <row r="96" spans="2:28" ht="18.75" customHeight="1" x14ac:dyDescent="0.25">
      <c r="B96" s="247" t="s">
        <v>41</v>
      </c>
      <c r="C96" s="257">
        <f>COUNTIFS('1. ALL DATA'!$Y$5:$Y$128,"PLANNING",'1. ALL DATA'!$H$5:$H$128,"On track to be achieved")</f>
        <v>11</v>
      </c>
      <c r="D96" s="367">
        <f>C96/C109</f>
        <v>0.55000000000000004</v>
      </c>
      <c r="E96" s="462"/>
      <c r="F96" s="118">
        <f>C96/C110</f>
        <v>0.6875</v>
      </c>
      <c r="G96" s="459"/>
      <c r="I96" s="247" t="s">
        <v>41</v>
      </c>
      <c r="J96" s="257">
        <f>COUNTIFS('1. ALL DATA'!$Y$5:$Y$128,"PLANNING",'1. ALL DATA'!$M$5:$M$128,"On track to be achieved")</f>
        <v>13</v>
      </c>
      <c r="K96" s="118">
        <f>J96/J109</f>
        <v>0.65</v>
      </c>
      <c r="L96" s="477"/>
      <c r="M96" s="118">
        <f>J96/J110</f>
        <v>0.65</v>
      </c>
      <c r="N96" s="459"/>
      <c r="P96" s="247" t="s">
        <v>41</v>
      </c>
      <c r="Q96" s="257">
        <f>COUNTIFS('1. ALL DATA'!$Y$5:$Y$128,"PLANNING",'1. ALL DATA'!$R$5:$R$128,"On track to be achieved")</f>
        <v>8</v>
      </c>
      <c r="R96" s="118">
        <f>Q96/Q109</f>
        <v>0.4</v>
      </c>
      <c r="S96" s="477"/>
      <c r="T96" s="118">
        <f>Q96/Q110</f>
        <v>0.4</v>
      </c>
      <c r="U96" s="459"/>
      <c r="W96" s="247" t="s">
        <v>79</v>
      </c>
      <c r="X96" s="257">
        <f>COUNTIFS('1. ALL DATA'!$Y$5:$Y$128,"PLANNING",'1. ALL DATA'!$V$5:$V$128,"Numerical Outturn Within 5% Tolerance")</f>
        <v>0</v>
      </c>
      <c r="Y96" s="137">
        <f t="shared" ref="Y96:Y108" si="2">X96/$X$109</f>
        <v>0</v>
      </c>
      <c r="Z96" s="477"/>
      <c r="AA96" s="137" t="e">
        <f t="shared" ref="AA96:AA103" si="3">X96/$X$110</f>
        <v>#DIV/0!</v>
      </c>
      <c r="AB96" s="459"/>
    </row>
    <row r="97" spans="2:28" s="61" customFormat="1" ht="6.75" customHeight="1" x14ac:dyDescent="0.25">
      <c r="B97" s="167"/>
      <c r="C97" s="265"/>
      <c r="D97" s="251"/>
      <c r="E97" s="251"/>
      <c r="F97" s="168"/>
      <c r="G97" s="169"/>
      <c r="I97" s="167"/>
      <c r="J97" s="265"/>
      <c r="K97" s="168"/>
      <c r="L97" s="168"/>
      <c r="M97" s="168"/>
      <c r="N97" s="169"/>
      <c r="P97" s="167"/>
      <c r="Q97" s="265"/>
      <c r="R97" s="168"/>
      <c r="S97" s="168"/>
      <c r="T97" s="168"/>
      <c r="U97" s="169"/>
      <c r="W97" s="170"/>
      <c r="X97" s="265"/>
      <c r="Y97" s="316"/>
      <c r="Z97" s="168"/>
      <c r="AA97" s="316"/>
      <c r="AB97" s="169"/>
    </row>
    <row r="98" spans="2:28" ht="16.5" customHeight="1" x14ac:dyDescent="0.25">
      <c r="B98" s="460" t="s">
        <v>26</v>
      </c>
      <c r="C98" s="461">
        <f>COUNTIFS('1. ALL DATA'!$Y$5:$Y$128,"PLANNING",'1. ALL DATA'!$H$5:$H$128,"In danger of falling behind target")</f>
        <v>0</v>
      </c>
      <c r="D98" s="462">
        <f>C98/C109</f>
        <v>0</v>
      </c>
      <c r="E98" s="462">
        <f>D98</f>
        <v>0</v>
      </c>
      <c r="F98" s="477">
        <f>C98/C110</f>
        <v>0</v>
      </c>
      <c r="G98" s="464">
        <f>F98</f>
        <v>0</v>
      </c>
      <c r="I98" s="460" t="s">
        <v>26</v>
      </c>
      <c r="J98" s="461">
        <f>COUNTIFS('1. ALL DATA'!$Y$5:$Y$128,"PLANNING",'1. ALL DATA'!$M$5:$M$128,"In danger of falling behind target")</f>
        <v>0</v>
      </c>
      <c r="K98" s="477">
        <f>J98/J109</f>
        <v>0</v>
      </c>
      <c r="L98" s="477">
        <f>K98</f>
        <v>0</v>
      </c>
      <c r="M98" s="477">
        <f>J98/J110</f>
        <v>0</v>
      </c>
      <c r="N98" s="464">
        <f>M98</f>
        <v>0</v>
      </c>
      <c r="P98" s="460" t="s">
        <v>26</v>
      </c>
      <c r="Q98" s="461">
        <f>COUNTIFS('1. ALL DATA'!$Y$5:$Y$128,"PLANNING",'1. ALL DATA'!$R$5:$R$128,"In danger of falling behind target")</f>
        <v>0</v>
      </c>
      <c r="R98" s="477">
        <f>Q98/Q109</f>
        <v>0</v>
      </c>
      <c r="S98" s="477">
        <f>R98</f>
        <v>0</v>
      </c>
      <c r="T98" s="477">
        <f>Q98/Q110</f>
        <v>0</v>
      </c>
      <c r="U98" s="464">
        <f>T98</f>
        <v>0</v>
      </c>
      <c r="W98" s="249" t="s">
        <v>80</v>
      </c>
      <c r="X98" s="368">
        <f>COUNTIFS('1. ALL DATA'!$Y$5:$Y$128,"PLANNING",'1. ALL DATA'!$V$5:$V$128,"Numerical Outturn Within 10% Tolerance")</f>
        <v>0</v>
      </c>
      <c r="Y98" s="137">
        <f t="shared" si="2"/>
        <v>0</v>
      </c>
      <c r="Z98" s="478">
        <f>SUM(Y98:Y100)</f>
        <v>0</v>
      </c>
      <c r="AA98" s="137" t="e">
        <f t="shared" si="3"/>
        <v>#DIV/0!</v>
      </c>
      <c r="AB98" s="464" t="e">
        <f>SUM(AA98:AA100)</f>
        <v>#DIV/0!</v>
      </c>
    </row>
    <row r="99" spans="2:28" ht="16.5" customHeight="1" x14ac:dyDescent="0.25">
      <c r="B99" s="460"/>
      <c r="C99" s="461"/>
      <c r="D99" s="462"/>
      <c r="E99" s="462"/>
      <c r="F99" s="477"/>
      <c r="G99" s="464"/>
      <c r="I99" s="460"/>
      <c r="J99" s="461"/>
      <c r="K99" s="477"/>
      <c r="L99" s="477"/>
      <c r="M99" s="477"/>
      <c r="N99" s="464"/>
      <c r="P99" s="460"/>
      <c r="Q99" s="461"/>
      <c r="R99" s="477"/>
      <c r="S99" s="477"/>
      <c r="T99" s="477"/>
      <c r="U99" s="464"/>
      <c r="W99" s="249" t="s">
        <v>81</v>
      </c>
      <c r="X99" s="368">
        <f>COUNTIFS('1. ALL DATA'!$Y$5:$Y$128,"PLANNING",'1. ALL DATA'!$V$5:$V$128,"Target Partially Met")</f>
        <v>0</v>
      </c>
      <c r="Y99" s="137">
        <f t="shared" si="2"/>
        <v>0</v>
      </c>
      <c r="Z99" s="479"/>
      <c r="AA99" s="137" t="e">
        <f t="shared" si="3"/>
        <v>#DIV/0!</v>
      </c>
      <c r="AB99" s="464"/>
    </row>
    <row r="100" spans="2:28" ht="16.5" customHeight="1" x14ac:dyDescent="0.25">
      <c r="B100" s="460"/>
      <c r="C100" s="461"/>
      <c r="D100" s="462"/>
      <c r="E100" s="462"/>
      <c r="F100" s="477"/>
      <c r="G100" s="464"/>
      <c r="I100" s="460"/>
      <c r="J100" s="461"/>
      <c r="K100" s="477"/>
      <c r="L100" s="477"/>
      <c r="M100" s="477"/>
      <c r="N100" s="464"/>
      <c r="P100" s="460"/>
      <c r="Q100" s="461"/>
      <c r="R100" s="477"/>
      <c r="S100" s="477"/>
      <c r="T100" s="477"/>
      <c r="U100" s="464"/>
      <c r="W100" s="249" t="s">
        <v>83</v>
      </c>
      <c r="X100" s="368">
        <f>COUNTIFS('1. ALL DATA'!$Y$5:$Y$128,"PLANNING",'1. ALL DATA'!$V$5:$V$128,"Completion Date Within Reasonable Tolerance")</f>
        <v>0</v>
      </c>
      <c r="Y100" s="137">
        <f t="shared" si="2"/>
        <v>0</v>
      </c>
      <c r="Z100" s="480"/>
      <c r="AA100" s="137" t="e">
        <f t="shared" si="3"/>
        <v>#DIV/0!</v>
      </c>
      <c r="AB100" s="464"/>
    </row>
    <row r="101" spans="2:28" s="61" customFormat="1" ht="6" customHeight="1" x14ac:dyDescent="0.25">
      <c r="B101" s="167"/>
      <c r="C101" s="177"/>
      <c r="D101" s="251"/>
      <c r="E101" s="251"/>
      <c r="F101" s="168"/>
      <c r="G101" s="169"/>
      <c r="I101" s="167"/>
      <c r="J101" s="177"/>
      <c r="K101" s="168"/>
      <c r="L101" s="168"/>
      <c r="M101" s="168"/>
      <c r="N101" s="169"/>
      <c r="P101" s="167"/>
      <c r="Q101" s="177"/>
      <c r="R101" s="168"/>
      <c r="S101" s="168"/>
      <c r="T101" s="168"/>
      <c r="U101" s="169"/>
      <c r="W101" s="170"/>
      <c r="X101" s="177"/>
      <c r="Y101" s="316"/>
      <c r="Z101" s="168"/>
      <c r="AA101" s="316"/>
      <c r="AB101" s="169"/>
    </row>
    <row r="102" spans="2:28" ht="22.5" customHeight="1" x14ac:dyDescent="0.25">
      <c r="B102" s="248" t="s">
        <v>42</v>
      </c>
      <c r="C102" s="257">
        <f>COUNTIFS('1. ALL DATA'!$Y$5:$Y$128,"PLANNING",'1. ALL DATA'!$H$5:$H$128,"Completed behind schedule")</f>
        <v>0</v>
      </c>
      <c r="D102" s="367">
        <f>C102/C109</f>
        <v>0</v>
      </c>
      <c r="E102" s="462">
        <f>D102+D103</f>
        <v>0</v>
      </c>
      <c r="F102" s="118">
        <f>C102/C110</f>
        <v>0</v>
      </c>
      <c r="G102" s="481">
        <f>F102+F103</f>
        <v>0</v>
      </c>
      <c r="I102" s="248" t="s">
        <v>42</v>
      </c>
      <c r="J102" s="257">
        <f>COUNTIFS('1. ALL DATA'!$Y$5:$Y$128,"PLANNING",'1. ALL DATA'!$M$5:$M$128,"Completed behind schedule")</f>
        <v>0</v>
      </c>
      <c r="K102" s="118">
        <f>J102/J109</f>
        <v>0</v>
      </c>
      <c r="L102" s="477">
        <f>K102+K103</f>
        <v>0</v>
      </c>
      <c r="M102" s="118">
        <f>J102/J110</f>
        <v>0</v>
      </c>
      <c r="N102" s="481">
        <f>M102+M103</f>
        <v>0</v>
      </c>
      <c r="P102" s="248" t="s">
        <v>42</v>
      </c>
      <c r="Q102" s="257">
        <f>COUNTIFS('1. ALL DATA'!$Y$5:$Y$128,"PLANNING",'1. ALL DATA'!$R$5:$R$128,"Completed behind schedule")</f>
        <v>0</v>
      </c>
      <c r="R102" s="118">
        <f>Q102/Q109</f>
        <v>0</v>
      </c>
      <c r="S102" s="477">
        <f>R102+R103</f>
        <v>0</v>
      </c>
      <c r="T102" s="118">
        <f>Q102/Q110</f>
        <v>0</v>
      </c>
      <c r="U102" s="481">
        <f>T102+T103</f>
        <v>0</v>
      </c>
      <c r="W102" s="248" t="s">
        <v>82</v>
      </c>
      <c r="X102" s="257">
        <f>COUNTIFS('1. ALL DATA'!$Y$5:$Y$128,"PLANNING",'1. ALL DATA'!$V$5:$V$128,"Completed Significantly After Target Deadline")</f>
        <v>0</v>
      </c>
      <c r="Y102" s="137">
        <f t="shared" si="2"/>
        <v>0</v>
      </c>
      <c r="Z102" s="477">
        <f>Y102+Y103</f>
        <v>0</v>
      </c>
      <c r="AA102" s="137" t="e">
        <f t="shared" si="3"/>
        <v>#DIV/0!</v>
      </c>
      <c r="AB102" s="481" t="e">
        <f>AA102+AA103</f>
        <v>#DIV/0!</v>
      </c>
    </row>
    <row r="103" spans="2:28" ht="22.5" customHeight="1" x14ac:dyDescent="0.25">
      <c r="B103" s="248" t="s">
        <v>27</v>
      </c>
      <c r="C103" s="257">
        <f>COUNTIFS('1. ALL DATA'!$Y$5:$Y$128,"PLANNING",'1. ALL DATA'!$H$5:$H$128,"Off target")</f>
        <v>0</v>
      </c>
      <c r="D103" s="367">
        <f>C103/C109</f>
        <v>0</v>
      </c>
      <c r="E103" s="462"/>
      <c r="F103" s="118">
        <f>C103/C110</f>
        <v>0</v>
      </c>
      <c r="G103" s="481"/>
      <c r="I103" s="248" t="s">
        <v>27</v>
      </c>
      <c r="J103" s="257">
        <f>COUNTIFS('1. ALL DATA'!$Y$5:$Y$128,"PLANNING",'1. ALL DATA'!$M$5:$M$128,"Off target")</f>
        <v>0</v>
      </c>
      <c r="K103" s="118">
        <f>J103/J109</f>
        <v>0</v>
      </c>
      <c r="L103" s="477"/>
      <c r="M103" s="118">
        <f>J103/J110</f>
        <v>0</v>
      </c>
      <c r="N103" s="481"/>
      <c r="P103" s="248" t="s">
        <v>27</v>
      </c>
      <c r="Q103" s="257">
        <f>COUNTIFS('1. ALL DATA'!$Y$5:$Y$128,"PLANNING",'1. ALL DATA'!$R$5:$R$128,"Off target")</f>
        <v>0</v>
      </c>
      <c r="R103" s="118">
        <f>Q103/Q109</f>
        <v>0</v>
      </c>
      <c r="S103" s="477"/>
      <c r="T103" s="118">
        <f>Q103/Q110</f>
        <v>0</v>
      </c>
      <c r="U103" s="481"/>
      <c r="W103" s="248" t="s">
        <v>27</v>
      </c>
      <c r="X103" s="257">
        <f>COUNTIFS('1. ALL DATA'!$Y$5:$Y$128,"PLANNING",'1. ALL DATA'!$V$5:$V$128,"Off target")</f>
        <v>0</v>
      </c>
      <c r="Y103" s="137">
        <f t="shared" si="2"/>
        <v>0</v>
      </c>
      <c r="Z103" s="477"/>
      <c r="AA103" s="137" t="e">
        <f t="shared" si="3"/>
        <v>#DIV/0!</v>
      </c>
      <c r="AB103" s="481"/>
    </row>
    <row r="104" spans="2:28" s="61" customFormat="1" ht="6.75" customHeight="1" x14ac:dyDescent="0.25">
      <c r="B104" s="167"/>
      <c r="C104" s="265"/>
      <c r="D104" s="251"/>
      <c r="E104" s="251"/>
      <c r="F104" s="168"/>
      <c r="G104" s="172"/>
      <c r="I104" s="167"/>
      <c r="J104" s="265"/>
      <c r="K104" s="168"/>
      <c r="L104" s="168"/>
      <c r="M104" s="168"/>
      <c r="N104" s="172"/>
      <c r="P104" s="167"/>
      <c r="Q104" s="265"/>
      <c r="R104" s="168"/>
      <c r="S104" s="168"/>
      <c r="T104" s="168"/>
      <c r="U104" s="172"/>
      <c r="W104" s="318"/>
      <c r="X104" s="265"/>
      <c r="Y104" s="316"/>
      <c r="Z104" s="173"/>
      <c r="AA104" s="174"/>
      <c r="AB104" s="233"/>
    </row>
    <row r="105" spans="2:28" ht="15.75" customHeight="1" x14ac:dyDescent="0.25">
      <c r="B105" s="46" t="s">
        <v>1</v>
      </c>
      <c r="C105" s="269">
        <f>COUNTIFS('1. ALL DATA'!$Y$5:$Y$128,"PLANNING",'1. ALL DATA'!$H$5:$H$128,"Not yet due")</f>
        <v>4</v>
      </c>
      <c r="D105" s="252">
        <f>C105/C109</f>
        <v>0.2</v>
      </c>
      <c r="E105" s="252">
        <f>D105</f>
        <v>0.2</v>
      </c>
      <c r="F105" s="74"/>
      <c r="G105" s="45"/>
      <c r="I105" s="46" t="s">
        <v>1</v>
      </c>
      <c r="J105" s="269">
        <f>COUNTIFS('1. ALL DATA'!$Y$5:$Y$128,"PLANNING",'1. ALL DATA'!$M$5:$M$128,"Not yet due")</f>
        <v>0</v>
      </c>
      <c r="K105" s="73">
        <f>J105/J109</f>
        <v>0</v>
      </c>
      <c r="L105" s="73">
        <f>K105</f>
        <v>0</v>
      </c>
      <c r="M105" s="74"/>
      <c r="N105" s="45"/>
      <c r="P105" s="46" t="s">
        <v>1</v>
      </c>
      <c r="Q105" s="269">
        <f>COUNTIFS('1. ALL DATA'!$Y$5:$Y$128,"PLANNING",'1. ALL DATA'!$R$5:$R$128,"Not yet due")</f>
        <v>0</v>
      </c>
      <c r="R105" s="73">
        <f>Q105/Q109</f>
        <v>0</v>
      </c>
      <c r="S105" s="73">
        <f>R105</f>
        <v>0</v>
      </c>
      <c r="T105" s="74"/>
      <c r="U105" s="91"/>
      <c r="W105" s="60" t="s">
        <v>1</v>
      </c>
      <c r="X105" s="269">
        <f>COUNTIFS('1. ALL DATA'!$Y$5:$Y$128,"PLANNING",'1. ALL DATA'!$V$5:$V$128,"Not yet due")</f>
        <v>0</v>
      </c>
      <c r="Y105" s="137">
        <f t="shared" si="2"/>
        <v>0</v>
      </c>
      <c r="Z105" s="73">
        <f>Y105</f>
        <v>0</v>
      </c>
      <c r="AA105" s="74"/>
      <c r="AB105" s="235"/>
    </row>
    <row r="106" spans="2:28" ht="15.75" customHeight="1" x14ac:dyDescent="0.25">
      <c r="B106" s="46" t="s">
        <v>46</v>
      </c>
      <c r="C106" s="269">
        <f>COUNTIFS('1. ALL DATA'!$Y$5:$Y$128,"PLANNING",'1. ALL DATA'!$H$5:$H$128,"Update not provided")</f>
        <v>0</v>
      </c>
      <c r="D106" s="252">
        <f>C106/C109</f>
        <v>0</v>
      </c>
      <c r="E106" s="252">
        <f>D106</f>
        <v>0</v>
      </c>
      <c r="F106" s="74"/>
      <c r="G106" s="96"/>
      <c r="I106" s="46" t="s">
        <v>46</v>
      </c>
      <c r="J106" s="269">
        <f>COUNTIFS('1. ALL DATA'!$Y$5:$Y$128,"PLANNING",'1. ALL DATA'!$M$5:$M$128,"Update not provided")</f>
        <v>0</v>
      </c>
      <c r="K106" s="73">
        <f>J106/J109</f>
        <v>0</v>
      </c>
      <c r="L106" s="73">
        <f>K106</f>
        <v>0</v>
      </c>
      <c r="M106" s="74"/>
      <c r="N106" s="96"/>
      <c r="P106" s="46" t="s">
        <v>46</v>
      </c>
      <c r="Q106" s="269">
        <f>COUNTIFS('1. ALL DATA'!$Y$5:$Y$128,"PLANNING",'1. ALL DATA'!$R$5:$R$128,"Update not provided")</f>
        <v>0</v>
      </c>
      <c r="R106" s="73">
        <f>Q106/Q109</f>
        <v>0</v>
      </c>
      <c r="S106" s="73">
        <f>R106</f>
        <v>0</v>
      </c>
      <c r="T106" s="74"/>
      <c r="U106" s="92"/>
      <c r="W106" s="62" t="s">
        <v>46</v>
      </c>
      <c r="X106" s="269">
        <f>COUNTIFS('1. ALL DATA'!$Y$5:$Y$128,"PLANNING",'1. ALL DATA'!$V$5:$V$128,"Update not provided")</f>
        <v>20</v>
      </c>
      <c r="Y106" s="137">
        <f t="shared" si="2"/>
        <v>1</v>
      </c>
      <c r="Z106" s="73">
        <f>Y106</f>
        <v>1</v>
      </c>
      <c r="AA106" s="74"/>
    </row>
    <row r="107" spans="2:28" ht="15.75" customHeight="1" x14ac:dyDescent="0.25">
      <c r="B107" s="47" t="s">
        <v>22</v>
      </c>
      <c r="C107" s="269">
        <f>COUNTIFS('1. ALL DATA'!$Y$5:$Y$128,"PLANNING",'1. ALL DATA'!$H$5:$H$128,"Deferred")</f>
        <v>0</v>
      </c>
      <c r="D107" s="253">
        <f>C107/C109</f>
        <v>0</v>
      </c>
      <c r="E107" s="253">
        <f>D107</f>
        <v>0</v>
      </c>
      <c r="F107" s="75"/>
      <c r="G107" s="45"/>
      <c r="I107" s="47" t="s">
        <v>22</v>
      </c>
      <c r="J107" s="269">
        <f>COUNTIFS('1. ALL DATA'!$Y$5:$Y$128,"PLANNING",'1. ALL DATA'!$M$5:$M$128,"Deferred")</f>
        <v>0</v>
      </c>
      <c r="K107" s="76">
        <f>J107/J109</f>
        <v>0</v>
      </c>
      <c r="L107" s="76">
        <f>K107</f>
        <v>0</v>
      </c>
      <c r="M107" s="75"/>
      <c r="N107" s="45"/>
      <c r="P107" s="47" t="s">
        <v>22</v>
      </c>
      <c r="Q107" s="269">
        <f>COUNTIFS('1. ALL DATA'!$Y$5:$Y$128,"PLANNING",'1. ALL DATA'!$R$5:$R$128,"Deferred")</f>
        <v>0</v>
      </c>
      <c r="R107" s="76">
        <f>Q107/Q109</f>
        <v>0</v>
      </c>
      <c r="S107" s="76">
        <f>R107</f>
        <v>0</v>
      </c>
      <c r="T107" s="75"/>
      <c r="U107" s="91"/>
      <c r="W107" s="47" t="s">
        <v>22</v>
      </c>
      <c r="X107" s="269">
        <f>COUNTIFS('1. ALL DATA'!$Y$5:$Y$128,"PLANNING",'1. ALL DATA'!$V$5:$V$128,"Deferred")</f>
        <v>0</v>
      </c>
      <c r="Y107" s="137">
        <f t="shared" si="2"/>
        <v>0</v>
      </c>
      <c r="Z107" s="76">
        <f>Y107</f>
        <v>0</v>
      </c>
      <c r="AA107" s="75"/>
      <c r="AB107" s="235"/>
    </row>
    <row r="108" spans="2:28" ht="15.75" customHeight="1" x14ac:dyDescent="0.25">
      <c r="B108" s="47" t="s">
        <v>28</v>
      </c>
      <c r="C108" s="269">
        <f>COUNTIFS('1. ALL DATA'!$Y$5:$Y$128,"PLANNING",'1. ALL DATA'!$H$5:$H$128,"Deleted")</f>
        <v>0</v>
      </c>
      <c r="D108" s="253">
        <f>C108/C109</f>
        <v>0</v>
      </c>
      <c r="E108" s="253">
        <f>D108</f>
        <v>0</v>
      </c>
      <c r="F108" s="75"/>
      <c r="G108" s="89" t="s">
        <v>62</v>
      </c>
      <c r="I108" s="47" t="s">
        <v>28</v>
      </c>
      <c r="J108" s="269">
        <f>COUNTIFS('1. ALL DATA'!$Y$5:$Y$128,"PLANNING",'1. ALL DATA'!$M$5:$M$128,"Deleted")</f>
        <v>0</v>
      </c>
      <c r="K108" s="76">
        <f>J108/J109</f>
        <v>0</v>
      </c>
      <c r="L108" s="76">
        <f>K108</f>
        <v>0</v>
      </c>
      <c r="M108" s="75"/>
      <c r="N108" s="89" t="s">
        <v>62</v>
      </c>
      <c r="P108" s="47" t="s">
        <v>28</v>
      </c>
      <c r="Q108" s="269">
        <f>COUNTIFS('1. ALL DATA'!$Y$5:$Y$128,"PLANNING",'1. ALL DATA'!$R$5:$R$128,"Deleted")</f>
        <v>0</v>
      </c>
      <c r="R108" s="76">
        <f>Q108/Q109</f>
        <v>0</v>
      </c>
      <c r="S108" s="76">
        <f>R108</f>
        <v>0</v>
      </c>
      <c r="T108" s="75"/>
      <c r="U108" s="89" t="s">
        <v>62</v>
      </c>
      <c r="W108" s="47" t="s">
        <v>28</v>
      </c>
      <c r="X108" s="269">
        <f>COUNTIFS('1. ALL DATA'!$Y$5:$Y$128,"PLANNING",'1. ALL DATA'!$V$5:$V$128,"Deleted")</f>
        <v>0</v>
      </c>
      <c r="Y108" s="137">
        <f t="shared" si="2"/>
        <v>0</v>
      </c>
      <c r="Z108" s="76">
        <f>Y108</f>
        <v>0</v>
      </c>
      <c r="AA108" s="75"/>
      <c r="AB108" s="89" t="s">
        <v>62</v>
      </c>
    </row>
    <row r="109" spans="2:28" ht="15.75" customHeight="1" x14ac:dyDescent="0.25">
      <c r="B109" s="48" t="s">
        <v>30</v>
      </c>
      <c r="C109" s="271">
        <f>SUM(C95:C108)</f>
        <v>20</v>
      </c>
      <c r="D109" s="44"/>
      <c r="E109" s="44"/>
      <c r="F109" s="50"/>
      <c r="G109" s="45"/>
      <c r="I109" s="48" t="s">
        <v>30</v>
      </c>
      <c r="J109" s="271">
        <f>SUM(J95:J108)</f>
        <v>20</v>
      </c>
      <c r="K109" s="75"/>
      <c r="L109" s="75"/>
      <c r="M109" s="50"/>
      <c r="N109" s="45"/>
      <c r="P109" s="48" t="s">
        <v>30</v>
      </c>
      <c r="Q109" s="271">
        <f>SUM(Q95:Q108)</f>
        <v>20</v>
      </c>
      <c r="R109" s="75"/>
      <c r="S109" s="75"/>
      <c r="T109" s="50"/>
      <c r="U109" s="91"/>
      <c r="W109" s="48" t="s">
        <v>30</v>
      </c>
      <c r="X109" s="271">
        <f>SUM(X95:X108)</f>
        <v>20</v>
      </c>
      <c r="Y109" s="75"/>
      <c r="Z109" s="75"/>
      <c r="AA109" s="50"/>
      <c r="AB109" s="235"/>
    </row>
    <row r="110" spans="2:28" ht="15.75" customHeight="1" x14ac:dyDescent="0.25">
      <c r="B110" s="48" t="s">
        <v>31</v>
      </c>
      <c r="C110" s="271">
        <f>C109-C108-C107-C106-C105</f>
        <v>16</v>
      </c>
      <c r="D110" s="45"/>
      <c r="E110" s="45"/>
      <c r="F110" s="50"/>
      <c r="G110" s="45"/>
      <c r="I110" s="48" t="s">
        <v>31</v>
      </c>
      <c r="J110" s="271">
        <f>J109-J108-J107-J106-J105</f>
        <v>20</v>
      </c>
      <c r="K110" s="50"/>
      <c r="L110" s="50"/>
      <c r="M110" s="50"/>
      <c r="N110" s="45"/>
      <c r="P110" s="48" t="s">
        <v>31</v>
      </c>
      <c r="Q110" s="271">
        <f>Q109-Q108-Q107-Q106-Q105</f>
        <v>20</v>
      </c>
      <c r="R110" s="50"/>
      <c r="S110" s="50"/>
      <c r="T110" s="50"/>
      <c r="U110" s="91"/>
      <c r="W110" s="48" t="s">
        <v>31</v>
      </c>
      <c r="X110" s="271">
        <f>X109-X108-X107-X106-X105</f>
        <v>0</v>
      </c>
      <c r="Y110" s="50"/>
      <c r="Z110" s="50"/>
      <c r="AA110" s="50"/>
      <c r="AB110" s="235"/>
    </row>
    <row r="111" spans="2:28" ht="15.75" customHeight="1" x14ac:dyDescent="0.25"/>
    <row r="112" spans="2:28" ht="15.75" customHeight="1" x14ac:dyDescent="0.25"/>
    <row r="113" spans="2:28" ht="15.75" customHeight="1" x14ac:dyDescent="0.25"/>
    <row r="114" spans="2:28" s="61" customFormat="1" ht="15.75" x14ac:dyDescent="0.25">
      <c r="B114" s="315" t="s">
        <v>38</v>
      </c>
      <c r="C114" s="370"/>
      <c r="D114" s="370"/>
      <c r="E114" s="370"/>
      <c r="F114" s="309"/>
      <c r="G114" s="310"/>
      <c r="I114" s="315" t="s">
        <v>38</v>
      </c>
      <c r="J114" s="370"/>
      <c r="K114" s="309"/>
      <c r="L114" s="309"/>
      <c r="M114" s="309"/>
      <c r="N114" s="310"/>
      <c r="P114" s="315" t="s">
        <v>38</v>
      </c>
      <c r="Q114" s="370"/>
      <c r="R114" s="309"/>
      <c r="S114" s="309"/>
      <c r="T114" s="309"/>
      <c r="U114" s="310"/>
      <c r="W114" s="315" t="s">
        <v>38</v>
      </c>
      <c r="X114" s="370"/>
      <c r="Y114" s="309"/>
      <c r="Z114" s="309"/>
      <c r="AA114" s="309"/>
      <c r="AB114" s="310"/>
    </row>
    <row r="115" spans="2:28" ht="41.25" customHeight="1" x14ac:dyDescent="0.25">
      <c r="B115" s="311" t="s">
        <v>23</v>
      </c>
      <c r="C115" s="312" t="s">
        <v>24</v>
      </c>
      <c r="D115" s="312" t="s">
        <v>18</v>
      </c>
      <c r="E115" s="312" t="s">
        <v>48</v>
      </c>
      <c r="F115" s="311" t="s">
        <v>29</v>
      </c>
      <c r="G115" s="312" t="s">
        <v>49</v>
      </c>
      <c r="I115" s="311" t="s">
        <v>23</v>
      </c>
      <c r="J115" s="312" t="s">
        <v>24</v>
      </c>
      <c r="K115" s="311" t="s">
        <v>18</v>
      </c>
      <c r="L115" s="311" t="s">
        <v>48</v>
      </c>
      <c r="M115" s="311" t="s">
        <v>29</v>
      </c>
      <c r="N115" s="312" t="s">
        <v>49</v>
      </c>
      <c r="P115" s="311" t="s">
        <v>23</v>
      </c>
      <c r="Q115" s="312" t="s">
        <v>24</v>
      </c>
      <c r="R115" s="311" t="s">
        <v>18</v>
      </c>
      <c r="S115" s="311" t="s">
        <v>48</v>
      </c>
      <c r="T115" s="311" t="s">
        <v>29</v>
      </c>
      <c r="U115" s="313" t="s">
        <v>49</v>
      </c>
      <c r="W115" s="311" t="s">
        <v>23</v>
      </c>
      <c r="X115" s="312" t="s">
        <v>24</v>
      </c>
      <c r="Y115" s="311" t="s">
        <v>18</v>
      </c>
      <c r="Z115" s="311" t="s">
        <v>48</v>
      </c>
      <c r="AA115" s="311" t="s">
        <v>29</v>
      </c>
      <c r="AB115" s="314" t="s">
        <v>49</v>
      </c>
    </row>
    <row r="116" spans="2:28" ht="6.75" customHeight="1" x14ac:dyDescent="0.25">
      <c r="B116" s="51"/>
      <c r="C116" s="54"/>
      <c r="D116" s="54"/>
      <c r="E116" s="54"/>
      <c r="F116" s="51"/>
      <c r="G116" s="54"/>
      <c r="I116" s="51"/>
      <c r="J116" s="54"/>
      <c r="K116" s="51"/>
      <c r="L116" s="51"/>
      <c r="M116" s="51"/>
      <c r="N116" s="54"/>
      <c r="P116" s="51"/>
      <c r="Q116" s="54"/>
      <c r="R116" s="51"/>
      <c r="S116" s="51"/>
      <c r="T116" s="51"/>
      <c r="U116" s="86"/>
      <c r="W116" s="51"/>
      <c r="X116" s="54"/>
      <c r="Y116" s="51"/>
      <c r="Z116" s="51"/>
      <c r="AA116" s="51"/>
      <c r="AB116" s="237"/>
    </row>
    <row r="117" spans="2:28" ht="27.75" customHeight="1" x14ac:dyDescent="0.25">
      <c r="B117" s="247" t="s">
        <v>45</v>
      </c>
      <c r="C117" s="257">
        <f>COUNTIFS('1. ALL DATA'!$Y$5:$Y$128,"REGULATORY SERVICES",'1. ALL DATA'!$H$5:$H$128,"Fully Achieved")</f>
        <v>3</v>
      </c>
      <c r="D117" s="367">
        <f>C117/C131</f>
        <v>0.21428571428571427</v>
      </c>
      <c r="E117" s="462">
        <f>D117+D118</f>
        <v>0.5714285714285714</v>
      </c>
      <c r="F117" s="118">
        <f>C117/C132</f>
        <v>0.375</v>
      </c>
      <c r="G117" s="459">
        <f>F117+F118</f>
        <v>1</v>
      </c>
      <c r="I117" s="247" t="s">
        <v>45</v>
      </c>
      <c r="J117" s="257">
        <f>COUNTIFS('1. ALL DATA'!$Y$5:$Y$128,"REGULATORY SERVICES",'1. ALL DATA'!$M$5:$M$128,"Fully Achieved")</f>
        <v>6</v>
      </c>
      <c r="K117" s="118">
        <f>J117/J131</f>
        <v>0.42857142857142855</v>
      </c>
      <c r="L117" s="477">
        <f>K117+K118</f>
        <v>0.9285714285714286</v>
      </c>
      <c r="M117" s="118">
        <f>J117/J132</f>
        <v>0.46153846153846156</v>
      </c>
      <c r="N117" s="459">
        <f>M117+M118</f>
        <v>1</v>
      </c>
      <c r="P117" s="247" t="s">
        <v>45</v>
      </c>
      <c r="Q117" s="257">
        <f>COUNTIFS('1. ALL DATA'!$Y$5:$Y$128,"REGULATORY SERVICES",'1. ALL DATA'!$R$5:$R$128,"Fully Achieved")</f>
        <v>10</v>
      </c>
      <c r="R117" s="118">
        <f>Q117/Q131</f>
        <v>0.7142857142857143</v>
      </c>
      <c r="S117" s="477">
        <f>R117+R118</f>
        <v>0.9285714285714286</v>
      </c>
      <c r="T117" s="118">
        <f>Q117/Q132</f>
        <v>0.76923076923076927</v>
      </c>
      <c r="U117" s="459">
        <f>T117+T118</f>
        <v>1</v>
      </c>
      <c r="W117" s="247" t="s">
        <v>40</v>
      </c>
      <c r="X117" s="257">
        <f>COUNTIFS('1. ALL DATA'!$Y$5:$Y$128,"REGULATORY SERVICES",'1. ALL DATA'!$V$5:$V$128,"Fully Achieved")</f>
        <v>0</v>
      </c>
      <c r="Y117" s="118">
        <f>X117/$X$131</f>
        <v>0</v>
      </c>
      <c r="Z117" s="477">
        <f>Y117+Y118</f>
        <v>0</v>
      </c>
      <c r="AA117" s="118" t="e">
        <f>X117/$X$132</f>
        <v>#DIV/0!</v>
      </c>
      <c r="AB117" s="459" t="e">
        <f>AA117+AA118</f>
        <v>#DIV/0!</v>
      </c>
    </row>
    <row r="118" spans="2:28" ht="27.75" customHeight="1" x14ac:dyDescent="0.25">
      <c r="B118" s="247" t="s">
        <v>41</v>
      </c>
      <c r="C118" s="257">
        <f>COUNTIFS('1. ALL DATA'!$Y$5:$Y$128,"REGULATORY SERVICES",'1. ALL DATA'!$H$5:$H$128,"On track to be achieved")</f>
        <v>5</v>
      </c>
      <c r="D118" s="367">
        <f>C118/C131</f>
        <v>0.35714285714285715</v>
      </c>
      <c r="E118" s="462"/>
      <c r="F118" s="118">
        <f>C118/C132</f>
        <v>0.625</v>
      </c>
      <c r="G118" s="459"/>
      <c r="I118" s="247" t="s">
        <v>41</v>
      </c>
      <c r="J118" s="257">
        <f>COUNTIFS('1. ALL DATA'!$Y$5:$Y$128,"REGULATORY SERVICES",'1. ALL DATA'!$M$5:$M$128,"On track to be achieved")</f>
        <v>7</v>
      </c>
      <c r="K118" s="118">
        <f>J118/J131</f>
        <v>0.5</v>
      </c>
      <c r="L118" s="477"/>
      <c r="M118" s="118">
        <f>J118/J132</f>
        <v>0.53846153846153844</v>
      </c>
      <c r="N118" s="459"/>
      <c r="P118" s="247" t="s">
        <v>41</v>
      </c>
      <c r="Q118" s="257">
        <f>COUNTIFS('1. ALL DATA'!$Y$5:$Y$128,"REGULATORY SERVICES",'1. ALL DATA'!$R$5:$R$128,"On track to be achieved")</f>
        <v>3</v>
      </c>
      <c r="R118" s="118">
        <f>Q118/Q131</f>
        <v>0.21428571428571427</v>
      </c>
      <c r="S118" s="477"/>
      <c r="T118" s="118">
        <f>Q118/Q132</f>
        <v>0.23076923076923078</v>
      </c>
      <c r="U118" s="459"/>
      <c r="W118" s="247" t="s">
        <v>79</v>
      </c>
      <c r="X118" s="257">
        <f>COUNTIFS('1. ALL DATA'!$Y$5:$Y$128,"REGULATORY SERVICES",'1. ALL DATA'!$V$5:$V$128,"Numerical Outturn Within 5% Tolerance")</f>
        <v>0</v>
      </c>
      <c r="Y118" s="137">
        <f t="shared" ref="Y118:Y130" si="4">X118/$X$131</f>
        <v>0</v>
      </c>
      <c r="Z118" s="477"/>
      <c r="AA118" s="137" t="e">
        <f t="shared" ref="AA118:AA125" si="5">X118/$X$132</f>
        <v>#DIV/0!</v>
      </c>
      <c r="AB118" s="459"/>
    </row>
    <row r="119" spans="2:28" ht="7.5" customHeight="1" x14ac:dyDescent="0.25">
      <c r="B119" s="167"/>
      <c r="C119" s="260"/>
      <c r="D119" s="192"/>
      <c r="E119" s="192"/>
      <c r="F119" s="69"/>
      <c r="G119" s="169"/>
      <c r="I119" s="167"/>
      <c r="J119" s="260"/>
      <c r="K119" s="69"/>
      <c r="L119" s="69"/>
      <c r="M119" s="69"/>
      <c r="N119" s="169"/>
      <c r="P119" s="167"/>
      <c r="Q119" s="260"/>
      <c r="R119" s="69"/>
      <c r="S119" s="69"/>
      <c r="T119" s="69"/>
      <c r="U119" s="169"/>
      <c r="W119" s="170"/>
      <c r="X119" s="260"/>
      <c r="Y119" s="137"/>
      <c r="Z119" s="69"/>
      <c r="AA119" s="137"/>
      <c r="AB119" s="169"/>
    </row>
    <row r="120" spans="2:28" ht="21" customHeight="1" x14ac:dyDescent="0.25">
      <c r="B120" s="460" t="s">
        <v>26</v>
      </c>
      <c r="C120" s="461">
        <f>COUNTIFS('1. ALL DATA'!$Y$5:$Y$128,"REGULATORY SERVICES",'1. ALL DATA'!$H$5:$H$128,"In danger of falling behind target")</f>
        <v>0</v>
      </c>
      <c r="D120" s="462">
        <f>C120/C131</f>
        <v>0</v>
      </c>
      <c r="E120" s="462">
        <f>D120</f>
        <v>0</v>
      </c>
      <c r="F120" s="477">
        <f>C120/C132</f>
        <v>0</v>
      </c>
      <c r="G120" s="464">
        <f>F120</f>
        <v>0</v>
      </c>
      <c r="I120" s="460" t="s">
        <v>26</v>
      </c>
      <c r="J120" s="461">
        <f>COUNTIFS('1. ALL DATA'!$Y$5:$Y$128,"REGULATORY SERVICES",'1. ALL DATA'!$M$5:$M$128,"In danger of falling behind target")</f>
        <v>0</v>
      </c>
      <c r="K120" s="477">
        <f>J120/J131</f>
        <v>0</v>
      </c>
      <c r="L120" s="477">
        <f>K120</f>
        <v>0</v>
      </c>
      <c r="M120" s="477">
        <f>J120/J132</f>
        <v>0</v>
      </c>
      <c r="N120" s="464">
        <f>M120</f>
        <v>0</v>
      </c>
      <c r="P120" s="460" t="s">
        <v>26</v>
      </c>
      <c r="Q120" s="461">
        <f>COUNTIFS('1. ALL DATA'!$Y$5:$Y$128,"REGULATORY SERVICES",'1. ALL DATA'!$R$5:$R$128,"In danger of falling behind target")</f>
        <v>0</v>
      </c>
      <c r="R120" s="477">
        <f>Q120/Q131</f>
        <v>0</v>
      </c>
      <c r="S120" s="477">
        <f>R120</f>
        <v>0</v>
      </c>
      <c r="T120" s="477">
        <f>Q120/Q132</f>
        <v>0</v>
      </c>
      <c r="U120" s="464">
        <f>T120</f>
        <v>0</v>
      </c>
      <c r="W120" s="249" t="s">
        <v>80</v>
      </c>
      <c r="X120" s="368">
        <f>COUNTIFS('1. ALL DATA'!$Y$5:$Y$128,"REGULATORY SERVICES",'1. ALL DATA'!$V$5:$V$128,"Numerical Outturn Within 10% Tolerance")</f>
        <v>0</v>
      </c>
      <c r="Y120" s="137">
        <f t="shared" si="4"/>
        <v>0</v>
      </c>
      <c r="Z120" s="478">
        <f>SUM(Y120:Y123)</f>
        <v>0</v>
      </c>
      <c r="AA120" s="137" t="e">
        <f t="shared" si="5"/>
        <v>#DIV/0!</v>
      </c>
      <c r="AB120" s="464" t="e">
        <f>SUM(AA120:AA123)</f>
        <v>#DIV/0!</v>
      </c>
    </row>
    <row r="121" spans="2:28" ht="18.75" customHeight="1" x14ac:dyDescent="0.25">
      <c r="B121" s="460"/>
      <c r="C121" s="461"/>
      <c r="D121" s="462"/>
      <c r="E121" s="462"/>
      <c r="F121" s="477"/>
      <c r="G121" s="464"/>
      <c r="I121" s="460"/>
      <c r="J121" s="461"/>
      <c r="K121" s="477"/>
      <c r="L121" s="477"/>
      <c r="M121" s="477"/>
      <c r="N121" s="464"/>
      <c r="P121" s="460"/>
      <c r="Q121" s="461"/>
      <c r="R121" s="477"/>
      <c r="S121" s="477"/>
      <c r="T121" s="477"/>
      <c r="U121" s="464"/>
      <c r="W121" s="249" t="s">
        <v>81</v>
      </c>
      <c r="X121" s="368">
        <f>COUNTIFS('1. ALL DATA'!$Y$5:$Y$128,"REGULATORY SERVICES",'1. ALL DATA'!$V$5:$V$128,"Target Partially Met")</f>
        <v>0</v>
      </c>
      <c r="Y121" s="137">
        <f t="shared" si="4"/>
        <v>0</v>
      </c>
      <c r="Z121" s="479"/>
      <c r="AA121" s="137" t="e">
        <f t="shared" si="5"/>
        <v>#DIV/0!</v>
      </c>
      <c r="AB121" s="464"/>
    </row>
    <row r="122" spans="2:28" ht="20.25" customHeight="1" x14ac:dyDescent="0.25">
      <c r="B122" s="460"/>
      <c r="C122" s="461"/>
      <c r="D122" s="462"/>
      <c r="E122" s="462"/>
      <c r="F122" s="477"/>
      <c r="G122" s="464"/>
      <c r="I122" s="460"/>
      <c r="J122" s="461"/>
      <c r="K122" s="477"/>
      <c r="L122" s="477"/>
      <c r="M122" s="477"/>
      <c r="N122" s="464"/>
      <c r="P122" s="460"/>
      <c r="Q122" s="461"/>
      <c r="R122" s="477"/>
      <c r="S122" s="477"/>
      <c r="T122" s="477"/>
      <c r="U122" s="464"/>
      <c r="W122" s="249" t="s">
        <v>83</v>
      </c>
      <c r="X122" s="368">
        <f>COUNTIFS('1. ALL DATA'!$Y$5:$Y$128,"REGULATORY SERVICES",'1. ALL DATA'!$V$5:$V$128,"Completion Date Within Reasonable Tolerance")</f>
        <v>0</v>
      </c>
      <c r="Y122" s="137">
        <f>X123/$X$131</f>
        <v>0</v>
      </c>
      <c r="Z122" s="480"/>
      <c r="AA122" s="137" t="e">
        <f>X123/$X$132</f>
        <v>#DIV/0!</v>
      </c>
      <c r="AB122" s="464"/>
    </row>
    <row r="123" spans="2:28" ht="6" customHeight="1" x14ac:dyDescent="0.25">
      <c r="B123" s="167"/>
      <c r="C123" s="54"/>
      <c r="D123" s="192"/>
      <c r="E123" s="192"/>
      <c r="F123" s="69"/>
      <c r="G123" s="169"/>
      <c r="I123" s="167"/>
      <c r="J123" s="54"/>
      <c r="K123" s="69"/>
      <c r="L123" s="69"/>
      <c r="M123" s="69"/>
      <c r="N123" s="169"/>
      <c r="P123" s="167"/>
      <c r="Q123" s="54"/>
      <c r="R123" s="69"/>
      <c r="S123" s="69"/>
      <c r="T123" s="69"/>
      <c r="U123" s="169"/>
      <c r="W123" s="170"/>
      <c r="X123" s="54"/>
      <c r="Y123" s="137"/>
      <c r="Z123" s="69"/>
      <c r="AA123" s="137"/>
      <c r="AB123" s="169"/>
    </row>
    <row r="124" spans="2:28" ht="30" customHeight="1" x14ac:dyDescent="0.25">
      <c r="B124" s="248" t="s">
        <v>42</v>
      </c>
      <c r="C124" s="257">
        <f>COUNTIFS('1. ALL DATA'!$Y$5:$Y$128,"REGULATORY SERVICES",'1. ALL DATA'!$H$5:$H$128,"Completed behind schedule")</f>
        <v>0</v>
      </c>
      <c r="D124" s="367">
        <f>C124/C131</f>
        <v>0</v>
      </c>
      <c r="E124" s="462">
        <f>D124+D125</f>
        <v>0</v>
      </c>
      <c r="F124" s="118">
        <f>C124/C132</f>
        <v>0</v>
      </c>
      <c r="G124" s="481">
        <f>F124+F125</f>
        <v>0</v>
      </c>
      <c r="I124" s="248" t="s">
        <v>42</v>
      </c>
      <c r="J124" s="257">
        <f>COUNTIFS('1. ALL DATA'!$Y$5:$Y$128,"REGULATORY SERVICES",'1. ALL DATA'!$M$5:$M$128,"Completed behind schedule")</f>
        <v>0</v>
      </c>
      <c r="K124" s="118">
        <f>J124/J131</f>
        <v>0</v>
      </c>
      <c r="L124" s="477">
        <f>K124+K125</f>
        <v>0</v>
      </c>
      <c r="M124" s="118">
        <f>J124/J132</f>
        <v>0</v>
      </c>
      <c r="N124" s="481">
        <f>M124+M125</f>
        <v>0</v>
      </c>
      <c r="P124" s="248" t="s">
        <v>42</v>
      </c>
      <c r="Q124" s="257">
        <f>COUNTIFS('1. ALL DATA'!$Y$5:$Y$128,"REGULATORY SERVICES",'1. ALL DATA'!$R$5:$R$128,"Completed behind schedule")</f>
        <v>0</v>
      </c>
      <c r="R124" s="118">
        <f>Q124/Q131</f>
        <v>0</v>
      </c>
      <c r="S124" s="477">
        <f>R124+R125</f>
        <v>0</v>
      </c>
      <c r="T124" s="118">
        <f>Q124/Q132</f>
        <v>0</v>
      </c>
      <c r="U124" s="481">
        <f>T124+T125</f>
        <v>0</v>
      </c>
      <c r="W124" s="248" t="s">
        <v>82</v>
      </c>
      <c r="X124" s="257">
        <f>COUNTIFS('1. ALL DATA'!$Y$5:$Y$128,"REGULATORY SERVICES",'1. ALL DATA'!$V$5:$V$128,"Completed Significantly After Target Deadline")</f>
        <v>0</v>
      </c>
      <c r="Y124" s="137">
        <f t="shared" si="4"/>
        <v>0</v>
      </c>
      <c r="Z124" s="477">
        <f>Y124+Y125</f>
        <v>0</v>
      </c>
      <c r="AA124" s="137" t="e">
        <f t="shared" si="5"/>
        <v>#DIV/0!</v>
      </c>
      <c r="AB124" s="481" t="e">
        <f>AA124+AA125</f>
        <v>#DIV/0!</v>
      </c>
    </row>
    <row r="125" spans="2:28" ht="30" customHeight="1" x14ac:dyDescent="0.25">
      <c r="B125" s="248" t="s">
        <v>27</v>
      </c>
      <c r="C125" s="257">
        <f>COUNTIFS('1. ALL DATA'!$Y$5:$Y$128,"REGULATORY SERVICES",'1. ALL DATA'!$H$5:$H$128,"Off target")</f>
        <v>0</v>
      </c>
      <c r="D125" s="367">
        <f>C125/C131</f>
        <v>0</v>
      </c>
      <c r="E125" s="462"/>
      <c r="F125" s="118">
        <f>C125/C132</f>
        <v>0</v>
      </c>
      <c r="G125" s="481"/>
      <c r="I125" s="248" t="s">
        <v>27</v>
      </c>
      <c r="J125" s="257">
        <f>COUNTIFS('1. ALL DATA'!$Y$5:$Y$128,"REGULATORY SERVICES",'1. ALL DATA'!$M$5:$M$128,"Off target")</f>
        <v>0</v>
      </c>
      <c r="K125" s="118">
        <f>J125/J131</f>
        <v>0</v>
      </c>
      <c r="L125" s="477"/>
      <c r="M125" s="118">
        <f>J125/J132</f>
        <v>0</v>
      </c>
      <c r="N125" s="481"/>
      <c r="P125" s="248" t="s">
        <v>27</v>
      </c>
      <c r="Q125" s="257">
        <f>COUNTIFS('1. ALL DATA'!$Y$5:$Y$128,"REGULATORY SERVICES",'1. ALL DATA'!$R$5:$R$128,"Off target")</f>
        <v>0</v>
      </c>
      <c r="R125" s="118">
        <f>Q125/Q131</f>
        <v>0</v>
      </c>
      <c r="S125" s="477"/>
      <c r="T125" s="118">
        <f>Q125/Q132</f>
        <v>0</v>
      </c>
      <c r="U125" s="481"/>
      <c r="W125" s="248" t="s">
        <v>27</v>
      </c>
      <c r="X125" s="257">
        <f>COUNTIFS('1. ALL DATA'!$Y$5:$Y$128,"REGULATORY SERVICES",'1. ALL DATA'!$V$5:$V$128,"Off target")</f>
        <v>0</v>
      </c>
      <c r="Y125" s="137">
        <f t="shared" si="4"/>
        <v>0</v>
      </c>
      <c r="Z125" s="477"/>
      <c r="AA125" s="137" t="e">
        <f t="shared" si="5"/>
        <v>#DIV/0!</v>
      </c>
      <c r="AB125" s="481"/>
    </row>
    <row r="126" spans="2:28" ht="5.25" customHeight="1" x14ac:dyDescent="0.25">
      <c r="B126" s="51"/>
      <c r="C126" s="260"/>
      <c r="D126" s="192"/>
      <c r="E126" s="192"/>
      <c r="F126" s="69"/>
      <c r="G126" s="90"/>
      <c r="I126" s="51"/>
      <c r="J126" s="260"/>
      <c r="K126" s="69"/>
      <c r="L126" s="69"/>
      <c r="M126" s="69"/>
      <c r="N126" s="90"/>
      <c r="P126" s="51"/>
      <c r="Q126" s="260"/>
      <c r="R126" s="69"/>
      <c r="S126" s="69"/>
      <c r="T126" s="69"/>
      <c r="U126" s="90"/>
      <c r="W126" s="250"/>
      <c r="X126" s="260"/>
      <c r="Y126" s="137"/>
      <c r="Z126" s="71"/>
      <c r="AA126" s="72"/>
      <c r="AB126" s="238"/>
    </row>
    <row r="127" spans="2:28" ht="15.75" customHeight="1" x14ac:dyDescent="0.25">
      <c r="B127" s="46" t="s">
        <v>1</v>
      </c>
      <c r="C127" s="269">
        <f>COUNTIFS('1. ALL DATA'!$Y$5:$Y$128,"REGULATORY SERVICES",'1. ALL DATA'!$H$5:$H$128,"Not yet due")</f>
        <v>6</v>
      </c>
      <c r="D127" s="252">
        <f>C127/C131</f>
        <v>0.42857142857142855</v>
      </c>
      <c r="E127" s="252">
        <f>D127</f>
        <v>0.42857142857142855</v>
      </c>
      <c r="F127" s="74"/>
      <c r="G127" s="45"/>
      <c r="I127" s="46" t="s">
        <v>1</v>
      </c>
      <c r="J127" s="269">
        <f>COUNTIFS('1. ALL DATA'!$Y$5:$Y$128,"REGULATORY SERVICES",'1. ALL DATA'!$M$5:$M$128,"Not yet due")</f>
        <v>1</v>
      </c>
      <c r="K127" s="73">
        <f>J127/J131</f>
        <v>7.1428571428571425E-2</v>
      </c>
      <c r="L127" s="73">
        <f>K127</f>
        <v>7.1428571428571425E-2</v>
      </c>
      <c r="M127" s="74"/>
      <c r="N127" s="45"/>
      <c r="P127" s="46" t="s">
        <v>1</v>
      </c>
      <c r="Q127" s="269">
        <f>COUNTIFS('1. ALL DATA'!$Y$5:$Y$128,"REGULATORY SERVICES",'1. ALL DATA'!$R$5:$R$128,"Not yet due")</f>
        <v>1</v>
      </c>
      <c r="R127" s="73">
        <f>Q127/Q131</f>
        <v>7.1428571428571425E-2</v>
      </c>
      <c r="S127" s="73">
        <f>R127</f>
        <v>7.1428571428571425E-2</v>
      </c>
      <c r="T127" s="74"/>
      <c r="U127" s="91"/>
      <c r="W127" s="60" t="s">
        <v>1</v>
      </c>
      <c r="X127" s="269">
        <f>COUNTIFS('1. ALL DATA'!$Y$5:$Y$128,"REGULATORY SERVICES",'1. ALL DATA'!$V$5:$V$128,"Not yet due")</f>
        <v>0</v>
      </c>
      <c r="Y127" s="137">
        <f t="shared" si="4"/>
        <v>0</v>
      </c>
      <c r="Z127" s="73">
        <f>Y127</f>
        <v>0</v>
      </c>
      <c r="AA127" s="74"/>
      <c r="AB127" s="235"/>
    </row>
    <row r="128" spans="2:28" ht="15.75" customHeight="1" x14ac:dyDescent="0.25">
      <c r="B128" s="46" t="s">
        <v>46</v>
      </c>
      <c r="C128" s="269">
        <f>COUNTIFS('1. ALL DATA'!$Y$5:$Y$128,"REGULATORY SERVICES",'1. ALL DATA'!$H$5:$H$128,"Update not provided")</f>
        <v>0</v>
      </c>
      <c r="D128" s="252">
        <f>C128/C131</f>
        <v>0</v>
      </c>
      <c r="E128" s="252">
        <f>D128</f>
        <v>0</v>
      </c>
      <c r="F128" s="74"/>
      <c r="G128" s="96"/>
      <c r="I128" s="46" t="s">
        <v>46</v>
      </c>
      <c r="J128" s="269">
        <f>COUNTIFS('1. ALL DATA'!$Y$5:$Y$128,"REGULATORY SERVICES",'1. ALL DATA'!$M$5:$M$128,"Update not provided")</f>
        <v>0</v>
      </c>
      <c r="K128" s="73">
        <f>J128/J131</f>
        <v>0</v>
      </c>
      <c r="L128" s="73">
        <f>K128</f>
        <v>0</v>
      </c>
      <c r="M128" s="74"/>
      <c r="N128" s="96"/>
      <c r="P128" s="46" t="s">
        <v>46</v>
      </c>
      <c r="Q128" s="269">
        <f>COUNTIFS('1. ALL DATA'!$Y$5:$Y$128,"REGULATORY SERVICES",'1. ALL DATA'!$R$5:$R$128,"Update not provided")</f>
        <v>0</v>
      </c>
      <c r="R128" s="73">
        <f>Q128/Q131</f>
        <v>0</v>
      </c>
      <c r="S128" s="73">
        <f>R128</f>
        <v>0</v>
      </c>
      <c r="T128" s="74"/>
      <c r="U128" s="92"/>
      <c r="W128" s="62" t="s">
        <v>46</v>
      </c>
      <c r="X128" s="269">
        <f>COUNTIFS('1. ALL DATA'!$Y$5:$Y$128,"REGULATORY SERVICES",'1. ALL DATA'!$V$5:$V$128,"Update not provided")</f>
        <v>14</v>
      </c>
      <c r="Y128" s="137">
        <f t="shared" si="4"/>
        <v>1</v>
      </c>
      <c r="Z128" s="73">
        <f>Y128</f>
        <v>1</v>
      </c>
      <c r="AA128" s="74"/>
    </row>
    <row r="129" spans="2:28" ht="15.75" customHeight="1" x14ac:dyDescent="0.25">
      <c r="B129" s="47" t="s">
        <v>22</v>
      </c>
      <c r="C129" s="269">
        <f>COUNTIFS('1. ALL DATA'!$Y$5:$Y$128,"REGULATORY SERVICES",'1. ALL DATA'!$H$5:$H$128,"Deferred")</f>
        <v>0</v>
      </c>
      <c r="D129" s="253">
        <f>C129/C131</f>
        <v>0</v>
      </c>
      <c r="E129" s="253">
        <f>D129</f>
        <v>0</v>
      </c>
      <c r="F129" s="75"/>
      <c r="G129" s="45"/>
      <c r="I129" s="47" t="s">
        <v>22</v>
      </c>
      <c r="J129" s="269">
        <f>COUNTIFS('1. ALL DATA'!$Y$5:$Y$128,"REGULATORY SERVICES",'1. ALL DATA'!$M$5:$M$128,"Deferred")</f>
        <v>0</v>
      </c>
      <c r="K129" s="76">
        <f>J129/J131</f>
        <v>0</v>
      </c>
      <c r="L129" s="76">
        <f>K129</f>
        <v>0</v>
      </c>
      <c r="M129" s="75"/>
      <c r="N129" s="45"/>
      <c r="P129" s="47" t="s">
        <v>22</v>
      </c>
      <c r="Q129" s="269">
        <f>COUNTIFS('1. ALL DATA'!$Y$5:$Y$128,"REGULATORY SERVICES",'1. ALL DATA'!$R$5:$R$128,"Deferred")</f>
        <v>0</v>
      </c>
      <c r="R129" s="76">
        <f>Q129/Q131</f>
        <v>0</v>
      </c>
      <c r="S129" s="76">
        <f>R129</f>
        <v>0</v>
      </c>
      <c r="T129" s="75"/>
      <c r="U129" s="91"/>
      <c r="W129" s="47" t="s">
        <v>22</v>
      </c>
      <c r="X129" s="269">
        <f>COUNTIFS('1. ALL DATA'!$Y$5:$Y$128,"REGULATORY SERVICES",'1. ALL DATA'!$V$5:$V$128,"Deferred")</f>
        <v>0</v>
      </c>
      <c r="Y129" s="137">
        <f t="shared" si="4"/>
        <v>0</v>
      </c>
      <c r="Z129" s="76">
        <f>Y129</f>
        <v>0</v>
      </c>
      <c r="AA129" s="75"/>
      <c r="AB129" s="235"/>
    </row>
    <row r="130" spans="2:28" ht="15.75" customHeight="1" x14ac:dyDescent="0.25">
      <c r="B130" s="47" t="s">
        <v>28</v>
      </c>
      <c r="C130" s="269">
        <f>COUNTIFS('1. ALL DATA'!$Y$5:$Y$128,"REGULATORY SERVICES",'1. ALL DATA'!$H$5:$H$128,"Deleted")</f>
        <v>0</v>
      </c>
      <c r="D130" s="253">
        <f>C130/C131</f>
        <v>0</v>
      </c>
      <c r="E130" s="253">
        <f>D130</f>
        <v>0</v>
      </c>
      <c r="F130" s="75"/>
      <c r="G130" s="89" t="s">
        <v>62</v>
      </c>
      <c r="I130" s="47" t="s">
        <v>28</v>
      </c>
      <c r="J130" s="269">
        <f>COUNTIFS('1. ALL DATA'!$Y$5:$Y$128,"REGULATORY SERVICES",'1. ALL DATA'!$M$5:$M$128,"Deleted")</f>
        <v>0</v>
      </c>
      <c r="K130" s="76">
        <f>J130/J131</f>
        <v>0</v>
      </c>
      <c r="L130" s="76">
        <f>K130</f>
        <v>0</v>
      </c>
      <c r="M130" s="75"/>
      <c r="N130" s="89" t="s">
        <v>62</v>
      </c>
      <c r="P130" s="47" t="s">
        <v>28</v>
      </c>
      <c r="Q130" s="269">
        <f>COUNTIFS('1. ALL DATA'!$Y$5:$Y$128,"REGULATORY SERVICES",'1. ALL DATA'!$R$5:$R$128,"Deleted")</f>
        <v>0</v>
      </c>
      <c r="R130" s="76">
        <f>Q130/Q131</f>
        <v>0</v>
      </c>
      <c r="S130" s="76">
        <f>R130</f>
        <v>0</v>
      </c>
      <c r="T130" s="75"/>
      <c r="U130" s="89" t="s">
        <v>62</v>
      </c>
      <c r="W130" s="47" t="s">
        <v>28</v>
      </c>
      <c r="X130" s="269">
        <f>COUNTIFS('1. ALL DATA'!$Y$5:$Y$128,"REGULATORY SERVICES",'1. ALL DATA'!$V$5:$V$128,"Deleted")</f>
        <v>0</v>
      </c>
      <c r="Y130" s="137">
        <f t="shared" si="4"/>
        <v>0</v>
      </c>
      <c r="Z130" s="76">
        <f>Y130</f>
        <v>0</v>
      </c>
      <c r="AA130" s="75"/>
      <c r="AB130" s="89" t="s">
        <v>62</v>
      </c>
    </row>
    <row r="131" spans="2:28" ht="15.75" customHeight="1" x14ac:dyDescent="0.25">
      <c r="B131" s="48" t="s">
        <v>30</v>
      </c>
      <c r="C131" s="271">
        <f>SUM(C117:C130)</f>
        <v>14</v>
      </c>
      <c r="D131" s="44"/>
      <c r="E131" s="44"/>
      <c r="F131" s="50"/>
      <c r="G131" s="45"/>
      <c r="I131" s="48" t="s">
        <v>30</v>
      </c>
      <c r="J131" s="271">
        <f>SUM(J117:J130)</f>
        <v>14</v>
      </c>
      <c r="K131" s="75"/>
      <c r="L131" s="75"/>
      <c r="M131" s="50"/>
      <c r="N131" s="45"/>
      <c r="P131" s="48" t="s">
        <v>30</v>
      </c>
      <c r="Q131" s="271">
        <f>SUM(Q117:Q130)</f>
        <v>14</v>
      </c>
      <c r="R131" s="75"/>
      <c r="S131" s="75"/>
      <c r="T131" s="50"/>
      <c r="U131" s="91"/>
      <c r="W131" s="48" t="s">
        <v>30</v>
      </c>
      <c r="X131" s="271">
        <f>SUM(X117:X130)</f>
        <v>14</v>
      </c>
      <c r="Y131" s="75"/>
      <c r="Z131" s="75"/>
      <c r="AA131" s="50"/>
      <c r="AB131" s="235"/>
    </row>
    <row r="132" spans="2:28" ht="15.75" customHeight="1" x14ac:dyDescent="0.25">
      <c r="B132" s="48" t="s">
        <v>31</v>
      </c>
      <c r="C132" s="271">
        <f>C131-C130-C129-C128-C127</f>
        <v>8</v>
      </c>
      <c r="D132" s="45"/>
      <c r="E132" s="45"/>
      <c r="F132" s="50"/>
      <c r="G132" s="45"/>
      <c r="I132" s="48" t="s">
        <v>31</v>
      </c>
      <c r="J132" s="271">
        <f>J131-J130-J129-J128-J127</f>
        <v>13</v>
      </c>
      <c r="K132" s="50"/>
      <c r="L132" s="50"/>
      <c r="M132" s="50"/>
      <c r="N132" s="45"/>
      <c r="P132" s="48" t="s">
        <v>31</v>
      </c>
      <c r="Q132" s="271">
        <f>Q131-Q130-Q129-Q128-Q127</f>
        <v>13</v>
      </c>
      <c r="R132" s="50"/>
      <c r="S132" s="50"/>
      <c r="T132" s="50"/>
      <c r="U132" s="91"/>
      <c r="W132" s="48" t="s">
        <v>31</v>
      </c>
      <c r="X132" s="271">
        <f>X131-X130-X129-X128-X127</f>
        <v>0</v>
      </c>
      <c r="Y132" s="50"/>
      <c r="Z132" s="50"/>
      <c r="AA132" s="50"/>
      <c r="AB132" s="235"/>
    </row>
    <row r="133" spans="2:28" ht="15.75" customHeight="1" x14ac:dyDescent="0.25">
      <c r="B133" s="63"/>
      <c r="C133" s="372"/>
      <c r="D133" s="45"/>
      <c r="E133" s="45"/>
      <c r="F133" s="50"/>
      <c r="G133" s="45"/>
      <c r="I133" s="63"/>
      <c r="J133" s="372"/>
      <c r="K133" s="50"/>
      <c r="L133" s="50"/>
      <c r="M133" s="50"/>
      <c r="N133" s="45"/>
      <c r="P133" s="63"/>
      <c r="Q133" s="372"/>
      <c r="R133" s="50"/>
      <c r="S133" s="50"/>
      <c r="T133" s="50"/>
      <c r="U133" s="91"/>
      <c r="W133" s="63"/>
      <c r="X133" s="372"/>
      <c r="Y133" s="50"/>
      <c r="Z133" s="50"/>
      <c r="AA133" s="50"/>
      <c r="AB133" s="235"/>
    </row>
    <row r="134" spans="2:28" ht="15.75" customHeight="1" x14ac:dyDescent="0.25">
      <c r="B134" s="63"/>
      <c r="C134" s="372"/>
      <c r="D134" s="45"/>
      <c r="E134" s="45"/>
      <c r="F134" s="50"/>
      <c r="G134" s="45"/>
      <c r="I134" s="63"/>
      <c r="J134" s="372"/>
      <c r="K134" s="50"/>
      <c r="L134" s="50"/>
      <c r="M134" s="50"/>
      <c r="N134" s="45"/>
      <c r="P134" s="63"/>
      <c r="Q134" s="372"/>
      <c r="R134" s="50"/>
      <c r="S134" s="50"/>
      <c r="T134" s="50"/>
      <c r="U134" s="91"/>
      <c r="W134" s="63"/>
      <c r="X134" s="372"/>
      <c r="Y134" s="50"/>
      <c r="Z134" s="50"/>
      <c r="AA134" s="50"/>
      <c r="AB134" s="235"/>
    </row>
    <row r="136" spans="2:28" s="61" customFormat="1" ht="15.75" x14ac:dyDescent="0.25">
      <c r="B136" s="317" t="s">
        <v>268</v>
      </c>
      <c r="C136" s="370"/>
      <c r="D136" s="370"/>
      <c r="E136" s="370"/>
      <c r="F136" s="309"/>
      <c r="G136" s="310"/>
      <c r="I136" s="317" t="s">
        <v>268</v>
      </c>
      <c r="J136" s="370"/>
      <c r="K136" s="309"/>
      <c r="L136" s="309"/>
      <c r="M136" s="309"/>
      <c r="N136" s="310"/>
      <c r="P136" s="317" t="s">
        <v>268</v>
      </c>
      <c r="Q136" s="370"/>
      <c r="R136" s="309"/>
      <c r="S136" s="309"/>
      <c r="T136" s="309"/>
      <c r="U136" s="310"/>
      <c r="W136" s="317" t="s">
        <v>268</v>
      </c>
      <c r="X136" s="370"/>
      <c r="Y136" s="309"/>
      <c r="Z136" s="309"/>
      <c r="AA136" s="309"/>
      <c r="AB136" s="310"/>
    </row>
    <row r="137" spans="2:28" ht="41.25" customHeight="1" x14ac:dyDescent="0.25">
      <c r="B137" s="311" t="s">
        <v>23</v>
      </c>
      <c r="C137" s="312" t="s">
        <v>24</v>
      </c>
      <c r="D137" s="312" t="s">
        <v>18</v>
      </c>
      <c r="E137" s="312" t="s">
        <v>48</v>
      </c>
      <c r="F137" s="311" t="s">
        <v>29</v>
      </c>
      <c r="G137" s="312" t="s">
        <v>49</v>
      </c>
      <c r="I137" s="311" t="s">
        <v>23</v>
      </c>
      <c r="J137" s="312" t="s">
        <v>24</v>
      </c>
      <c r="K137" s="311" t="s">
        <v>18</v>
      </c>
      <c r="L137" s="311" t="s">
        <v>48</v>
      </c>
      <c r="M137" s="311" t="s">
        <v>29</v>
      </c>
      <c r="N137" s="312" t="s">
        <v>49</v>
      </c>
      <c r="P137" s="311" t="s">
        <v>23</v>
      </c>
      <c r="Q137" s="312" t="s">
        <v>24</v>
      </c>
      <c r="R137" s="311" t="s">
        <v>18</v>
      </c>
      <c r="S137" s="311" t="s">
        <v>48</v>
      </c>
      <c r="T137" s="311" t="s">
        <v>29</v>
      </c>
      <c r="U137" s="313" t="s">
        <v>49</v>
      </c>
      <c r="W137" s="311" t="s">
        <v>23</v>
      </c>
      <c r="X137" s="312" t="s">
        <v>24</v>
      </c>
      <c r="Y137" s="311" t="s">
        <v>18</v>
      </c>
      <c r="Z137" s="311" t="s">
        <v>48</v>
      </c>
      <c r="AA137" s="311" t="s">
        <v>29</v>
      </c>
      <c r="AB137" s="314" t="s">
        <v>49</v>
      </c>
    </row>
    <row r="138" spans="2:28" ht="6.75" customHeight="1" x14ac:dyDescent="0.25">
      <c r="B138" s="51"/>
      <c r="C138" s="54"/>
      <c r="D138" s="54"/>
      <c r="E138" s="54"/>
      <c r="F138" s="51"/>
      <c r="G138" s="54"/>
      <c r="I138" s="51"/>
      <c r="J138" s="54"/>
      <c r="K138" s="51"/>
      <c r="L138" s="51"/>
      <c r="M138" s="51"/>
      <c r="N138" s="54"/>
      <c r="P138" s="51"/>
      <c r="Q138" s="54"/>
      <c r="R138" s="51"/>
      <c r="S138" s="51"/>
      <c r="T138" s="51"/>
      <c r="U138" s="86"/>
      <c r="W138" s="51"/>
      <c r="X138" s="54"/>
      <c r="Y138" s="51"/>
      <c r="Z138" s="51"/>
      <c r="AA138" s="51"/>
      <c r="AB138" s="237"/>
    </row>
    <row r="139" spans="2:28" ht="27.75" customHeight="1" x14ac:dyDescent="0.25">
      <c r="B139" s="247" t="s">
        <v>45</v>
      </c>
      <c r="C139" s="257">
        <f>COUNTIFS('1. ALL DATA'!$Y$5:$Y$128,"REGENERATION",'1. ALL DATA'!$H$5:$H$128,"Fully Achieved")</f>
        <v>3</v>
      </c>
      <c r="D139" s="367">
        <f>C139/C153</f>
        <v>0.1875</v>
      </c>
      <c r="E139" s="462">
        <f>D139+D140</f>
        <v>0.625</v>
      </c>
      <c r="F139" s="344">
        <f>C139/C154</f>
        <v>0.27272727272727271</v>
      </c>
      <c r="G139" s="459">
        <f>F139+F140</f>
        <v>0.90909090909090906</v>
      </c>
      <c r="I139" s="247" t="s">
        <v>45</v>
      </c>
      <c r="J139" s="257">
        <f>COUNTIFS('1. ALL DATA'!$Y$5:$Y$128,"REGENERATION",'1. ALL DATA'!$M$5:$M$128,"Fully Achieved")</f>
        <v>8</v>
      </c>
      <c r="K139" s="344">
        <f>J139/J153</f>
        <v>0.5</v>
      </c>
      <c r="L139" s="477">
        <f>K139+K140</f>
        <v>0.75</v>
      </c>
      <c r="M139" s="344">
        <f>J139/J154</f>
        <v>0.61538461538461542</v>
      </c>
      <c r="N139" s="459">
        <f>M139+M140</f>
        <v>0.92307692307692313</v>
      </c>
      <c r="P139" s="247" t="s">
        <v>45</v>
      </c>
      <c r="Q139" s="257">
        <f>COUNTIFS('1. ALL DATA'!$Y$5:$Y$128,"REGENERATION",'1. ALL DATA'!$R$5:$R$128,"Fully Achieved")</f>
        <v>10</v>
      </c>
      <c r="R139" s="344">
        <f>Q139/Q153</f>
        <v>0.625</v>
      </c>
      <c r="S139" s="477">
        <f>R139+R140</f>
        <v>0.8125</v>
      </c>
      <c r="T139" s="344">
        <f>Q139/Q154</f>
        <v>0.7142857142857143</v>
      </c>
      <c r="U139" s="459">
        <f>T139+T140</f>
        <v>0.9285714285714286</v>
      </c>
      <c r="W139" s="247" t="s">
        <v>40</v>
      </c>
      <c r="X139" s="257">
        <f>COUNTIFS('1. ALL DATA'!$Y$5:$Y$128,"REGENERATION",'1. ALL DATA'!$V$5:$V$128,"Fully Achieved")</f>
        <v>0</v>
      </c>
      <c r="Y139" s="344">
        <f>X139/$X$153</f>
        <v>0</v>
      </c>
      <c r="Z139" s="477">
        <f>Y139+Y140</f>
        <v>0</v>
      </c>
      <c r="AA139" s="344" t="e">
        <f>X139/$X$154</f>
        <v>#DIV/0!</v>
      </c>
      <c r="AB139" s="459" t="e">
        <f>AA139+AA140</f>
        <v>#DIV/0!</v>
      </c>
    </row>
    <row r="140" spans="2:28" ht="27.75" customHeight="1" x14ac:dyDescent="0.25">
      <c r="B140" s="247" t="s">
        <v>41</v>
      </c>
      <c r="C140" s="257">
        <f>COUNTIFS('1. ALL DATA'!$Y$5:$Y$128,"REGENERATION",'1. ALL DATA'!$H$5:$H$128,"On track to be achieved")</f>
        <v>7</v>
      </c>
      <c r="D140" s="367">
        <f>C140/C153</f>
        <v>0.4375</v>
      </c>
      <c r="E140" s="462"/>
      <c r="F140" s="344">
        <f>C140/C154</f>
        <v>0.63636363636363635</v>
      </c>
      <c r="G140" s="459"/>
      <c r="I140" s="247" t="s">
        <v>41</v>
      </c>
      <c r="J140" s="257">
        <f>COUNTIFS('1. ALL DATA'!$Y$5:$Y$128,"REGENERATION",'1. ALL DATA'!$M$5:$M$128,"On track to be achieved")</f>
        <v>4</v>
      </c>
      <c r="K140" s="344">
        <f>J140/J153</f>
        <v>0.25</v>
      </c>
      <c r="L140" s="477"/>
      <c r="M140" s="344">
        <f>J140/J154</f>
        <v>0.30769230769230771</v>
      </c>
      <c r="N140" s="459"/>
      <c r="P140" s="247" t="s">
        <v>41</v>
      </c>
      <c r="Q140" s="257">
        <f>COUNTIFS('1. ALL DATA'!$Y$5:$Y$128,"REGENERATION",'1. ALL DATA'!$R$5:$R$128,"On track to be achieved")</f>
        <v>3</v>
      </c>
      <c r="R140" s="344">
        <f>Q140/Q153</f>
        <v>0.1875</v>
      </c>
      <c r="S140" s="477"/>
      <c r="T140" s="344">
        <f>Q140/Q154</f>
        <v>0.21428571428571427</v>
      </c>
      <c r="U140" s="459"/>
      <c r="W140" s="247" t="s">
        <v>79</v>
      </c>
      <c r="X140" s="257">
        <f>COUNTIFS('1. ALL DATA'!$Y$5:$Y$128,"REGENERATION",'1. ALL DATA'!$V$5:$V$128,"Numerical Outturn Within 5% Tolerance")</f>
        <v>0</v>
      </c>
      <c r="Y140" s="344">
        <f>X140/$X$153</f>
        <v>0</v>
      </c>
      <c r="Z140" s="477"/>
      <c r="AA140" s="344" t="e">
        <f>X140/$X$154</f>
        <v>#DIV/0!</v>
      </c>
      <c r="AB140" s="459"/>
    </row>
    <row r="141" spans="2:28" ht="7.5" customHeight="1" x14ac:dyDescent="0.25">
      <c r="B141" s="167"/>
      <c r="C141" s="260"/>
      <c r="D141" s="192"/>
      <c r="E141" s="192"/>
      <c r="F141" s="69"/>
      <c r="G141" s="169"/>
      <c r="I141" s="167"/>
      <c r="J141" s="260"/>
      <c r="K141" s="69"/>
      <c r="L141" s="69"/>
      <c r="M141" s="69"/>
      <c r="N141" s="169"/>
      <c r="P141" s="167"/>
      <c r="Q141" s="260"/>
      <c r="R141" s="69"/>
      <c r="S141" s="69"/>
      <c r="T141" s="69"/>
      <c r="U141" s="169"/>
      <c r="W141" s="170"/>
      <c r="X141" s="260"/>
      <c r="Y141" s="344"/>
      <c r="Z141" s="69"/>
      <c r="AA141" s="344"/>
      <c r="AB141" s="169"/>
    </row>
    <row r="142" spans="2:28" ht="21" customHeight="1" x14ac:dyDescent="0.25">
      <c r="B142" s="460" t="s">
        <v>26</v>
      </c>
      <c r="C142" s="461">
        <f>COUNTIFS('1. ALL DATA'!$Y$5:$Y$128,"REGENERATION",'1. ALL DATA'!$H$5:$H$128,"In danger of falling behind target")</f>
        <v>0</v>
      </c>
      <c r="D142" s="462">
        <f>C142/C153</f>
        <v>0</v>
      </c>
      <c r="E142" s="462">
        <f>D142</f>
        <v>0</v>
      </c>
      <c r="F142" s="477">
        <f>C142/C154</f>
        <v>0</v>
      </c>
      <c r="G142" s="464">
        <f>F142</f>
        <v>0</v>
      </c>
      <c r="I142" s="460" t="s">
        <v>26</v>
      </c>
      <c r="J142" s="461">
        <f>COUNTIFS('1. ALL DATA'!$Y$5:$Y$128,"REGENERATION",'1. ALL DATA'!$M$5:$M$128,"In danger of falling behind target")</f>
        <v>0</v>
      </c>
      <c r="K142" s="477">
        <f>J142/J153</f>
        <v>0</v>
      </c>
      <c r="L142" s="477">
        <f>K142</f>
        <v>0</v>
      </c>
      <c r="M142" s="477">
        <f>J142/J154</f>
        <v>0</v>
      </c>
      <c r="N142" s="464">
        <f>M142</f>
        <v>0</v>
      </c>
      <c r="P142" s="460" t="s">
        <v>26</v>
      </c>
      <c r="Q142" s="461">
        <f>COUNTIFS('1. ALL DATA'!$Y$5:$Y$128,"REGENERATION",'1. ALL DATA'!$R$5:$R$128,"In danger of falling behind target")</f>
        <v>0</v>
      </c>
      <c r="R142" s="477">
        <f>Q142/Q153</f>
        <v>0</v>
      </c>
      <c r="S142" s="477">
        <f>R142</f>
        <v>0</v>
      </c>
      <c r="T142" s="477">
        <f>Q142/Q154</f>
        <v>0</v>
      </c>
      <c r="U142" s="464">
        <f>T142</f>
        <v>0</v>
      </c>
      <c r="W142" s="343" t="s">
        <v>80</v>
      </c>
      <c r="X142" s="368">
        <f>COUNTIFS('1. ALL DATA'!$Y$5:$Y$128,"REGENERATION",'1. ALL DATA'!$V$5:$V$128,"Numerical Outturn Within 10% Tolerance")</f>
        <v>0</v>
      </c>
      <c r="Y142" s="344">
        <f>X142/$X$153</f>
        <v>0</v>
      </c>
      <c r="Z142" s="478">
        <f>SUM(Y142:Y145)</f>
        <v>0</v>
      </c>
      <c r="AA142" s="344" t="e">
        <f>X142/$X$154</f>
        <v>#DIV/0!</v>
      </c>
      <c r="AB142" s="464" t="e">
        <f>SUM(AA142:AA145)</f>
        <v>#DIV/0!</v>
      </c>
    </row>
    <row r="143" spans="2:28" ht="18.75" customHeight="1" x14ac:dyDescent="0.25">
      <c r="B143" s="460"/>
      <c r="C143" s="461"/>
      <c r="D143" s="462"/>
      <c r="E143" s="462"/>
      <c r="F143" s="477"/>
      <c r="G143" s="464"/>
      <c r="I143" s="460"/>
      <c r="J143" s="461"/>
      <c r="K143" s="477"/>
      <c r="L143" s="477"/>
      <c r="M143" s="477"/>
      <c r="N143" s="464"/>
      <c r="P143" s="460"/>
      <c r="Q143" s="461"/>
      <c r="R143" s="477"/>
      <c r="S143" s="477"/>
      <c r="T143" s="477"/>
      <c r="U143" s="464"/>
      <c r="W143" s="343" t="s">
        <v>81</v>
      </c>
      <c r="X143" s="368">
        <f>COUNTIFS('1. ALL DATA'!$Y$5:$Y$128,"REGENERATION",'1. ALL DATA'!$V$5:$V$128,"Target Partially Met")</f>
        <v>0</v>
      </c>
      <c r="Y143" s="344">
        <f>X143/$X$153</f>
        <v>0</v>
      </c>
      <c r="Z143" s="479"/>
      <c r="AA143" s="344" t="e">
        <f>X143/$X$154</f>
        <v>#DIV/0!</v>
      </c>
      <c r="AB143" s="464"/>
    </row>
    <row r="144" spans="2:28" ht="20.25" customHeight="1" x14ac:dyDescent="0.25">
      <c r="B144" s="460"/>
      <c r="C144" s="461"/>
      <c r="D144" s="462"/>
      <c r="E144" s="462"/>
      <c r="F144" s="477"/>
      <c r="G144" s="464"/>
      <c r="I144" s="460"/>
      <c r="J144" s="461"/>
      <c r="K144" s="477"/>
      <c r="L144" s="477"/>
      <c r="M144" s="477"/>
      <c r="N144" s="464"/>
      <c r="P144" s="460"/>
      <c r="Q144" s="461"/>
      <c r="R144" s="477"/>
      <c r="S144" s="477"/>
      <c r="T144" s="477"/>
      <c r="U144" s="464"/>
      <c r="W144" s="343" t="s">
        <v>83</v>
      </c>
      <c r="X144" s="368">
        <f>COUNTIFS('1. ALL DATA'!$Y$5:$Y$128,"REGENERATION",'1. ALL DATA'!$V$5:$V$128,"Completion Date Within Reasonable Tolerance")</f>
        <v>0</v>
      </c>
      <c r="Y144" s="344">
        <f>X144/$X$153</f>
        <v>0</v>
      </c>
      <c r="Z144" s="480"/>
      <c r="AA144" s="344" t="e">
        <f>X144/$X$154</f>
        <v>#DIV/0!</v>
      </c>
      <c r="AB144" s="464"/>
    </row>
    <row r="145" spans="2:28" ht="6" customHeight="1" x14ac:dyDescent="0.25">
      <c r="B145" s="167"/>
      <c r="C145" s="54"/>
      <c r="D145" s="192"/>
      <c r="E145" s="192"/>
      <c r="F145" s="69"/>
      <c r="G145" s="169"/>
      <c r="I145" s="167"/>
      <c r="J145" s="54"/>
      <c r="K145" s="69"/>
      <c r="L145" s="69"/>
      <c r="M145" s="69"/>
      <c r="N145" s="169"/>
      <c r="P145" s="167"/>
      <c r="Q145" s="54"/>
      <c r="R145" s="69"/>
      <c r="S145" s="69"/>
      <c r="T145" s="69"/>
      <c r="U145" s="169"/>
      <c r="W145" s="170"/>
      <c r="X145" s="54"/>
      <c r="Y145" s="344"/>
      <c r="Z145" s="69"/>
      <c r="AA145" s="344"/>
      <c r="AB145" s="169"/>
    </row>
    <row r="146" spans="2:28" ht="30" customHeight="1" x14ac:dyDescent="0.25">
      <c r="B146" s="248" t="s">
        <v>42</v>
      </c>
      <c r="C146" s="257">
        <f>COUNTIFS('1. ALL DATA'!$Y$5:$Y$128,"REGENERATION",'1. ALL DATA'!$H$5:$H$128,"Completed behind schedule")</f>
        <v>0</v>
      </c>
      <c r="D146" s="367">
        <f>C146/C153</f>
        <v>0</v>
      </c>
      <c r="E146" s="462">
        <f>D146+D147</f>
        <v>6.25E-2</v>
      </c>
      <c r="F146" s="344">
        <f>C146/C154</f>
        <v>0</v>
      </c>
      <c r="G146" s="481">
        <f>F146+F147</f>
        <v>9.0909090909090912E-2</v>
      </c>
      <c r="I146" s="248" t="s">
        <v>42</v>
      </c>
      <c r="J146" s="257">
        <f>COUNTIFS('1. ALL DATA'!$Y$5:$Y$128,"REGENERATION",'1. ALL DATA'!$M$5:$M$128,"Completed behind schedule")</f>
        <v>0</v>
      </c>
      <c r="K146" s="344">
        <f>J146/J153</f>
        <v>0</v>
      </c>
      <c r="L146" s="477">
        <f>K146+K147</f>
        <v>6.25E-2</v>
      </c>
      <c r="M146" s="344">
        <f>J146/J154</f>
        <v>0</v>
      </c>
      <c r="N146" s="481">
        <f>M146+M147</f>
        <v>7.6923076923076927E-2</v>
      </c>
      <c r="P146" s="248" t="s">
        <v>42</v>
      </c>
      <c r="Q146" s="257">
        <f>COUNTIFS('1. ALL DATA'!$Y$5:$Y$128,"REGENERATION",'1. ALL DATA'!$R$5:$R$128,"Completed behind schedule")</f>
        <v>0</v>
      </c>
      <c r="R146" s="344">
        <f>Q146/Q153</f>
        <v>0</v>
      </c>
      <c r="S146" s="477">
        <f>R146+R147</f>
        <v>6.25E-2</v>
      </c>
      <c r="T146" s="344">
        <f>Q146/Q154</f>
        <v>0</v>
      </c>
      <c r="U146" s="481">
        <f>T146+T147</f>
        <v>7.1428571428571425E-2</v>
      </c>
      <c r="W146" s="248" t="s">
        <v>82</v>
      </c>
      <c r="X146" s="257">
        <f>COUNTIFS('1. ALL DATA'!$Y$5:$Y$128,"REGENERATION",'1. ALL DATA'!$V$5:$V$128,"Completed Significantly After Target Deadline")</f>
        <v>0</v>
      </c>
      <c r="Y146" s="344">
        <f>X146/$X$153</f>
        <v>0</v>
      </c>
      <c r="Z146" s="477">
        <f>Y146+Y147</f>
        <v>0</v>
      </c>
      <c r="AA146" s="344" t="e">
        <f>X146/$X$154</f>
        <v>#DIV/0!</v>
      </c>
      <c r="AB146" s="481" t="e">
        <f>AA146+AA147</f>
        <v>#DIV/0!</v>
      </c>
    </row>
    <row r="147" spans="2:28" ht="30" customHeight="1" x14ac:dyDescent="0.25">
      <c r="B147" s="248" t="s">
        <v>27</v>
      </c>
      <c r="C147" s="257">
        <f>COUNTIFS('1. ALL DATA'!$Y$5:$Y$128,"REGENERATION",'1. ALL DATA'!$H$5:$H$128,"Off target")</f>
        <v>1</v>
      </c>
      <c r="D147" s="367">
        <f>C147/C153</f>
        <v>6.25E-2</v>
      </c>
      <c r="E147" s="462"/>
      <c r="F147" s="344">
        <f>C147/C154</f>
        <v>9.0909090909090912E-2</v>
      </c>
      <c r="G147" s="481"/>
      <c r="I147" s="248" t="s">
        <v>27</v>
      </c>
      <c r="J147" s="257">
        <f>COUNTIFS('1. ALL DATA'!$Y$5:$Y$128,"REGENERATION",'1. ALL DATA'!$M$5:$M$128,"Off target")</f>
        <v>1</v>
      </c>
      <c r="K147" s="344">
        <f>J147/J153</f>
        <v>6.25E-2</v>
      </c>
      <c r="L147" s="477"/>
      <c r="M147" s="344">
        <f>J147/J154</f>
        <v>7.6923076923076927E-2</v>
      </c>
      <c r="N147" s="481"/>
      <c r="P147" s="248" t="s">
        <v>27</v>
      </c>
      <c r="Q147" s="257">
        <f>COUNTIFS('1. ALL DATA'!$Y$5:$Y$128,"REGENERATION",'1. ALL DATA'!$R$5:$R$128,"Off target")</f>
        <v>1</v>
      </c>
      <c r="R147" s="344">
        <f>Q147/Q153</f>
        <v>6.25E-2</v>
      </c>
      <c r="S147" s="477"/>
      <c r="T147" s="344">
        <f>Q147/Q154</f>
        <v>7.1428571428571425E-2</v>
      </c>
      <c r="U147" s="481"/>
      <c r="W147" s="248" t="s">
        <v>27</v>
      </c>
      <c r="X147" s="257">
        <f>COUNTIFS('1. ALL DATA'!$Y$5:$Y$128,"REGENERATION",'1. ALL DATA'!$V$5:$V$128,"Off target")</f>
        <v>0</v>
      </c>
      <c r="Y147" s="344">
        <f>X147/$X$153</f>
        <v>0</v>
      </c>
      <c r="Z147" s="477"/>
      <c r="AA147" s="344" t="e">
        <f>X147/$X$154</f>
        <v>#DIV/0!</v>
      </c>
      <c r="AB147" s="481"/>
    </row>
    <row r="148" spans="2:28" ht="5.25" customHeight="1" x14ac:dyDescent="0.25">
      <c r="B148" s="51"/>
      <c r="C148" s="260"/>
      <c r="D148" s="192"/>
      <c r="E148" s="192"/>
      <c r="F148" s="69"/>
      <c r="G148" s="90"/>
      <c r="I148" s="51"/>
      <c r="J148" s="260"/>
      <c r="K148" s="69"/>
      <c r="L148" s="69"/>
      <c r="M148" s="69"/>
      <c r="N148" s="90"/>
      <c r="P148" s="51"/>
      <c r="Q148" s="260"/>
      <c r="R148" s="69"/>
      <c r="S148" s="69"/>
      <c r="T148" s="69"/>
      <c r="U148" s="90"/>
      <c r="W148" s="250"/>
      <c r="X148" s="260"/>
      <c r="Y148" s="344"/>
      <c r="Z148" s="71"/>
      <c r="AA148" s="72"/>
      <c r="AB148" s="238"/>
    </row>
    <row r="149" spans="2:28" ht="15.75" customHeight="1" x14ac:dyDescent="0.25">
      <c r="B149" s="345" t="s">
        <v>1</v>
      </c>
      <c r="C149" s="269">
        <f>COUNTIFS('1. ALL DATA'!$Y$5:$Y$128,"REGENERATION",'1. ALL DATA'!$H$5:$H$128,"Not yet due")</f>
        <v>5</v>
      </c>
      <c r="D149" s="252">
        <f>C149/C153</f>
        <v>0.3125</v>
      </c>
      <c r="E149" s="252">
        <f>D149</f>
        <v>0.3125</v>
      </c>
      <c r="F149" s="74"/>
      <c r="G149" s="45"/>
      <c r="I149" s="345" t="s">
        <v>1</v>
      </c>
      <c r="J149" s="269">
        <f>COUNTIFS('1. ALL DATA'!$Y$5:$Y$128,"REGENERATION",'1. ALL DATA'!$M$5:$M$128,"Not yet due")</f>
        <v>3</v>
      </c>
      <c r="K149" s="73">
        <f>J149/J153</f>
        <v>0.1875</v>
      </c>
      <c r="L149" s="73">
        <f>K149</f>
        <v>0.1875</v>
      </c>
      <c r="M149" s="74"/>
      <c r="N149" s="45"/>
      <c r="P149" s="345" t="s">
        <v>1</v>
      </c>
      <c r="Q149" s="269">
        <f>COUNTIFS('1. ALL DATA'!$Y$5:$Y$128,"REGENERATION",'1. ALL DATA'!$R$5:$R$128,"Not yet due")</f>
        <v>2</v>
      </c>
      <c r="R149" s="73">
        <f>Q149/Q153</f>
        <v>0.125</v>
      </c>
      <c r="S149" s="73">
        <f>R149</f>
        <v>0.125</v>
      </c>
      <c r="T149" s="74"/>
      <c r="U149" s="91"/>
      <c r="W149" s="60" t="s">
        <v>1</v>
      </c>
      <c r="X149" s="269">
        <f>COUNTIFS('1. ALL DATA'!$Y$5:$Y$128,"REGENERATION",'1. ALL DATA'!$V$5:$V$128,"Not yet due")</f>
        <v>0</v>
      </c>
      <c r="Y149" s="344">
        <f>X149/$X$153</f>
        <v>0</v>
      </c>
      <c r="Z149" s="73">
        <f>Y149</f>
        <v>0</v>
      </c>
      <c r="AA149" s="74"/>
      <c r="AB149" s="235"/>
    </row>
    <row r="150" spans="2:28" ht="15.75" customHeight="1" x14ac:dyDescent="0.25">
      <c r="B150" s="345" t="s">
        <v>46</v>
      </c>
      <c r="C150" s="269">
        <f>COUNTIFS('1. ALL DATA'!$Y$5:$Y$128,"REGENERATION",'1. ALL DATA'!$H$5:$H$128,"Update not provided")</f>
        <v>0</v>
      </c>
      <c r="D150" s="252">
        <f>C150/C153</f>
        <v>0</v>
      </c>
      <c r="E150" s="252">
        <f>D150</f>
        <v>0</v>
      </c>
      <c r="F150" s="74"/>
      <c r="G150" s="96"/>
      <c r="I150" s="345" t="s">
        <v>46</v>
      </c>
      <c r="J150" s="269">
        <f>COUNTIFS('1. ALL DATA'!$Y$5:$Y$128,"REGENERATION",'1. ALL DATA'!$M$5:$M$128,"Update not provided")</f>
        <v>0</v>
      </c>
      <c r="K150" s="73">
        <f>J150/J153</f>
        <v>0</v>
      </c>
      <c r="L150" s="73">
        <f>K150</f>
        <v>0</v>
      </c>
      <c r="M150" s="74"/>
      <c r="N150" s="96"/>
      <c r="P150" s="345" t="s">
        <v>46</v>
      </c>
      <c r="Q150" s="269">
        <f>COUNTIFS('1. ALL DATA'!$Y$5:$Y$128,"REGENERATION",'1. ALL DATA'!$R$5:$R$128,"Update not provided")</f>
        <v>0</v>
      </c>
      <c r="R150" s="73">
        <f>Q150/Q153</f>
        <v>0</v>
      </c>
      <c r="S150" s="73">
        <f>R150</f>
        <v>0</v>
      </c>
      <c r="T150" s="74"/>
      <c r="U150" s="92"/>
      <c r="W150" s="62" t="s">
        <v>46</v>
      </c>
      <c r="X150" s="269">
        <f>COUNTIFS('1. ALL DATA'!$Y$5:$Y$128,"REGENERATION",'1. ALL DATA'!$V$5:$V$128,"Update not provided")</f>
        <v>16</v>
      </c>
      <c r="Y150" s="344">
        <f>X150/$X$153</f>
        <v>1</v>
      </c>
      <c r="Z150" s="73">
        <f>Y150</f>
        <v>1</v>
      </c>
      <c r="AA150" s="74"/>
    </row>
    <row r="151" spans="2:28" ht="15.75" customHeight="1" x14ac:dyDescent="0.25">
      <c r="B151" s="47" t="s">
        <v>22</v>
      </c>
      <c r="C151" s="269">
        <f>COUNTIFS('1. ALL DATA'!$Y$5:$Y$128,"REGENERATION",'1. ALL DATA'!$H$5:$H$128,"Deferred")</f>
        <v>0</v>
      </c>
      <c r="D151" s="253">
        <f>C151/C153</f>
        <v>0</v>
      </c>
      <c r="E151" s="253">
        <f>D151</f>
        <v>0</v>
      </c>
      <c r="F151" s="75"/>
      <c r="G151" s="45"/>
      <c r="I151" s="47" t="s">
        <v>22</v>
      </c>
      <c r="J151" s="269">
        <f>COUNTIFS('1. ALL DATA'!$Y$5:$Y$128,"REGENERATION",'1. ALL DATA'!$M$5:$M$128,"Deferred")</f>
        <v>0</v>
      </c>
      <c r="K151" s="76">
        <f>J151/J153</f>
        <v>0</v>
      </c>
      <c r="L151" s="76">
        <f>K151</f>
        <v>0</v>
      </c>
      <c r="M151" s="75"/>
      <c r="N151" s="45"/>
      <c r="P151" s="47" t="s">
        <v>22</v>
      </c>
      <c r="Q151" s="269">
        <f>COUNTIFS('1. ALL DATA'!$Y$5:$Y$128,"REGENERATION",'1. ALL DATA'!$R$5:$R$128,"Deferred")</f>
        <v>0</v>
      </c>
      <c r="R151" s="76">
        <f>Q151/Q153</f>
        <v>0</v>
      </c>
      <c r="S151" s="76">
        <f>R151</f>
        <v>0</v>
      </c>
      <c r="T151" s="75"/>
      <c r="U151" s="91"/>
      <c r="W151" s="47" t="s">
        <v>22</v>
      </c>
      <c r="X151" s="269">
        <f>COUNTIFS('1. ALL DATA'!$Y$5:$Y$128,"REGENERATION",'1. ALL DATA'!$V$5:$V$128,"Deferred")</f>
        <v>0</v>
      </c>
      <c r="Y151" s="344">
        <f>X151/$X$153</f>
        <v>0</v>
      </c>
      <c r="Z151" s="76">
        <f>Y151</f>
        <v>0</v>
      </c>
      <c r="AA151" s="75"/>
      <c r="AB151" s="235"/>
    </row>
    <row r="152" spans="2:28" ht="15.75" customHeight="1" x14ac:dyDescent="0.25">
      <c r="B152" s="47" t="s">
        <v>28</v>
      </c>
      <c r="C152" s="269">
        <f>COUNTIFS('1. ALL DATA'!$Y$5:$Y$128,"REGENERATION",'1. ALL DATA'!$H$5:$H$128,"Deleted")</f>
        <v>0</v>
      </c>
      <c r="D152" s="253">
        <f>C152/C153</f>
        <v>0</v>
      </c>
      <c r="E152" s="253">
        <f>D152</f>
        <v>0</v>
      </c>
      <c r="F152" s="75"/>
      <c r="G152" s="89" t="s">
        <v>62</v>
      </c>
      <c r="I152" s="47" t="s">
        <v>28</v>
      </c>
      <c r="J152" s="269">
        <f>COUNTIFS('1. ALL DATA'!$Y$5:$Y$128,"REGENERATION",'1. ALL DATA'!$M$5:$M$128,"Deleted")</f>
        <v>0</v>
      </c>
      <c r="K152" s="76">
        <f>J152/J153</f>
        <v>0</v>
      </c>
      <c r="L152" s="76">
        <f>K152</f>
        <v>0</v>
      </c>
      <c r="M152" s="75"/>
      <c r="N152" s="89" t="s">
        <v>62</v>
      </c>
      <c r="P152" s="47" t="s">
        <v>28</v>
      </c>
      <c r="Q152" s="269">
        <f>COUNTIFS('1. ALL DATA'!$Y$5:$Y$128,"REGENERATION",'1. ALL DATA'!$R$5:$R$128,"Deleted")</f>
        <v>0</v>
      </c>
      <c r="R152" s="76">
        <f>Q152/Q153</f>
        <v>0</v>
      </c>
      <c r="S152" s="76">
        <f>R152</f>
        <v>0</v>
      </c>
      <c r="T152" s="75"/>
      <c r="U152" s="89" t="s">
        <v>62</v>
      </c>
      <c r="W152" s="47" t="s">
        <v>28</v>
      </c>
      <c r="X152" s="269">
        <f>COUNTIFS('1. ALL DATA'!$Y$5:$Y$128,"REGENERATION",'1. ALL DATA'!$V$5:$V$128,"Deleted")</f>
        <v>0</v>
      </c>
      <c r="Y152" s="344">
        <f>X152/$X$153</f>
        <v>0</v>
      </c>
      <c r="Z152" s="76">
        <f>Y152</f>
        <v>0</v>
      </c>
      <c r="AA152" s="75"/>
      <c r="AB152" s="89" t="s">
        <v>62</v>
      </c>
    </row>
    <row r="153" spans="2:28" ht="15.75" customHeight="1" x14ac:dyDescent="0.25">
      <c r="B153" s="48" t="s">
        <v>30</v>
      </c>
      <c r="C153" s="271">
        <f>SUM(C139:C152)</f>
        <v>16</v>
      </c>
      <c r="D153" s="44"/>
      <c r="E153" s="44"/>
      <c r="F153" s="50"/>
      <c r="G153" s="45"/>
      <c r="I153" s="48" t="s">
        <v>30</v>
      </c>
      <c r="J153" s="271">
        <f>SUM(J139:J152)</f>
        <v>16</v>
      </c>
      <c r="K153" s="75"/>
      <c r="L153" s="75"/>
      <c r="M153" s="50"/>
      <c r="N153" s="45"/>
      <c r="P153" s="48" t="s">
        <v>30</v>
      </c>
      <c r="Q153" s="271">
        <f>SUM(Q139:Q152)</f>
        <v>16</v>
      </c>
      <c r="R153" s="75"/>
      <c r="S153" s="75"/>
      <c r="T153" s="50"/>
      <c r="U153" s="91"/>
      <c r="W153" s="48" t="s">
        <v>30</v>
      </c>
      <c r="X153" s="271">
        <f>SUM(X139:X152)</f>
        <v>16</v>
      </c>
      <c r="Y153" s="75"/>
      <c r="Z153" s="75"/>
      <c r="AA153" s="50"/>
      <c r="AB153" s="235"/>
    </row>
    <row r="154" spans="2:28" ht="15.75" customHeight="1" x14ac:dyDescent="0.25">
      <c r="B154" s="48" t="s">
        <v>31</v>
      </c>
      <c r="C154" s="271">
        <f>C153-C152-C151-C150-C149</f>
        <v>11</v>
      </c>
      <c r="D154" s="45"/>
      <c r="E154" s="45"/>
      <c r="F154" s="50"/>
      <c r="G154" s="45"/>
      <c r="I154" s="48" t="s">
        <v>31</v>
      </c>
      <c r="J154" s="271">
        <f>J153-J152-J151-J150-J149</f>
        <v>13</v>
      </c>
      <c r="K154" s="50"/>
      <c r="L154" s="50"/>
      <c r="M154" s="50"/>
      <c r="N154" s="45"/>
      <c r="P154" s="48" t="s">
        <v>31</v>
      </c>
      <c r="Q154" s="271">
        <f>Q153-Q152-Q151-Q150-Q149</f>
        <v>14</v>
      </c>
      <c r="R154" s="50"/>
      <c r="S154" s="50"/>
      <c r="T154" s="50"/>
      <c r="U154" s="91"/>
      <c r="W154" s="48" t="s">
        <v>31</v>
      </c>
      <c r="X154" s="271">
        <f>X153-X152-X151-X150-X149</f>
        <v>0</v>
      </c>
      <c r="Y154" s="50"/>
      <c r="Z154" s="50"/>
      <c r="AA154" s="50"/>
      <c r="AB154" s="235"/>
    </row>
  </sheetData>
  <mergeCells count="252">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N80:N81"/>
    <mergeCell ref="S80:S81"/>
    <mergeCell ref="U80:U81"/>
    <mergeCell ref="S76:S78"/>
    <mergeCell ref="T76:T78"/>
    <mergeCell ref="U76:U78"/>
    <mergeCell ref="M76:M78"/>
    <mergeCell ref="N76:N78"/>
    <mergeCell ref="P76:P78"/>
    <mergeCell ref="Q76:Q78"/>
    <mergeCell ref="R76:R78"/>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S98:S100"/>
    <mergeCell ref="T98:T100"/>
    <mergeCell ref="U98:U100"/>
    <mergeCell ref="M98:M100"/>
    <mergeCell ref="N98:N100"/>
    <mergeCell ref="P98:P100"/>
    <mergeCell ref="Q98:Q100"/>
    <mergeCell ref="R98:R100"/>
    <mergeCell ref="G98:G100"/>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T142:T144"/>
    <mergeCell ref="U142:U144"/>
    <mergeCell ref="Z142:Z144"/>
    <mergeCell ref="AB142:AB144"/>
    <mergeCell ref="E146:E147"/>
    <mergeCell ref="G146:G147"/>
    <mergeCell ref="L146:L147"/>
    <mergeCell ref="N146:N147"/>
    <mergeCell ref="S146:S147"/>
    <mergeCell ref="U146:U147"/>
    <mergeCell ref="Z146:Z147"/>
    <mergeCell ref="AB146:AB147"/>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x14ac:dyDescent="0.25"/>
  <cols>
    <col min="1" max="1" width="3.42578125" style="209" customWidth="1"/>
    <col min="2" max="9" width="9.140625" style="209"/>
    <col min="10" max="10" width="3.42578125" style="209" customWidth="1"/>
    <col min="11" max="11" width="9.140625" style="210"/>
    <col min="12" max="18" width="9.140625" style="209"/>
    <col min="19" max="19" width="3.42578125" style="209" customWidth="1"/>
    <col min="20" max="27" width="9.140625" style="209" customWidth="1"/>
    <col min="28" max="28" width="3.42578125" style="209" customWidth="1"/>
    <col min="29" max="36" width="9.140625" style="209" customWidth="1"/>
    <col min="37" max="37" width="3.42578125" style="209" customWidth="1"/>
    <col min="38" max="47" width="9.140625" style="209" customWidth="1"/>
    <col min="48" max="51" width="9.140625" style="209"/>
    <col min="52" max="55" width="10" style="209" customWidth="1"/>
    <col min="56" max="16384" width="9.140625" style="209"/>
  </cols>
  <sheetData>
    <row r="1" spans="2:56" s="208" customFormat="1" ht="35.25" customHeight="1" thickTop="1" x14ac:dyDescent="0.5">
      <c r="B1" s="208" t="s">
        <v>39</v>
      </c>
      <c r="K1" s="468" t="s">
        <v>225</v>
      </c>
      <c r="L1" s="469"/>
      <c r="M1" s="469"/>
      <c r="N1" s="469"/>
      <c r="O1" s="469"/>
      <c r="P1" s="469"/>
      <c r="Q1" s="469"/>
      <c r="R1" s="469"/>
      <c r="S1" s="469"/>
      <c r="T1" s="469"/>
      <c r="U1" s="469"/>
      <c r="V1" s="469"/>
      <c r="W1" s="469"/>
      <c r="X1" s="470"/>
    </row>
    <row r="2" spans="2:56" s="208" customFormat="1" ht="35.25" x14ac:dyDescent="0.5">
      <c r="K2" s="471"/>
      <c r="L2" s="472"/>
      <c r="M2" s="472"/>
      <c r="N2" s="472"/>
      <c r="O2" s="472"/>
      <c r="P2" s="472"/>
      <c r="Q2" s="472"/>
      <c r="R2" s="472"/>
      <c r="S2" s="472"/>
      <c r="T2" s="472"/>
      <c r="U2" s="472"/>
      <c r="V2" s="472"/>
      <c r="W2" s="472"/>
      <c r="X2" s="473"/>
    </row>
    <row r="3" spans="2:56" s="208" customFormat="1" ht="36" thickBot="1" x14ac:dyDescent="0.55000000000000004">
      <c r="K3" s="474"/>
      <c r="L3" s="475"/>
      <c r="M3" s="475"/>
      <c r="N3" s="475"/>
      <c r="O3" s="475"/>
      <c r="P3" s="475"/>
      <c r="Q3" s="475"/>
      <c r="R3" s="475"/>
      <c r="S3" s="475"/>
      <c r="T3" s="475"/>
      <c r="U3" s="475"/>
      <c r="V3" s="475"/>
      <c r="W3" s="475"/>
      <c r="X3" s="476"/>
    </row>
    <row r="4" spans="2:56" ht="15.75" thickTop="1" x14ac:dyDescent="0.25">
      <c r="N4" s="211" t="s">
        <v>62</v>
      </c>
      <c r="W4" s="211" t="s">
        <v>62</v>
      </c>
      <c r="AF4" s="211" t="s">
        <v>62</v>
      </c>
      <c r="AO4" s="211" t="s">
        <v>62</v>
      </c>
    </row>
    <row r="5" spans="2:56" x14ac:dyDescent="0.25">
      <c r="AY5" s="212" t="s">
        <v>76</v>
      </c>
      <c r="AZ5" s="210"/>
      <c r="BA5" s="210"/>
      <c r="BB5" s="210"/>
      <c r="BC5" s="210"/>
      <c r="BD5" s="210"/>
    </row>
    <row r="6" spans="2:56" x14ac:dyDescent="0.25">
      <c r="AY6" s="213"/>
      <c r="AZ6" s="214" t="s">
        <v>34</v>
      </c>
      <c r="BA6" s="214" t="s">
        <v>35</v>
      </c>
      <c r="BB6" s="214" t="s">
        <v>36</v>
      </c>
      <c r="BC6" s="214" t="s">
        <v>37</v>
      </c>
      <c r="BD6" s="210"/>
    </row>
    <row r="7" spans="2:56" x14ac:dyDescent="0.25">
      <c r="AY7" s="215" t="s">
        <v>19</v>
      </c>
      <c r="AZ7" s="216">
        <f>'5. % BY PORTFOLIO'!G6</f>
        <v>1</v>
      </c>
      <c r="BA7" s="216">
        <f>'5. % BY PORTFOLIO'!N6</f>
        <v>1</v>
      </c>
      <c r="BB7" s="216">
        <f>'5. % BY PORTFOLIO'!U6</f>
        <v>1</v>
      </c>
      <c r="BC7" s="216" t="e">
        <f>'5. % BY PORTFOLIO'!AB6</f>
        <v>#DIV/0!</v>
      </c>
      <c r="BD7" s="210"/>
    </row>
    <row r="8" spans="2:56" x14ac:dyDescent="0.25">
      <c r="L8" s="217"/>
      <c r="M8" s="217"/>
      <c r="AY8" s="215" t="s">
        <v>20</v>
      </c>
      <c r="AZ8" s="216">
        <f>'5. % BY PORTFOLIO'!G9</f>
        <v>0</v>
      </c>
      <c r="BA8" s="216">
        <f>'5. % BY PORTFOLIO'!N9</f>
        <v>0</v>
      </c>
      <c r="BB8" s="216">
        <f>'5. % BY PORTFOLIO'!U9</f>
        <v>0</v>
      </c>
      <c r="BC8" s="216" t="e">
        <f>'5. % BY PORTFOLIO'!AB9</f>
        <v>#DIV/0!</v>
      </c>
      <c r="BD8" s="210"/>
    </row>
    <row r="9" spans="2:56" x14ac:dyDescent="0.25">
      <c r="L9" s="217"/>
      <c r="M9" s="217"/>
      <c r="AY9" s="215" t="s">
        <v>21</v>
      </c>
      <c r="AZ9" s="216">
        <f>'5. % BY PORTFOLIO'!G13</f>
        <v>0</v>
      </c>
      <c r="BA9" s="216">
        <f>'5. % BY PORTFOLIO'!N13</f>
        <v>0</v>
      </c>
      <c r="BB9" s="216">
        <f>'5. % BY PORTFOLIO'!U13</f>
        <v>0</v>
      </c>
      <c r="BC9" s="216" t="e">
        <f>'5. % BY PORTFOLIO'!AB13</f>
        <v>#DIV/0!</v>
      </c>
      <c r="BD9" s="210"/>
    </row>
    <row r="10" spans="2:56" x14ac:dyDescent="0.25">
      <c r="L10" s="217"/>
      <c r="M10" s="217"/>
      <c r="AY10" s="213"/>
      <c r="AZ10" s="218"/>
      <c r="BA10" s="218"/>
      <c r="BB10" s="218"/>
      <c r="BC10" s="218"/>
      <c r="BD10" s="210"/>
    </row>
    <row r="11" spans="2:56" x14ac:dyDescent="0.25">
      <c r="AY11" s="219"/>
      <c r="AZ11" s="217"/>
      <c r="BA11" s="217"/>
      <c r="BB11" s="217"/>
      <c r="BC11" s="217"/>
      <c r="BD11" s="210"/>
    </row>
    <row r="12" spans="2:56" x14ac:dyDescent="0.25">
      <c r="AY12" s="219"/>
      <c r="AZ12" s="217"/>
      <c r="BA12" s="217"/>
      <c r="BB12" s="217"/>
      <c r="BC12" s="217"/>
      <c r="BD12" s="210"/>
    </row>
    <row r="13" spans="2:56" x14ac:dyDescent="0.25">
      <c r="AY13" s="219"/>
      <c r="AZ13" s="217"/>
      <c r="BA13" s="217"/>
      <c r="BB13" s="217"/>
      <c r="BC13" s="217"/>
      <c r="BD13" s="210"/>
    </row>
    <row r="14" spans="2:56" x14ac:dyDescent="0.25">
      <c r="AY14" s="210"/>
      <c r="AZ14" s="210"/>
      <c r="BA14" s="210"/>
      <c r="BB14" s="210"/>
      <c r="BC14" s="210"/>
      <c r="BD14" s="210"/>
    </row>
    <row r="15" spans="2:56" x14ac:dyDescent="0.25">
      <c r="AY15" s="210"/>
      <c r="AZ15" s="210"/>
      <c r="BA15" s="210"/>
      <c r="BB15" s="210"/>
      <c r="BC15" s="210"/>
      <c r="BD15" s="210"/>
    </row>
    <row r="16" spans="2:56" x14ac:dyDescent="0.25">
      <c r="AY16" s="210"/>
      <c r="AZ16" s="210"/>
      <c r="BA16" s="210"/>
      <c r="BB16" s="210"/>
      <c r="BC16" s="210"/>
      <c r="BD16" s="210"/>
    </row>
    <row r="17" spans="12:56" x14ac:dyDescent="0.25">
      <c r="AY17" s="210"/>
      <c r="AZ17" s="210"/>
      <c r="BA17" s="210"/>
      <c r="BB17" s="210"/>
      <c r="BC17" s="210"/>
      <c r="BD17" s="210"/>
    </row>
    <row r="18" spans="12:56" x14ac:dyDescent="0.25">
      <c r="AY18" s="210"/>
      <c r="AZ18" s="210"/>
      <c r="BA18" s="210"/>
      <c r="BB18" s="210"/>
      <c r="BC18" s="210"/>
      <c r="BD18" s="210"/>
    </row>
    <row r="19" spans="12:56" x14ac:dyDescent="0.25">
      <c r="AY19" s="210"/>
      <c r="AZ19" s="210"/>
      <c r="BA19" s="210"/>
      <c r="BB19" s="210"/>
      <c r="BC19" s="210"/>
      <c r="BD19" s="210"/>
    </row>
    <row r="20" spans="12:56" x14ac:dyDescent="0.25">
      <c r="N20" s="211" t="s">
        <v>62</v>
      </c>
      <c r="W20" s="211" t="s">
        <v>62</v>
      </c>
      <c r="AF20" s="211" t="s">
        <v>62</v>
      </c>
      <c r="AO20" s="211" t="s">
        <v>62</v>
      </c>
      <c r="AY20" s="210"/>
      <c r="AZ20" s="210"/>
      <c r="BA20" s="210"/>
      <c r="BB20" s="210"/>
      <c r="BC20" s="210"/>
      <c r="BD20" s="210"/>
    </row>
    <row r="21" spans="12:56" x14ac:dyDescent="0.25">
      <c r="AY21" s="212" t="s">
        <v>88</v>
      </c>
      <c r="AZ21" s="210"/>
      <c r="BA21" s="210"/>
      <c r="BB21" s="210"/>
      <c r="BC21" s="210"/>
      <c r="BD21" s="210"/>
    </row>
    <row r="22" spans="12:56" x14ac:dyDescent="0.25">
      <c r="AY22" s="213"/>
      <c r="AZ22" s="214" t="s">
        <v>34</v>
      </c>
      <c r="BA22" s="214" t="s">
        <v>35</v>
      </c>
      <c r="BB22" s="214" t="s">
        <v>36</v>
      </c>
      <c r="BC22" s="214" t="s">
        <v>37</v>
      </c>
      <c r="BD22" s="210"/>
    </row>
    <row r="23" spans="12:56" x14ac:dyDescent="0.25">
      <c r="AY23" s="215" t="s">
        <v>19</v>
      </c>
      <c r="AZ23" s="216">
        <f>'5. % BY PORTFOLIO'!G29</f>
        <v>1</v>
      </c>
      <c r="BA23" s="216">
        <f>'5. % BY PORTFOLIO'!N29</f>
        <v>0.94444444444444442</v>
      </c>
      <c r="BB23" s="216">
        <f>'5. % BY PORTFOLIO'!U29</f>
        <v>0.94736842105263164</v>
      </c>
      <c r="BC23" s="216" t="e">
        <f>'5. % BY PORTFOLIO'!AB29</f>
        <v>#DIV/0!</v>
      </c>
      <c r="BD23" s="210"/>
    </row>
    <row r="24" spans="12:56" x14ac:dyDescent="0.25">
      <c r="L24" s="217"/>
      <c r="M24" s="217"/>
      <c r="AY24" s="215" t="s">
        <v>20</v>
      </c>
      <c r="AZ24" s="216">
        <f>'5. % BY PORTFOLIO'!G32</f>
        <v>0</v>
      </c>
      <c r="BA24" s="216">
        <f>'5. % BY PORTFOLIO'!N32</f>
        <v>0</v>
      </c>
      <c r="BB24" s="216">
        <f>'5. % BY PORTFOLIO'!U32</f>
        <v>0</v>
      </c>
      <c r="BC24" s="216" t="e">
        <f>'5. % BY PORTFOLIO'!AB32</f>
        <v>#DIV/0!</v>
      </c>
      <c r="BD24" s="210"/>
    </row>
    <row r="25" spans="12:56" x14ac:dyDescent="0.25">
      <c r="L25" s="217"/>
      <c r="M25" s="217"/>
      <c r="AY25" s="215" t="s">
        <v>21</v>
      </c>
      <c r="AZ25" s="216">
        <f>'5. % BY PORTFOLIO'!G36</f>
        <v>0</v>
      </c>
      <c r="BA25" s="216">
        <f>'5. % BY PORTFOLIO'!N36</f>
        <v>5.5555555555555552E-2</v>
      </c>
      <c r="BB25" s="216">
        <f>'5. % BY PORTFOLIO'!U36</f>
        <v>5.2631578947368418E-2</v>
      </c>
      <c r="BC25" s="216" t="e">
        <f>'5. % BY PORTFOLIO'!AB36</f>
        <v>#DIV/0!</v>
      </c>
      <c r="BD25" s="210"/>
    </row>
    <row r="26" spans="12:56" x14ac:dyDescent="0.25">
      <c r="L26" s="217"/>
      <c r="M26" s="217"/>
      <c r="AY26" s="210"/>
      <c r="AZ26" s="210"/>
      <c r="BA26" s="210"/>
      <c r="BB26" s="210"/>
      <c r="BC26" s="210"/>
      <c r="BD26" s="210"/>
    </row>
    <row r="27" spans="12:56" x14ac:dyDescent="0.25">
      <c r="AY27" s="219"/>
      <c r="AZ27" s="210"/>
      <c r="BA27" s="210"/>
      <c r="BB27" s="210"/>
      <c r="BC27" s="210"/>
      <c r="BD27" s="210"/>
    </row>
    <row r="28" spans="12:56" x14ac:dyDescent="0.25">
      <c r="AY28" s="219"/>
      <c r="AZ28" s="210"/>
      <c r="BA28" s="210"/>
      <c r="BB28" s="210"/>
      <c r="BC28" s="210"/>
      <c r="BD28" s="210"/>
    </row>
    <row r="29" spans="12:56" x14ac:dyDescent="0.25">
      <c r="AY29" s="219"/>
      <c r="AZ29" s="210"/>
      <c r="BA29" s="210"/>
      <c r="BB29" s="210"/>
      <c r="BC29" s="210"/>
      <c r="BD29" s="210"/>
    </row>
    <row r="30" spans="12:56" x14ac:dyDescent="0.25">
      <c r="AY30" s="210"/>
      <c r="AZ30" s="210"/>
      <c r="BA30" s="210"/>
      <c r="BB30" s="210"/>
      <c r="BC30" s="210"/>
      <c r="BD30" s="210"/>
    </row>
    <row r="31" spans="12:56" x14ac:dyDescent="0.25">
      <c r="AY31" s="210"/>
      <c r="AZ31" s="210"/>
      <c r="BA31" s="210"/>
      <c r="BB31" s="210"/>
      <c r="BC31" s="210"/>
      <c r="BD31" s="210"/>
    </row>
    <row r="32" spans="12:56" x14ac:dyDescent="0.25">
      <c r="AY32" s="210"/>
      <c r="AZ32" s="210"/>
      <c r="BA32" s="210"/>
      <c r="BB32" s="210"/>
      <c r="BC32" s="210"/>
      <c r="BD32" s="210"/>
    </row>
    <row r="33" spans="11:56" x14ac:dyDescent="0.25">
      <c r="AY33" s="210"/>
      <c r="AZ33" s="210"/>
      <c r="BA33" s="210"/>
      <c r="BB33" s="210"/>
      <c r="BC33" s="210"/>
      <c r="BD33" s="210"/>
    </row>
    <row r="34" spans="11:56" x14ac:dyDescent="0.25">
      <c r="AY34" s="210"/>
      <c r="AZ34" s="210"/>
      <c r="BA34" s="210"/>
      <c r="BB34" s="210"/>
      <c r="BC34" s="210"/>
      <c r="BD34" s="210"/>
    </row>
    <row r="35" spans="11:56" x14ac:dyDescent="0.25">
      <c r="AY35" s="210"/>
      <c r="AZ35" s="210"/>
      <c r="BA35" s="210"/>
      <c r="BB35" s="210"/>
      <c r="BC35" s="210"/>
      <c r="BD35" s="210"/>
    </row>
    <row r="36" spans="11:56" x14ac:dyDescent="0.25">
      <c r="N36" s="211" t="s">
        <v>62</v>
      </c>
      <c r="W36" s="211" t="s">
        <v>62</v>
      </c>
      <c r="AF36" s="211" t="s">
        <v>62</v>
      </c>
      <c r="AO36" s="211" t="s">
        <v>62</v>
      </c>
      <c r="AY36" s="210"/>
      <c r="AZ36" s="210"/>
      <c r="BA36" s="210"/>
      <c r="BB36" s="210"/>
      <c r="BC36" s="210"/>
      <c r="BD36" s="210"/>
    </row>
    <row r="37" spans="11:56" x14ac:dyDescent="0.25">
      <c r="AY37" s="212" t="s">
        <v>240</v>
      </c>
      <c r="AZ37" s="220"/>
      <c r="BA37" s="220"/>
      <c r="BB37" s="220"/>
      <c r="BC37" s="220"/>
      <c r="BD37" s="220"/>
    </row>
    <row r="38" spans="11:56" x14ac:dyDescent="0.25">
      <c r="AY38" s="221"/>
      <c r="AZ38" s="214" t="s">
        <v>34</v>
      </c>
      <c r="BA38" s="214" t="s">
        <v>35</v>
      </c>
      <c r="BB38" s="214" t="s">
        <v>36</v>
      </c>
      <c r="BC38" s="214" t="s">
        <v>37</v>
      </c>
      <c r="BD38" s="220"/>
    </row>
    <row r="39" spans="11:56" x14ac:dyDescent="0.25">
      <c r="AY39" s="215" t="s">
        <v>19</v>
      </c>
      <c r="AZ39" s="216">
        <f>'5. % BY PORTFOLIO'!G51</f>
        <v>0.91666666666666674</v>
      </c>
      <c r="BA39" s="216">
        <f>'5. % BY PORTFOLIO'!N51</f>
        <v>0.9375</v>
      </c>
      <c r="BB39" s="216">
        <f>'5. % BY PORTFOLIO'!U51</f>
        <v>0.9375</v>
      </c>
      <c r="BC39" s="216" t="e">
        <f>'5. % BY PORTFOLIO'!AB51</f>
        <v>#DIV/0!</v>
      </c>
      <c r="BD39" s="220"/>
    </row>
    <row r="40" spans="11:56" x14ac:dyDescent="0.25">
      <c r="K40" s="217"/>
      <c r="L40" s="217"/>
      <c r="AY40" s="215" t="s">
        <v>20</v>
      </c>
      <c r="AZ40" s="216">
        <f>'5. % BY PORTFOLIO'!G54</f>
        <v>0</v>
      </c>
      <c r="BA40" s="216">
        <f>'5. % BY PORTFOLIO'!N54</f>
        <v>0</v>
      </c>
      <c r="BB40" s="216">
        <f>'5. % BY PORTFOLIO'!U54</f>
        <v>0</v>
      </c>
      <c r="BC40" s="216" t="e">
        <f>'5. % BY PORTFOLIO'!AB54</f>
        <v>#DIV/0!</v>
      </c>
      <c r="BD40" s="220"/>
    </row>
    <row r="41" spans="11:56" x14ac:dyDescent="0.25">
      <c r="K41" s="217"/>
      <c r="L41" s="217"/>
      <c r="AY41" s="215" t="s">
        <v>21</v>
      </c>
      <c r="AZ41" s="216">
        <f>'5. % BY PORTFOLIO'!G58</f>
        <v>8.3333333333333329E-2</v>
      </c>
      <c r="BA41" s="216">
        <f>'5. % BY PORTFOLIO'!N58</f>
        <v>6.25E-2</v>
      </c>
      <c r="BB41" s="216">
        <f>'5. % BY PORTFOLIO'!U58</f>
        <v>6.25E-2</v>
      </c>
      <c r="BC41" s="216" t="e">
        <f>'5. % BY PORTFOLIO'!AB58</f>
        <v>#DIV/0!</v>
      </c>
      <c r="BD41" s="220"/>
    </row>
    <row r="42" spans="11:56" x14ac:dyDescent="0.25">
      <c r="K42" s="217"/>
      <c r="L42" s="217"/>
      <c r="AY42" s="210"/>
      <c r="AZ42" s="210"/>
      <c r="BA42" s="210"/>
      <c r="BB42" s="210"/>
      <c r="BC42" s="210"/>
      <c r="BD42" s="210"/>
    </row>
    <row r="43" spans="11:56" x14ac:dyDescent="0.25">
      <c r="AY43" s="219"/>
      <c r="AZ43" s="210"/>
      <c r="BA43" s="210"/>
      <c r="BB43" s="210"/>
      <c r="BC43" s="210"/>
      <c r="BD43" s="210"/>
    </row>
    <row r="44" spans="11:56" x14ac:dyDescent="0.25">
      <c r="AY44" s="219"/>
      <c r="AZ44" s="210"/>
      <c r="BA44" s="210"/>
      <c r="BB44" s="210"/>
      <c r="BC44" s="210"/>
      <c r="BD44" s="210"/>
    </row>
    <row r="45" spans="11:56" x14ac:dyDescent="0.25">
      <c r="AY45" s="219"/>
      <c r="AZ45" s="210"/>
      <c r="BA45" s="210"/>
      <c r="BB45" s="210"/>
      <c r="BC45" s="210"/>
      <c r="BD45" s="210"/>
    </row>
    <row r="46" spans="11:56" x14ac:dyDescent="0.25">
      <c r="AY46" s="210"/>
      <c r="AZ46" s="210"/>
      <c r="BA46" s="210"/>
      <c r="BB46" s="210"/>
      <c r="BC46" s="210"/>
      <c r="BD46" s="210"/>
    </row>
    <row r="47" spans="11:56" x14ac:dyDescent="0.25">
      <c r="AY47" s="210"/>
      <c r="AZ47" s="210"/>
      <c r="BA47" s="210"/>
      <c r="BB47" s="210"/>
      <c r="BC47" s="210"/>
      <c r="BD47" s="210"/>
    </row>
    <row r="48" spans="11:56" x14ac:dyDescent="0.25">
      <c r="AY48" s="210"/>
      <c r="AZ48" s="210"/>
      <c r="BA48" s="210"/>
      <c r="BB48" s="210"/>
      <c r="BC48" s="210"/>
      <c r="BD48" s="210"/>
    </row>
    <row r="49" spans="12:56" x14ac:dyDescent="0.25">
      <c r="AY49" s="210"/>
      <c r="AZ49" s="210"/>
      <c r="BA49" s="210"/>
      <c r="BB49" s="210"/>
      <c r="BC49" s="210"/>
      <c r="BD49" s="210"/>
    </row>
    <row r="50" spans="12:56" x14ac:dyDescent="0.25">
      <c r="AY50" s="210"/>
      <c r="AZ50" s="210"/>
      <c r="BA50" s="210"/>
      <c r="BB50" s="210"/>
      <c r="BC50" s="210"/>
      <c r="BD50" s="210"/>
    </row>
    <row r="51" spans="12:56" x14ac:dyDescent="0.25">
      <c r="AY51" s="210"/>
      <c r="AZ51" s="210"/>
      <c r="BA51" s="210"/>
      <c r="BB51" s="210"/>
      <c r="BC51" s="210"/>
      <c r="BD51" s="210"/>
    </row>
    <row r="52" spans="12:56" x14ac:dyDescent="0.25">
      <c r="N52" s="211" t="s">
        <v>62</v>
      </c>
      <c r="W52" s="211" t="s">
        <v>62</v>
      </c>
      <c r="AF52" s="211" t="s">
        <v>62</v>
      </c>
      <c r="AO52" s="211" t="s">
        <v>62</v>
      </c>
      <c r="AY52" s="210"/>
      <c r="AZ52" s="210"/>
      <c r="BA52" s="210"/>
      <c r="BB52" s="210"/>
      <c r="BC52" s="210"/>
      <c r="BD52" s="210"/>
    </row>
    <row r="53" spans="12:56" x14ac:dyDescent="0.25">
      <c r="AY53" s="212" t="s">
        <v>241</v>
      </c>
      <c r="AZ53" s="220"/>
      <c r="BA53" s="220"/>
      <c r="BB53" s="220"/>
      <c r="BC53" s="220"/>
      <c r="BD53" s="210"/>
    </row>
    <row r="54" spans="12:56" x14ac:dyDescent="0.25">
      <c r="AY54" s="221"/>
      <c r="AZ54" s="214" t="s">
        <v>34</v>
      </c>
      <c r="BA54" s="214" t="s">
        <v>35</v>
      </c>
      <c r="BB54" s="214" t="s">
        <v>36</v>
      </c>
      <c r="BC54" s="214" t="s">
        <v>37</v>
      </c>
      <c r="BD54" s="210"/>
    </row>
    <row r="55" spans="12:56" x14ac:dyDescent="0.25">
      <c r="AY55" s="215" t="s">
        <v>19</v>
      </c>
      <c r="AZ55" s="216">
        <f>'5. % BY PORTFOLIO'!G73</f>
        <v>0.875</v>
      </c>
      <c r="BA55" s="216">
        <f>'5. % BY PORTFOLIO'!N73</f>
        <v>0.91666666666666674</v>
      </c>
      <c r="BB55" s="216">
        <f>'5. % BY PORTFOLIO'!U73</f>
        <v>0.8666666666666667</v>
      </c>
      <c r="BC55" s="216" t="e">
        <f>'5. % BY PORTFOLIO'!AB73</f>
        <v>#DIV/0!</v>
      </c>
      <c r="BD55" s="210"/>
    </row>
    <row r="56" spans="12:56" x14ac:dyDescent="0.25">
      <c r="L56" s="217"/>
      <c r="M56" s="217"/>
      <c r="AY56" s="215" t="s">
        <v>20</v>
      </c>
      <c r="AZ56" s="216">
        <f>'5. % BY PORTFOLIO'!G76</f>
        <v>0</v>
      </c>
      <c r="BA56" s="216">
        <f>'5. % BY PORTFOLIO'!N76</f>
        <v>0</v>
      </c>
      <c r="BB56" s="216">
        <f>'5. % BY PORTFOLIO'!U76</f>
        <v>6.6666666666666666E-2</v>
      </c>
      <c r="BC56" s="216" t="e">
        <f>'5. % BY PORTFOLIO'!AB76</f>
        <v>#DIV/0!</v>
      </c>
      <c r="BD56" s="210"/>
    </row>
    <row r="57" spans="12:56" x14ac:dyDescent="0.25">
      <c r="L57" s="217"/>
      <c r="M57" s="217"/>
      <c r="AY57" s="215" t="s">
        <v>21</v>
      </c>
      <c r="AZ57" s="216">
        <f>'5. % BY PORTFOLIO'!G80</f>
        <v>0.125</v>
      </c>
      <c r="BA57" s="216">
        <f>'5. % BY PORTFOLIO'!N80</f>
        <v>8.3333333333333329E-2</v>
      </c>
      <c r="BB57" s="216">
        <f>'5. % BY PORTFOLIO'!U80</f>
        <v>6.6666666666666666E-2</v>
      </c>
      <c r="BC57" s="216" t="e">
        <f>'5. % BY PORTFOLIO'!AB80</f>
        <v>#DIV/0!</v>
      </c>
      <c r="BD57" s="210"/>
    </row>
    <row r="58" spans="12:56" x14ac:dyDescent="0.25">
      <c r="L58" s="217"/>
      <c r="M58" s="217"/>
      <c r="AY58" s="210"/>
      <c r="AZ58" s="210"/>
      <c r="BA58" s="210"/>
      <c r="BB58" s="210"/>
      <c r="BC58" s="210"/>
      <c r="BD58" s="210"/>
    </row>
    <row r="59" spans="12:56" x14ac:dyDescent="0.25">
      <c r="AY59" s="219"/>
      <c r="AZ59" s="210"/>
      <c r="BA59" s="210"/>
      <c r="BB59" s="210"/>
      <c r="BC59" s="210"/>
      <c r="BD59" s="210"/>
    </row>
    <row r="60" spans="12:56" x14ac:dyDescent="0.25">
      <c r="AY60" s="219"/>
      <c r="AZ60" s="210"/>
      <c r="BA60" s="210"/>
      <c r="BB60" s="210"/>
      <c r="BC60" s="210"/>
      <c r="BD60" s="210"/>
    </row>
    <row r="61" spans="12:56" x14ac:dyDescent="0.25">
      <c r="AY61" s="219"/>
      <c r="AZ61" s="210"/>
      <c r="BA61" s="210"/>
      <c r="BB61" s="210"/>
      <c r="BC61" s="210"/>
      <c r="BD61" s="210"/>
    </row>
    <row r="62" spans="12:56" x14ac:dyDescent="0.25">
      <c r="AY62" s="210"/>
      <c r="AZ62" s="210"/>
      <c r="BA62" s="210"/>
      <c r="BB62" s="210"/>
      <c r="BC62" s="210"/>
      <c r="BD62" s="210"/>
    </row>
    <row r="63" spans="12:56" x14ac:dyDescent="0.25">
      <c r="AY63" s="210"/>
      <c r="AZ63" s="210"/>
      <c r="BA63" s="210"/>
      <c r="BB63" s="210"/>
      <c r="BC63" s="210"/>
      <c r="BD63" s="210"/>
    </row>
    <row r="64" spans="12:56" x14ac:dyDescent="0.25">
      <c r="AY64" s="210"/>
      <c r="AZ64" s="210"/>
      <c r="BA64" s="210"/>
      <c r="BB64" s="210"/>
      <c r="BC64" s="210"/>
      <c r="BD64" s="210"/>
    </row>
    <row r="65" spans="14:56" x14ac:dyDescent="0.25">
      <c r="AY65" s="210"/>
      <c r="AZ65" s="210"/>
      <c r="BA65" s="210"/>
      <c r="BB65" s="210"/>
      <c r="BC65" s="210"/>
      <c r="BD65" s="210"/>
    </row>
    <row r="66" spans="14:56" x14ac:dyDescent="0.25">
      <c r="AY66" s="210"/>
      <c r="AZ66" s="210"/>
      <c r="BA66" s="210"/>
      <c r="BB66" s="210"/>
      <c r="BC66" s="210"/>
      <c r="BD66" s="210"/>
    </row>
    <row r="68" spans="14:56" x14ac:dyDescent="0.25">
      <c r="N68" s="211" t="s">
        <v>62</v>
      </c>
      <c r="W68" s="211" t="s">
        <v>62</v>
      </c>
      <c r="AF68" s="211" t="s">
        <v>62</v>
      </c>
      <c r="AO68" s="211" t="s">
        <v>62</v>
      </c>
      <c r="AY68" s="210"/>
      <c r="AZ68" s="210"/>
      <c r="BA68" s="210"/>
      <c r="BB68" s="210"/>
      <c r="BC68" s="210"/>
      <c r="BD68" s="210"/>
    </row>
    <row r="69" spans="14:56" x14ac:dyDescent="0.25">
      <c r="AY69" s="212" t="s">
        <v>242</v>
      </c>
      <c r="AZ69" s="220"/>
      <c r="BA69" s="220"/>
      <c r="BB69" s="220"/>
      <c r="BC69" s="220"/>
    </row>
    <row r="70" spans="14:56" x14ac:dyDescent="0.25">
      <c r="AY70" s="221"/>
      <c r="AZ70" s="214" t="s">
        <v>34</v>
      </c>
      <c r="BA70" s="214" t="s">
        <v>35</v>
      </c>
      <c r="BB70" s="214" t="s">
        <v>36</v>
      </c>
      <c r="BC70" s="214" t="s">
        <v>37</v>
      </c>
    </row>
    <row r="71" spans="14:56" x14ac:dyDescent="0.25">
      <c r="AY71" s="215" t="s">
        <v>19</v>
      </c>
      <c r="AZ71" s="216">
        <f>'5. % BY PORTFOLIO'!G95</f>
        <v>1</v>
      </c>
      <c r="BA71" s="216">
        <f>'5. % BY PORTFOLIO'!N95</f>
        <v>1</v>
      </c>
      <c r="BB71" s="216">
        <f>'5. % BY PORTFOLIO'!U95</f>
        <v>1</v>
      </c>
      <c r="BC71" s="216" t="e">
        <f>'5. % BY PORTFOLIO'!AB95</f>
        <v>#DIV/0!</v>
      </c>
    </row>
    <row r="72" spans="14:56" x14ac:dyDescent="0.25">
      <c r="AY72" s="215" t="s">
        <v>20</v>
      </c>
      <c r="AZ72" s="216">
        <f>'5. % BY PORTFOLIO'!G98</f>
        <v>0</v>
      </c>
      <c r="BA72" s="216">
        <f>'5. % BY PORTFOLIO'!N98</f>
        <v>0</v>
      </c>
      <c r="BB72" s="216">
        <f>'5. % BY PORTFOLIO'!U98</f>
        <v>0</v>
      </c>
      <c r="BC72" s="216" t="e">
        <f>'5. % BY PORTFOLIO'!AB98</f>
        <v>#DIV/0!</v>
      </c>
    </row>
    <row r="73" spans="14:56" x14ac:dyDescent="0.25">
      <c r="AY73" s="215" t="s">
        <v>21</v>
      </c>
      <c r="AZ73" s="216">
        <f>'5. % BY PORTFOLIO'!G102</f>
        <v>0</v>
      </c>
      <c r="BA73" s="216">
        <f>'5. % BY PORTFOLIO'!N102</f>
        <v>0</v>
      </c>
      <c r="BB73" s="216">
        <f>'5. % BY PORTFOLIO'!U102</f>
        <v>0</v>
      </c>
      <c r="BC73" s="216" t="e">
        <f>'5. % BY PORTFOLIO'!AB102</f>
        <v>#DIV/0!</v>
      </c>
    </row>
    <row r="84" spans="14:55" x14ac:dyDescent="0.25">
      <c r="N84" s="211" t="s">
        <v>62</v>
      </c>
      <c r="W84" s="211" t="s">
        <v>62</v>
      </c>
      <c r="AF84" s="211" t="s">
        <v>62</v>
      </c>
      <c r="AO84" s="211" t="s">
        <v>62</v>
      </c>
    </row>
    <row r="85" spans="14:55" x14ac:dyDescent="0.25">
      <c r="AY85" s="212" t="s">
        <v>38</v>
      </c>
      <c r="AZ85" s="220"/>
      <c r="BA85" s="220"/>
      <c r="BB85" s="220"/>
      <c r="BC85" s="220"/>
    </row>
    <row r="86" spans="14:55" x14ac:dyDescent="0.25">
      <c r="AY86" s="221"/>
      <c r="AZ86" s="214" t="s">
        <v>34</v>
      </c>
      <c r="BA86" s="214" t="s">
        <v>35</v>
      </c>
      <c r="BB86" s="214" t="s">
        <v>36</v>
      </c>
      <c r="BC86" s="214" t="s">
        <v>37</v>
      </c>
    </row>
    <row r="87" spans="14:55" x14ac:dyDescent="0.25">
      <c r="AY87" s="215" t="s">
        <v>19</v>
      </c>
      <c r="AZ87" s="216">
        <f>'5. % BY PORTFOLIO'!G117</f>
        <v>1</v>
      </c>
      <c r="BA87" s="216">
        <f>'5. % BY PORTFOLIO'!N117</f>
        <v>1</v>
      </c>
      <c r="BB87" s="216">
        <f>'5. % BY PORTFOLIO'!U117</f>
        <v>1</v>
      </c>
      <c r="BC87" s="216" t="e">
        <f>'5. % BY PORTFOLIO'!AB117</f>
        <v>#DIV/0!</v>
      </c>
    </row>
    <row r="88" spans="14:55" x14ac:dyDescent="0.25">
      <c r="AY88" s="215" t="s">
        <v>20</v>
      </c>
      <c r="AZ88" s="216">
        <f>'5. % BY PORTFOLIO'!G120</f>
        <v>0</v>
      </c>
      <c r="BA88" s="216">
        <f>'5. % BY PORTFOLIO'!N120</f>
        <v>0</v>
      </c>
      <c r="BB88" s="216">
        <f>'5. % BY PORTFOLIO'!U120</f>
        <v>0</v>
      </c>
      <c r="BC88" s="216" t="e">
        <f>'5. % BY PORTFOLIO'!AB120</f>
        <v>#DIV/0!</v>
      </c>
    </row>
    <row r="89" spans="14:55" x14ac:dyDescent="0.25">
      <c r="AY89" s="215" t="s">
        <v>21</v>
      </c>
      <c r="AZ89" s="216">
        <f>'5. % BY PORTFOLIO'!G124</f>
        <v>0</v>
      </c>
      <c r="BA89" s="216">
        <f>'5. % BY PORTFOLIO'!N124</f>
        <v>0</v>
      </c>
      <c r="BB89" s="216">
        <f>'5. % BY PORTFOLIO'!U124</f>
        <v>0</v>
      </c>
      <c r="BC89" s="216" t="e">
        <f>'5. % BY PORTFOLIO'!AB124</f>
        <v>#DIV/0!</v>
      </c>
    </row>
    <row r="100" spans="14:55" x14ac:dyDescent="0.25">
      <c r="N100" s="211" t="s">
        <v>62</v>
      </c>
      <c r="W100" s="211" t="s">
        <v>62</v>
      </c>
      <c r="AF100" s="211" t="s">
        <v>62</v>
      </c>
      <c r="AO100" s="211" t="s">
        <v>62</v>
      </c>
    </row>
    <row r="101" spans="14:55" x14ac:dyDescent="0.25">
      <c r="AY101" s="212" t="s">
        <v>268</v>
      </c>
      <c r="AZ101" s="220"/>
      <c r="BA101" s="220"/>
      <c r="BB101" s="220"/>
      <c r="BC101" s="220"/>
    </row>
    <row r="102" spans="14:55" x14ac:dyDescent="0.25">
      <c r="AY102" s="221"/>
      <c r="AZ102" s="214" t="s">
        <v>34</v>
      </c>
      <c r="BA102" s="214" t="s">
        <v>35</v>
      </c>
      <c r="BB102" s="214" t="s">
        <v>36</v>
      </c>
      <c r="BC102" s="214" t="s">
        <v>37</v>
      </c>
    </row>
    <row r="103" spans="14:55" x14ac:dyDescent="0.25">
      <c r="AY103" s="215" t="s">
        <v>19</v>
      </c>
      <c r="AZ103" s="216">
        <f>'5. % BY PORTFOLIO'!G139</f>
        <v>0.90909090909090906</v>
      </c>
      <c r="BA103" s="216">
        <f>'5. % BY PORTFOLIO'!N139</f>
        <v>0.92307692307692313</v>
      </c>
      <c r="BB103" s="216">
        <f>'5. % BY PORTFOLIO'!U139</f>
        <v>0.9285714285714286</v>
      </c>
      <c r="BC103" s="216" t="e">
        <f>'5. % BY PORTFOLIO'!AB139</f>
        <v>#DIV/0!</v>
      </c>
    </row>
    <row r="104" spans="14:55" x14ac:dyDescent="0.25">
      <c r="AY104" s="215" t="s">
        <v>20</v>
      </c>
      <c r="AZ104" s="216">
        <f>'5. % BY PORTFOLIO'!G142</f>
        <v>0</v>
      </c>
      <c r="BA104" s="216">
        <f>'5. % BY PORTFOLIO'!N142</f>
        <v>0</v>
      </c>
      <c r="BB104" s="216">
        <f>'5. % BY PORTFOLIO'!U142</f>
        <v>0</v>
      </c>
      <c r="BC104" s="216" t="e">
        <f>'5. % BY PORTFOLIO'!AB142</f>
        <v>#DIV/0!</v>
      </c>
    </row>
    <row r="105" spans="14:55" x14ac:dyDescent="0.25">
      <c r="AY105" s="215" t="s">
        <v>21</v>
      </c>
      <c r="AZ105" s="216">
        <f>'5. % BY PORTFOLIO'!G146</f>
        <v>9.0909090909090912E-2</v>
      </c>
      <c r="BA105" s="216">
        <f>'5. % BY PORTFOLIO'!N146</f>
        <v>7.6923076923076927E-2</v>
      </c>
      <c r="BB105" s="216">
        <f>'5. % BY PORTFOLIO'!U146</f>
        <v>7.1428571428571425E-2</v>
      </c>
      <c r="BC105" s="216" t="e">
        <f>'5. % BY PORTFOLIO'!AB146</f>
        <v>#DIV/0!</v>
      </c>
    </row>
    <row r="116" spans="14:41" x14ac:dyDescent="0.25">
      <c r="N116" s="211" t="s">
        <v>62</v>
      </c>
      <c r="W116" s="211" t="s">
        <v>62</v>
      </c>
      <c r="AF116" s="211" t="s">
        <v>62</v>
      </c>
      <c r="AO116" s="211"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election activeCell="D6" sqref="D6"/>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3" t="s">
        <v>431</v>
      </c>
      <c r="C2" s="485" t="s">
        <v>19</v>
      </c>
      <c r="D2" s="486"/>
      <c r="E2" s="487" t="s">
        <v>20</v>
      </c>
      <c r="F2" s="488"/>
      <c r="G2" s="489" t="s">
        <v>21</v>
      </c>
      <c r="H2" s="490"/>
    </row>
    <row r="3" spans="1:40" ht="50.25" customHeight="1" thickTop="1" thickBot="1" x14ac:dyDescent="0.3">
      <c r="B3" s="484"/>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PRIORITY'!C6+'3. % BY PRIORITY'!C7</f>
        <v>75</v>
      </c>
      <c r="D5" s="164">
        <f>'3. % BY PRIORITY'!G6</f>
        <v>0.96153846153846156</v>
      </c>
      <c r="E5" s="125">
        <f>'3. % BY PRIORITY'!C9</f>
        <v>0</v>
      </c>
      <c r="F5" s="121">
        <f>'3. % BY PRIORITY'!G9</f>
        <v>0</v>
      </c>
      <c r="G5" s="126">
        <f>'3. % BY PRIORITY'!C13+'3. % BY PRIORITY'!C14</f>
        <v>3</v>
      </c>
      <c r="H5" s="123">
        <f>'3. % BY PRIORITY'!G13</f>
        <v>3.8461538461538464E-2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191</v>
      </c>
      <c r="C7" s="124">
        <f>'3. % BY PRIORITY'!C28+'3. % BY PRIORITY'!C29</f>
        <v>37</v>
      </c>
      <c r="D7" s="164">
        <f>'3. % BY PRIORITY'!G28</f>
        <v>0.94871794871794879</v>
      </c>
      <c r="E7" s="127">
        <f>'3. % BY PRIORITY'!C31</f>
        <v>0</v>
      </c>
      <c r="F7" s="121">
        <f>'3. % BY PRIORITY'!G31</f>
        <v>0</v>
      </c>
      <c r="G7" s="126">
        <f>'3. % BY PRIORITY'!C35+'3. % BY PRIORITY'!C36</f>
        <v>2</v>
      </c>
      <c r="H7" s="123">
        <f>'3. % BY PRIORITY'!G35</f>
        <v>5.128205128205128E-2</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192</v>
      </c>
      <c r="C8" s="124">
        <f>'3. % BY PRIORITY'!C50+'3. % BY PRIORITY'!C51</f>
        <v>11</v>
      </c>
      <c r="D8" s="164">
        <f>'3. % BY PRIORITY'!G50</f>
        <v>0.91666666666666663</v>
      </c>
      <c r="E8" s="127">
        <f>'3. % BY PRIORITY'!C53</f>
        <v>0</v>
      </c>
      <c r="F8" s="121">
        <f>'3. % BY PRIORITY'!G53</f>
        <v>0</v>
      </c>
      <c r="G8" s="126">
        <f>'3. % BY PRIORITY'!C57+'3. % BY PRIORITY'!C58</f>
        <v>1</v>
      </c>
      <c r="H8" s="123">
        <f>'3. % BY PRIORITY'!G57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193</v>
      </c>
      <c r="C9" s="124">
        <f>'3. % BY PRIORITY'!C72+'3. % BY PRIORITY'!C73</f>
        <v>27</v>
      </c>
      <c r="D9" s="164">
        <f>'3. % BY PRIORITY'!G72</f>
        <v>1</v>
      </c>
      <c r="E9" s="127">
        <f>'3. % BY PRIORITY'!C75</f>
        <v>0</v>
      </c>
      <c r="F9" s="121">
        <f>'3. % BY PRIORITY'!G75</f>
        <v>0</v>
      </c>
      <c r="G9" s="126">
        <f>'3. % BY PRIORITY'!C79+'3. % BY PRIORITY'!C80</f>
        <v>0</v>
      </c>
      <c r="H9" s="123">
        <f>'3. % BY PRIORITY'!G79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PORTFOLIO'!C6+'5. % BY PORTFOLIO'!C7</f>
        <v>13</v>
      </c>
      <c r="D11" s="164">
        <f>'5. % BY PORTFOLIO'!G6</f>
        <v>1</v>
      </c>
      <c r="E11" s="127">
        <f>'5. % BY PORTFOLIO'!C9</f>
        <v>0</v>
      </c>
      <c r="F11" s="121">
        <f>'5. % BY PORTFOLIO'!G9</f>
        <v>0</v>
      </c>
      <c r="G11" s="126">
        <f>'5. % BY PORTFOLIO'!C13+'5. % BY PORTFOLIO'!C14</f>
        <v>0</v>
      </c>
      <c r="H11" s="123">
        <f>'5. % BY PORTFOLIO'!G13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PORTFOLIO'!C29+'5. % BY PORTFOLIO'!C30</f>
        <v>10</v>
      </c>
      <c r="D12" s="164">
        <f>'5. % BY PORTFOLIO'!G29</f>
        <v>1</v>
      </c>
      <c r="E12" s="128">
        <f>'5. % BY PORTFOLIO'!C32</f>
        <v>0</v>
      </c>
      <c r="F12" s="121">
        <f>'5. % BY PORTFOLIO'!G32</f>
        <v>0</v>
      </c>
      <c r="G12" s="126">
        <f>'5. % BY PORTFOLIO'!C13+'5. % BY PORTFOLIO'!C14</f>
        <v>0</v>
      </c>
      <c r="H12" s="123">
        <f>'5. % BY PORTFOLIO'!G36</f>
        <v>0</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270</v>
      </c>
      <c r="C13" s="124">
        <f>'5. % BY PORTFOLIO'!C51+'5. % BY PORTFOLIO'!C52</f>
        <v>11</v>
      </c>
      <c r="D13" s="164">
        <f>'5. % BY PORTFOLIO'!G51</f>
        <v>0.91666666666666674</v>
      </c>
      <c r="E13" s="128">
        <f>'5. % BY PORTFOLIO'!C54</f>
        <v>0</v>
      </c>
      <c r="F13" s="121">
        <f>'5. % BY PORTFOLIO'!G54</f>
        <v>0</v>
      </c>
      <c r="G13" s="126">
        <f>'5. % BY PORTFOLIO'!C58+'5. % BY PORTFOLIO'!C59</f>
        <v>1</v>
      </c>
      <c r="H13" s="123">
        <f>'5. % BY PORTFOLIO'!G58</f>
        <v>8.3333333333333329E-2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PORTFOLIO'!C73+'5. % BY PORTFOLIO'!C74</f>
        <v>7</v>
      </c>
      <c r="D14" s="164">
        <f>'5. % BY PORTFOLIO'!G73</f>
        <v>0.875</v>
      </c>
      <c r="E14" s="128">
        <f>'5. % BY PORTFOLIO'!C76</f>
        <v>0</v>
      </c>
      <c r="F14" s="121">
        <f>'5. % BY PORTFOLIO'!G76</f>
        <v>0</v>
      </c>
      <c r="G14" s="126">
        <f>'5. % BY PORTFOLIO'!C80+'5. % BY PORTFOLIO'!C81</f>
        <v>1</v>
      </c>
      <c r="H14" s="123">
        <f>'5. % BY PORTFOLIO'!G80</f>
        <v>0.125</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PORTFOLIO'!C95+'5. % BY PORTFOLIO'!C96</f>
        <v>16</v>
      </c>
      <c r="D15" s="164">
        <f>'5. % BY PORTFOLIO'!G95</f>
        <v>1</v>
      </c>
      <c r="E15" s="128">
        <f>'5. % BY PORTFOLIO'!C98</f>
        <v>0</v>
      </c>
      <c r="F15" s="121">
        <f>'5. % BY PORTFOLIO'!G98</f>
        <v>0</v>
      </c>
      <c r="G15" s="126">
        <f>'5. % BY PORTFOLIO'!C102+'5. % BY PORTFOLIO'!C103</f>
        <v>0</v>
      </c>
      <c r="H15" s="123">
        <f>'5. % BY PORTFOLIO'!G102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PORTFOLIO'!C117+'5. % BY PORTFOLIO'!C118</f>
        <v>8</v>
      </c>
      <c r="D16" s="164">
        <f>'5. % BY PORTFOLIO'!G117</f>
        <v>1</v>
      </c>
      <c r="E16" s="128">
        <f>'5. % BY PORTFOLIO'!C120</f>
        <v>0</v>
      </c>
      <c r="F16" s="121">
        <f>'5. % BY PORTFOLIO'!G120</f>
        <v>0</v>
      </c>
      <c r="G16" s="126">
        <f>'5. % BY PORTFOLIO'!C124+'5. % BY PORTFOLIO'!C125</f>
        <v>0</v>
      </c>
      <c r="H16" s="123">
        <f>'5. % BY PORTFOLIO'!G124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269</v>
      </c>
      <c r="C17" s="124">
        <f>'5. % BY PORTFOLIO'!C139+'5. % BY PORTFOLIO'!C140</f>
        <v>10</v>
      </c>
      <c r="D17" s="164">
        <f>'5. % BY PORTFOLIO'!G139</f>
        <v>0.90909090909090906</v>
      </c>
      <c r="E17" s="128">
        <f>'5. % BY PORTFOLIO'!C142</f>
        <v>0</v>
      </c>
      <c r="F17" s="121">
        <f>'5. % BY PORTFOLIO'!G142</f>
        <v>0</v>
      </c>
      <c r="G17" s="126">
        <f>'5. % BY PORTFOLIO'!C146+'5. % BY PORTFOLIO'!C147</f>
        <v>1</v>
      </c>
      <c r="H17" s="123">
        <f>'5. % BY PORTFOLIO'!G146</f>
        <v>9.0909090909090912E-2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K15" sqref="K15"/>
    </sheetView>
  </sheetViews>
  <sheetFormatPr defaultColWidth="9.140625" defaultRowHeight="15" x14ac:dyDescent="0.25"/>
  <cols>
    <col min="1" max="1" width="9.140625" style="30"/>
    <col min="2" max="2" width="49.5703125" style="23" customWidth="1"/>
    <col min="3" max="3" width="27.140625" style="23" customWidth="1"/>
    <col min="4" max="4" width="27.140625" style="114" customWidth="1"/>
    <col min="5" max="8" width="27.140625" style="23" customWidth="1"/>
    <col min="9" max="40" width="9.140625" style="30"/>
    <col min="41" max="16384" width="9.140625" style="23"/>
  </cols>
  <sheetData>
    <row r="1" spans="1:40" s="30" customFormat="1" ht="33" customHeight="1" thickBot="1" x14ac:dyDescent="0.3">
      <c r="B1" s="33" t="s">
        <v>75</v>
      </c>
      <c r="D1" s="111"/>
    </row>
    <row r="2" spans="1:40" ht="40.5" customHeight="1" thickTop="1" thickBot="1" x14ac:dyDescent="0.3">
      <c r="B2" s="483" t="s">
        <v>432</v>
      </c>
      <c r="C2" s="485" t="s">
        <v>19</v>
      </c>
      <c r="D2" s="486"/>
      <c r="E2" s="487" t="s">
        <v>20</v>
      </c>
      <c r="F2" s="488"/>
      <c r="G2" s="489" t="s">
        <v>21</v>
      </c>
      <c r="H2" s="490"/>
    </row>
    <row r="3" spans="1:40" ht="50.25" customHeight="1" thickTop="1" thickBot="1" x14ac:dyDescent="0.3">
      <c r="B3" s="484"/>
      <c r="C3" s="119" t="s">
        <v>63</v>
      </c>
      <c r="D3" s="113" t="s">
        <v>25</v>
      </c>
      <c r="E3" s="120" t="s">
        <v>63</v>
      </c>
      <c r="F3" s="121" t="s">
        <v>25</v>
      </c>
      <c r="G3" s="122" t="s">
        <v>63</v>
      </c>
      <c r="H3" s="123" t="s">
        <v>25</v>
      </c>
    </row>
    <row r="4" spans="1:40" s="24" customFormat="1" ht="21.75" thickTop="1" thickBot="1" x14ac:dyDescent="0.3">
      <c r="A4" s="31"/>
      <c r="B4" s="109" t="s">
        <v>64</v>
      </c>
      <c r="C4" s="64"/>
      <c r="D4" s="112"/>
      <c r="E4" s="64"/>
      <c r="F4" s="64"/>
      <c r="G4" s="64"/>
      <c r="H4" s="11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7" customFormat="1" ht="37.5" customHeight="1" thickTop="1" thickBot="1" x14ac:dyDescent="0.3">
      <c r="A5" s="106"/>
      <c r="B5" s="115" t="s">
        <v>65</v>
      </c>
      <c r="C5" s="124">
        <f>'3. % BY PRIORITY'!J6+'3. % BY PRIORITY'!J7</f>
        <v>103</v>
      </c>
      <c r="D5" s="164">
        <f>'3. % BY PRIORITY'!N6</f>
        <v>0.96261682242990654</v>
      </c>
      <c r="E5" s="125">
        <f>'3. % BY PRIORITY'!J9</f>
        <v>0</v>
      </c>
      <c r="F5" s="121">
        <f>'3. % BY PRIORITY'!N9</f>
        <v>0</v>
      </c>
      <c r="G5" s="126">
        <f>'3. % BY PRIORITY'!J13+'3. % BY PRIORITY'!J14</f>
        <v>4</v>
      </c>
      <c r="H5" s="123">
        <f>'3. % BY PRIORITY'!N13</f>
        <v>3.7383177570093455E-2</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row>
    <row r="6" spans="1:40" s="107" customFormat="1" ht="21.75" thickTop="1" thickBot="1" x14ac:dyDescent="0.3">
      <c r="A6" s="106"/>
      <c r="B6" s="117" t="s">
        <v>66</v>
      </c>
      <c r="C6" s="108"/>
      <c r="D6" s="165"/>
      <c r="E6" s="108"/>
      <c r="F6" s="165"/>
      <c r="G6" s="108"/>
      <c r="H6" s="16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row>
    <row r="7" spans="1:40" s="107" customFormat="1" ht="37.5" customHeight="1" thickTop="1" thickBot="1" x14ac:dyDescent="0.3">
      <c r="A7" s="106"/>
      <c r="B7" s="115" t="s">
        <v>191</v>
      </c>
      <c r="C7" s="124">
        <f>'3. % BY PRIORITY'!J28+'3. % BY PRIORITY'!J29</f>
        <v>47</v>
      </c>
      <c r="D7" s="164">
        <f>'3. % BY PRIORITY'!N28</f>
        <v>0.94000000000000006</v>
      </c>
      <c r="E7" s="127">
        <f>'3. % BY PRIORITY'!J31</f>
        <v>0</v>
      </c>
      <c r="F7" s="121">
        <f>'3. % BY PRIORITY'!N31</f>
        <v>0</v>
      </c>
      <c r="G7" s="126">
        <f>'3. % BY PRIORITY'!J35+'3. % BY PRIORITY'!J36</f>
        <v>3</v>
      </c>
      <c r="H7" s="123">
        <f>'3. % BY PRIORITY'!N35</f>
        <v>0.06</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row>
    <row r="8" spans="1:40" s="107" customFormat="1" ht="37.5" customHeight="1" thickTop="1" thickBot="1" x14ac:dyDescent="0.3">
      <c r="A8" s="106"/>
      <c r="B8" s="115" t="s">
        <v>192</v>
      </c>
      <c r="C8" s="124">
        <f>'3. % BY PRIORITY'!J50+'3. % BY PRIORITY'!J51</f>
        <v>11</v>
      </c>
      <c r="D8" s="164">
        <f>'3. % BY PRIORITY'!N50</f>
        <v>0.91666666666666663</v>
      </c>
      <c r="E8" s="127">
        <f>'3. % BY PRIORITY'!J53</f>
        <v>0</v>
      </c>
      <c r="F8" s="121">
        <f>'3. % BY PRIORITY'!N53</f>
        <v>0</v>
      </c>
      <c r="G8" s="126">
        <f>'3. % BY PRIORITY'!J57+'3. % BY PRIORITY'!J58</f>
        <v>1</v>
      </c>
      <c r="H8" s="123">
        <f>'3. % BY PRIORITY'!N57</f>
        <v>8.3333333333333329E-2</v>
      </c>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row>
    <row r="9" spans="1:40" s="107" customFormat="1" ht="37.5" customHeight="1" thickTop="1" thickBot="1" x14ac:dyDescent="0.3">
      <c r="A9" s="106"/>
      <c r="B9" s="115" t="s">
        <v>193</v>
      </c>
      <c r="C9" s="124">
        <f>'3. % BY PRIORITY'!J72+'3. % BY PRIORITY'!J73</f>
        <v>45</v>
      </c>
      <c r="D9" s="164">
        <f>'3. % BY PRIORITY'!N72</f>
        <v>1</v>
      </c>
      <c r="E9" s="127">
        <f>'3. % BY PRIORITY'!J75</f>
        <v>0</v>
      </c>
      <c r="F9" s="121">
        <f>'3. % BY PRIORITY'!N75</f>
        <v>0</v>
      </c>
      <c r="G9" s="126">
        <f>'3. % BY PRIORITY'!J79+'3. % BY PRIORITY'!J80</f>
        <v>0</v>
      </c>
      <c r="H9" s="123">
        <f>'3. % BY PRIORITY'!N79</f>
        <v>0</v>
      </c>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row>
    <row r="10" spans="1:40" s="107" customFormat="1" ht="21.75" thickTop="1" thickBot="1" x14ac:dyDescent="0.3">
      <c r="A10" s="106"/>
      <c r="B10" s="117" t="s">
        <v>67</v>
      </c>
      <c r="C10" s="108"/>
      <c r="D10" s="165"/>
      <c r="E10" s="108"/>
      <c r="F10" s="165"/>
      <c r="G10" s="108"/>
      <c r="H10" s="16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row>
    <row r="11" spans="1:40" s="107" customFormat="1" ht="37.5" customHeight="1" thickTop="1" thickBot="1" x14ac:dyDescent="0.3">
      <c r="A11" s="106"/>
      <c r="B11" s="116" t="s">
        <v>77</v>
      </c>
      <c r="C11" s="124">
        <f>'5. % BY PORTFOLIO'!J6+'5. % BY PORTFOLIO'!J7</f>
        <v>15</v>
      </c>
      <c r="D11" s="164">
        <f>'5. % BY PORTFOLIO'!N6</f>
        <v>1</v>
      </c>
      <c r="E11" s="127">
        <f>'5. % BY PORTFOLIO'!J9</f>
        <v>0</v>
      </c>
      <c r="F11" s="121">
        <f>'5. % BY PORTFOLIO'!N9</f>
        <v>0</v>
      </c>
      <c r="G11" s="126">
        <f>'5. % BY PORTFOLIO'!J13+'5. % BY PORTFOLIO'!J14</f>
        <v>0</v>
      </c>
      <c r="H11" s="123">
        <f>'5. % BY PORTFOLIO'!N13</f>
        <v>0</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row>
    <row r="12" spans="1:40" s="107" customFormat="1" ht="37.5" customHeight="1" thickTop="1" thickBot="1" x14ac:dyDescent="0.3">
      <c r="A12" s="106"/>
      <c r="B12" s="116" t="s">
        <v>85</v>
      </c>
      <c r="C12" s="124">
        <f>'5. % BY PORTFOLIO'!J29+'5. % BY PORTFOLIO'!J30</f>
        <v>17</v>
      </c>
      <c r="D12" s="164">
        <f>'5. % BY PORTFOLIO'!N29</f>
        <v>0.94444444444444442</v>
      </c>
      <c r="E12" s="128">
        <f>'5. % BY PORTFOLIO'!J32</f>
        <v>0</v>
      </c>
      <c r="F12" s="121">
        <f>'5. % BY PORTFOLIO'!N32</f>
        <v>0</v>
      </c>
      <c r="G12" s="126">
        <f>'5. % BY PORTFOLIO'!J36+'5. % BY PORTFOLIO'!J37</f>
        <v>1</v>
      </c>
      <c r="H12" s="123">
        <f>'5. % BY PORTFOLIO'!N36</f>
        <v>5.5555555555555552E-2</v>
      </c>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row>
    <row r="13" spans="1:40" s="107" customFormat="1" ht="37.5" customHeight="1" thickTop="1" thickBot="1" x14ac:dyDescent="0.3">
      <c r="A13" s="106"/>
      <c r="B13" s="116" t="s">
        <v>270</v>
      </c>
      <c r="C13" s="124">
        <f>'5. % BY PORTFOLIO'!J51+'5. % BY PORTFOLIO'!J52</f>
        <v>15</v>
      </c>
      <c r="D13" s="164">
        <f>'5. % BY PORTFOLIO'!N51</f>
        <v>0.9375</v>
      </c>
      <c r="E13" s="128">
        <f>'5. % BY PORTFOLIO'!J54</f>
        <v>0</v>
      </c>
      <c r="F13" s="121">
        <f>'5. % BY PORTFOLIO'!N54</f>
        <v>0</v>
      </c>
      <c r="G13" s="126">
        <f>'5. % BY PORTFOLIO'!J58+'5. % BY PORTFOLIO'!J59</f>
        <v>1</v>
      </c>
      <c r="H13" s="123">
        <f>'5. % BY PORTFOLIO'!N58</f>
        <v>6.25E-2</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0" s="107" customFormat="1" ht="37.5" customHeight="1" thickTop="1" thickBot="1" x14ac:dyDescent="0.3">
      <c r="A14" s="106"/>
      <c r="B14" s="116" t="s">
        <v>90</v>
      </c>
      <c r="C14" s="124">
        <f>'5. % BY PORTFOLIO'!J73+'5. % BY PORTFOLIO'!J74</f>
        <v>11</v>
      </c>
      <c r="D14" s="164">
        <f>'5. % BY PORTFOLIO'!N73</f>
        <v>0.91666666666666674</v>
      </c>
      <c r="E14" s="128">
        <f>'5. % BY PORTFOLIO'!J76</f>
        <v>0</v>
      </c>
      <c r="F14" s="121">
        <f>'5. % BY PORTFOLIO'!N76</f>
        <v>0</v>
      </c>
      <c r="G14" s="126">
        <f>'5. % BY PORTFOLIO'!J80+'5. % BY PORTFOLIO'!J81</f>
        <v>1</v>
      </c>
      <c r="H14" s="123">
        <f>'5. % BY PORTFOLIO'!N80</f>
        <v>8.3333333333333329E-2</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row>
    <row r="15" spans="1:40" s="107" customFormat="1" ht="37.5" customHeight="1" thickTop="1" thickBot="1" x14ac:dyDescent="0.3">
      <c r="A15" s="106"/>
      <c r="B15" s="116" t="s">
        <v>92</v>
      </c>
      <c r="C15" s="124">
        <f>'5. % BY PORTFOLIO'!J95+'5. % BY PORTFOLIO'!J96</f>
        <v>20</v>
      </c>
      <c r="D15" s="164">
        <f>'5. % BY PORTFOLIO'!N95</f>
        <v>1</v>
      </c>
      <c r="E15" s="128">
        <f>'5. % BY PORTFOLIO'!J98</f>
        <v>0</v>
      </c>
      <c r="F15" s="121">
        <f>'5. % BY PORTFOLIO'!N98</f>
        <v>0</v>
      </c>
      <c r="G15" s="126">
        <f>'5. % BY PORTFOLIO'!J102+'5. % BY PORTFOLIO'!J103</f>
        <v>0</v>
      </c>
      <c r="H15" s="123">
        <f>'5. % BY PORTFOLIO'!N102</f>
        <v>0</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row>
    <row r="16" spans="1:40" s="107" customFormat="1" ht="37.5" customHeight="1" thickTop="1" thickBot="1" x14ac:dyDescent="0.3">
      <c r="A16" s="106"/>
      <c r="B16" s="116" t="s">
        <v>5</v>
      </c>
      <c r="C16" s="124">
        <f>'5. % BY PORTFOLIO'!J117+'5. % BY PORTFOLIO'!J118</f>
        <v>13</v>
      </c>
      <c r="D16" s="164">
        <f>'5. % BY PORTFOLIO'!N117</f>
        <v>1</v>
      </c>
      <c r="E16" s="128">
        <f>'5. % BY PORTFOLIO'!J120</f>
        <v>0</v>
      </c>
      <c r="F16" s="121">
        <f>'5. % BY PORTFOLIO'!N120</f>
        <v>0</v>
      </c>
      <c r="G16" s="126">
        <f>'5. % BY PORTFOLIO'!J124+'5. % BY PORTFOLIO'!J125</f>
        <v>0</v>
      </c>
      <c r="H16" s="123">
        <f>'5. % BY PORTFOLIO'!N124</f>
        <v>0</v>
      </c>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row>
    <row r="17" spans="1:40" s="107" customFormat="1" ht="37.5" customHeight="1" thickTop="1" thickBot="1" x14ac:dyDescent="0.3">
      <c r="A17" s="106"/>
      <c r="B17" s="116" t="s">
        <v>269</v>
      </c>
      <c r="C17" s="124">
        <f>'5. % BY PORTFOLIO'!J139+'5. % BY PORTFOLIO'!J140</f>
        <v>12</v>
      </c>
      <c r="D17" s="164">
        <f>'5. % BY PORTFOLIO'!N139</f>
        <v>0.92307692307692313</v>
      </c>
      <c r="E17" s="128">
        <f>'5. % BY PORTFOLIO'!J142</f>
        <v>0</v>
      </c>
      <c r="F17" s="121">
        <f>'5. % BY PORTFOLIO'!N142</f>
        <v>0</v>
      </c>
      <c r="G17" s="126">
        <f>'5. % BY PORTFOLIO'!J146+'5. % BY PORTFOLIO'!J147</f>
        <v>1</v>
      </c>
      <c r="H17" s="123">
        <f>'5. % BY PORTFOLIO'!N146</f>
        <v>7.6923076923076927E-2</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row>
    <row r="18" spans="1:40" s="30" customFormat="1" ht="15.75" thickTop="1" x14ac:dyDescent="0.25">
      <c r="D18" s="111"/>
    </row>
    <row r="19" spans="1:40" s="30" customFormat="1" x14ac:dyDescent="0.25">
      <c r="D19" s="111"/>
    </row>
    <row r="20" spans="1:40" s="30" customFormat="1" x14ac:dyDescent="0.25">
      <c r="D20" s="111"/>
    </row>
    <row r="21" spans="1:40" s="30" customFormat="1" x14ac:dyDescent="0.25">
      <c r="D21" s="111"/>
    </row>
    <row r="22" spans="1:40" s="30" customFormat="1" x14ac:dyDescent="0.25">
      <c r="D22" s="111"/>
    </row>
    <row r="23" spans="1:40" s="30" customFormat="1" x14ac:dyDescent="0.25">
      <c r="D23" s="111"/>
    </row>
    <row r="24" spans="1:40" s="30" customFormat="1" x14ac:dyDescent="0.25">
      <c r="D24" s="111"/>
    </row>
    <row r="25" spans="1:40" s="30" customFormat="1" x14ac:dyDescent="0.25">
      <c r="D25" s="111"/>
    </row>
    <row r="26" spans="1:40" s="30" customFormat="1" x14ac:dyDescent="0.25">
      <c r="D26" s="111"/>
    </row>
    <row r="27" spans="1:40" s="30" customFormat="1" x14ac:dyDescent="0.25">
      <c r="D27" s="111"/>
    </row>
    <row r="28" spans="1:40" s="30" customFormat="1" x14ac:dyDescent="0.25">
      <c r="D28" s="111"/>
    </row>
    <row r="29" spans="1:40" s="30" customFormat="1" x14ac:dyDescent="0.25">
      <c r="D29" s="111"/>
    </row>
    <row r="30" spans="1:40" s="30" customFormat="1" x14ac:dyDescent="0.25">
      <c r="D30" s="111"/>
    </row>
    <row r="31" spans="1:40" s="30" customFormat="1" x14ac:dyDescent="0.25">
      <c r="D31" s="111"/>
    </row>
    <row r="32" spans="1:40" s="30" customFormat="1" x14ac:dyDescent="0.25">
      <c r="D32" s="111"/>
    </row>
    <row r="33" spans="4:4" s="30" customFormat="1" x14ac:dyDescent="0.25">
      <c r="D33" s="111"/>
    </row>
    <row r="34" spans="4:4" s="30" customFormat="1" x14ac:dyDescent="0.25">
      <c r="D34" s="111"/>
    </row>
    <row r="35" spans="4:4" s="30" customFormat="1" x14ac:dyDescent="0.25">
      <c r="D35" s="111"/>
    </row>
    <row r="36" spans="4:4" s="30" customFormat="1" x14ac:dyDescent="0.25">
      <c r="D36" s="111"/>
    </row>
    <row r="37" spans="4:4" s="30" customFormat="1" x14ac:dyDescent="0.25">
      <c r="D37" s="111"/>
    </row>
    <row r="38" spans="4:4" s="30" customFormat="1" x14ac:dyDescent="0.25">
      <c r="D38" s="111"/>
    </row>
    <row r="39" spans="4:4" s="30" customFormat="1" x14ac:dyDescent="0.25">
      <c r="D39" s="111"/>
    </row>
    <row r="40" spans="4:4" s="30" customFormat="1" x14ac:dyDescent="0.25">
      <c r="D40" s="111"/>
    </row>
    <row r="41" spans="4:4" s="30" customFormat="1" x14ac:dyDescent="0.25">
      <c r="D41" s="111"/>
    </row>
    <row r="42" spans="4:4" s="30" customFormat="1" x14ac:dyDescent="0.25">
      <c r="D42" s="111"/>
    </row>
    <row r="43" spans="4:4" s="30" customFormat="1" x14ac:dyDescent="0.25">
      <c r="D43" s="111"/>
    </row>
    <row r="44" spans="4:4" s="30" customFormat="1" x14ac:dyDescent="0.25">
      <c r="D44" s="111"/>
    </row>
    <row r="45" spans="4:4" s="30" customFormat="1" x14ac:dyDescent="0.25">
      <c r="D45" s="111"/>
    </row>
    <row r="46" spans="4:4" s="30" customFormat="1" x14ac:dyDescent="0.25">
      <c r="D46" s="111"/>
    </row>
    <row r="47" spans="4:4" s="30" customFormat="1" x14ac:dyDescent="0.25">
      <c r="D47" s="111"/>
    </row>
    <row r="48" spans="4:4" s="30" customFormat="1" x14ac:dyDescent="0.25">
      <c r="D48" s="111"/>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Chris Ebberley</cp:lastModifiedBy>
  <cp:lastPrinted>2017-03-03T16:00:08Z</cp:lastPrinted>
  <dcterms:created xsi:type="dcterms:W3CDTF">2011-03-30T14:03:44Z</dcterms:created>
  <dcterms:modified xsi:type="dcterms:W3CDTF">2019-02-12T11:02:38Z</dcterms:modified>
</cp:coreProperties>
</file>