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Quarter 4 202021\04 CABINET\"/>
    </mc:Choice>
  </mc:AlternateContent>
  <workbookProtection workbookAlgorithmName="SHA-512" workbookHashValue="oIJ5F00NxGeEkt8VZwcOXOvNAikdFhvWph8Xjh81dNaQN0q0SpedDbgrYNuqkFOPlOdRwQWxCJqlw4Af2Q7ciQ==" workbookSaltValue="qTZgBhM0YMXLBxUOGLFZHA==" workbookSpinCount="100000" lockStructure="1"/>
  <bookViews>
    <workbookView xWindow="0" yWindow="0" windowWidth="20496" windowHeight="7752" tabRatio="884" firstSheet="1" activeTab="5"/>
  </bookViews>
  <sheets>
    <sheet name="Index" sheetId="13" state="hidden" r:id="rId1"/>
    <sheet name="1. All Data" sheetId="1" r:id="rId2"/>
    <sheet name="Q1 Summary" sheetId="9" state="hidden" r:id="rId3"/>
    <sheet name="Q2 Summary" sheetId="14" state="hidden" r:id="rId4"/>
    <sheet name="Q3 Summary" sheetId="15" state="hidden" r:id="rId5"/>
    <sheet name="Q4 Summary" sheetId="16" r:id="rId6"/>
    <sheet name="2a. % By Priority" sheetId="5" r:id="rId7"/>
    <sheet name="2b. Charts by Priority" sheetId="6" r:id="rId8"/>
    <sheet name="3a. % by Portfolio" sheetId="7" r:id="rId9"/>
    <sheet name="3b. Charts by Portfolio" sheetId="8" r:id="rId10"/>
    <sheet name="4. Status Tracking" sheetId="10" r:id="rId11"/>
    <sheet name="Sheet1" sheetId="17" r:id="rId12"/>
  </sheets>
  <definedNames>
    <definedName name="_xlnm._FilterDatabase" localSheetId="1" hidden="1">'1. All Data'!$A$2:$AF$111</definedName>
    <definedName name="_Toc382250483" localSheetId="1">'1. All Data'!$B$69</definedName>
    <definedName name="OLE_LINK3" localSheetId="1">'1. All Data'!$D$39</definedName>
    <definedName name="_xlnm.Print_Area" localSheetId="1">'1. All Data'!$A$1:$AF$93</definedName>
    <definedName name="_xlnm.Print_Titles" localSheetId="1">'1. All Data'!$2:$2</definedName>
  </definedNames>
  <calcPr calcId="162913"/>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6" l="1"/>
  <c r="X108" i="7" l="1"/>
  <c r="X107" i="7"/>
  <c r="X106" i="7"/>
  <c r="X105" i="7"/>
  <c r="X103" i="7"/>
  <c r="X102" i="7"/>
  <c r="X100" i="7"/>
  <c r="X99" i="7"/>
  <c r="X98" i="7"/>
  <c r="X96" i="7"/>
  <c r="X95" i="7"/>
  <c r="X64" i="7"/>
  <c r="X63" i="7"/>
  <c r="X62" i="7"/>
  <c r="X61" i="7"/>
  <c r="X59" i="7"/>
  <c r="X58" i="7"/>
  <c r="X56" i="7"/>
  <c r="X55" i="7"/>
  <c r="X54" i="7"/>
  <c r="X52" i="7"/>
  <c r="X51" i="7"/>
  <c r="X14" i="7" l="1"/>
  <c r="Q108" i="7" l="1"/>
  <c r="Q107" i="7"/>
  <c r="Q106" i="7"/>
  <c r="Q105" i="7"/>
  <c r="Q103" i="7"/>
  <c r="Q102" i="7"/>
  <c r="Q98" i="7"/>
  <c r="Q96" i="7"/>
  <c r="Q95" i="7"/>
  <c r="Q64" i="7"/>
  <c r="Q63" i="7"/>
  <c r="Q62" i="7"/>
  <c r="Q61" i="7"/>
  <c r="Q59" i="7"/>
  <c r="Q58" i="7"/>
  <c r="Q54" i="7"/>
  <c r="Q52" i="7"/>
  <c r="Q51" i="7"/>
  <c r="C9" i="5" l="1"/>
  <c r="J9" i="5" l="1"/>
  <c r="C50" i="5"/>
  <c r="C41" i="5"/>
  <c r="C40" i="5"/>
  <c r="C39" i="5"/>
  <c r="C38" i="5"/>
  <c r="C36" i="5"/>
  <c r="C35" i="5"/>
  <c r="C31" i="5"/>
  <c r="C29" i="5"/>
  <c r="C28" i="5"/>
  <c r="C6" i="5" l="1"/>
  <c r="X50" i="5" l="1"/>
  <c r="X14" i="5" l="1"/>
  <c r="X13" i="5"/>
  <c r="X11" i="5"/>
  <c r="X10" i="5"/>
  <c r="X9" i="5"/>
  <c r="X74" i="7" l="1"/>
  <c r="X30" i="7"/>
  <c r="X7" i="7"/>
  <c r="X73" i="5"/>
  <c r="X51" i="5"/>
  <c r="X29" i="5"/>
  <c r="X7" i="5"/>
  <c r="X86" i="7" l="1"/>
  <c r="X85" i="7"/>
  <c r="X84" i="7"/>
  <c r="X83" i="7"/>
  <c r="X81" i="7"/>
  <c r="X80" i="7"/>
  <c r="X78" i="7"/>
  <c r="X77" i="7"/>
  <c r="X76" i="7"/>
  <c r="X73" i="7"/>
  <c r="Q73" i="7"/>
  <c r="X34" i="7"/>
  <c r="X33" i="7"/>
  <c r="X32" i="7"/>
  <c r="Q32" i="7"/>
  <c r="X36" i="7"/>
  <c r="X42" i="7"/>
  <c r="X41" i="7"/>
  <c r="X40" i="7"/>
  <c r="X39" i="7"/>
  <c r="X37" i="7"/>
  <c r="X29" i="7"/>
  <c r="X11" i="7"/>
  <c r="X10" i="7"/>
  <c r="X9" i="7"/>
  <c r="Q9" i="7"/>
  <c r="X13" i="7"/>
  <c r="X19" i="7"/>
  <c r="X18" i="7"/>
  <c r="X17" i="7"/>
  <c r="X16" i="7"/>
  <c r="X6" i="7"/>
  <c r="E11" i="16" l="1"/>
  <c r="G13" i="16"/>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Y34" i="7" l="1"/>
  <c r="Y55" i="7"/>
  <c r="Y77" i="7"/>
  <c r="Y33" i="7"/>
  <c r="Y76" i="7"/>
  <c r="Y98" i="7"/>
  <c r="Y54" i="7"/>
  <c r="Y99" i="7"/>
  <c r="Y32" i="7"/>
  <c r="Y56" i="7"/>
  <c r="Y78" i="7"/>
  <c r="Y100"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C5" i="16"/>
  <c r="X42" i="5"/>
  <c r="Y38" i="5" s="1"/>
  <c r="Z38" i="5" s="1"/>
  <c r="X86" i="5"/>
  <c r="Y73" i="5" s="1"/>
  <c r="C9" i="16"/>
  <c r="X64" i="5"/>
  <c r="Y53" i="5" s="1"/>
  <c r="Z6" i="7" l="1"/>
  <c r="Z58" i="7"/>
  <c r="AA96" i="7"/>
  <c r="AA99" i="7"/>
  <c r="AA100" i="7"/>
  <c r="AA102" i="7"/>
  <c r="AA103" i="7"/>
  <c r="AA98" i="7"/>
  <c r="AA52" i="7"/>
  <c r="AA54" i="7"/>
  <c r="AA55" i="7"/>
  <c r="AA56" i="7"/>
  <c r="X21" i="5"/>
  <c r="AA6" i="5" s="1"/>
  <c r="Y7" i="5"/>
  <c r="Y6" i="5"/>
  <c r="Y50" i="5"/>
  <c r="Y51" i="5"/>
  <c r="AA37" i="7"/>
  <c r="AA32" i="7"/>
  <c r="AA34" i="7"/>
  <c r="AA33" i="7"/>
  <c r="AA73" i="7"/>
  <c r="AA80" i="7"/>
  <c r="AA76" i="7"/>
  <c r="AA77" i="7"/>
  <c r="AA78" i="7"/>
  <c r="AA81" i="7"/>
  <c r="Y58" i="5"/>
  <c r="X65" i="5"/>
  <c r="Y63" i="5"/>
  <c r="Z63" i="5" s="1"/>
  <c r="Y61" i="5"/>
  <c r="Z61" i="5" s="1"/>
  <c r="Y60" i="5"/>
  <c r="Z60" i="5" s="1"/>
  <c r="Y62" i="5"/>
  <c r="Z62" i="5" s="1"/>
  <c r="Y57" i="5"/>
  <c r="Y55" i="5"/>
  <c r="Y54" i="5"/>
  <c r="Z51" i="7"/>
  <c r="AA58" i="7"/>
  <c r="AA29" i="7"/>
  <c r="Z102" i="7"/>
  <c r="AA30" i="7"/>
  <c r="AA36" i="7"/>
  <c r="AA74" i="7"/>
  <c r="AA59" i="7"/>
  <c r="AA51" i="7"/>
  <c r="Z13" i="7"/>
  <c r="Z73" i="7"/>
  <c r="Z76" i="7"/>
  <c r="AA95" i="7"/>
  <c r="Z36" i="7"/>
  <c r="Z29" i="7"/>
  <c r="Z95" i="7"/>
  <c r="Z80" i="7"/>
  <c r="Y11" i="5"/>
  <c r="Z32" i="7"/>
  <c r="X87" i="5"/>
  <c r="Z98" i="7"/>
  <c r="Z9" i="7"/>
  <c r="AA6" i="7"/>
  <c r="AB6" i="7" s="1"/>
  <c r="AA14" i="7"/>
  <c r="AA11" i="7"/>
  <c r="AA13" i="7"/>
  <c r="AA10" i="7"/>
  <c r="AA9" i="7"/>
  <c r="Y72" i="5"/>
  <c r="Z72" i="5" s="1"/>
  <c r="Y13" i="5"/>
  <c r="Z54" i="7"/>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Z53" i="5" l="1"/>
  <c r="AB51" i="7"/>
  <c r="D13" i="16" s="1"/>
  <c r="AB76" i="7"/>
  <c r="AB98" i="7"/>
  <c r="AB54" i="7"/>
  <c r="F13" i="16" s="1"/>
  <c r="AB32" i="7"/>
  <c r="AB9" i="7"/>
  <c r="Z13" i="5"/>
  <c r="AB13" i="7"/>
  <c r="AA50" i="5"/>
  <c r="AA51" i="5"/>
  <c r="AA57" i="5"/>
  <c r="AA58" i="5"/>
  <c r="AA55" i="5"/>
  <c r="AA53" i="5"/>
  <c r="AA54" i="5"/>
  <c r="AA72" i="5"/>
  <c r="AA73" i="5"/>
  <c r="AA75" i="5"/>
  <c r="AA76" i="5"/>
  <c r="AA77" i="5"/>
  <c r="AA80" i="5"/>
  <c r="AA79" i="5"/>
  <c r="Z50" i="5"/>
  <c r="AB58" i="7"/>
  <c r="H13" i="16" s="1"/>
  <c r="Z35" i="5"/>
  <c r="Z9" i="5"/>
  <c r="Z28" i="5"/>
  <c r="Z57" i="5"/>
  <c r="Z6" i="5"/>
  <c r="Z79" i="5"/>
  <c r="Z31" i="5"/>
  <c r="AA29" i="5"/>
  <c r="AA36" i="5"/>
  <c r="AA33" i="5"/>
  <c r="AA31" i="5"/>
  <c r="AA32" i="5"/>
  <c r="AA35" i="5"/>
  <c r="AA14" i="5"/>
  <c r="AA10" i="5"/>
  <c r="AA9" i="5"/>
  <c r="AA13" i="5"/>
  <c r="AA7" i="5"/>
  <c r="AA11" i="5"/>
  <c r="Z75" i="5"/>
  <c r="G5" i="15"/>
  <c r="C5" i="15"/>
  <c r="J53" i="5"/>
  <c r="E8" i="14" s="1"/>
  <c r="J51" i="5"/>
  <c r="E5" i="14"/>
  <c r="J31" i="5"/>
  <c r="E7" i="14" s="1"/>
  <c r="J29" i="5"/>
  <c r="AB31" i="5" l="1"/>
  <c r="AB75" i="5"/>
  <c r="F9" i="16" s="1"/>
  <c r="AB13" i="5"/>
  <c r="AB9" i="5"/>
  <c r="AB72" i="5"/>
  <c r="D9" i="16" s="1"/>
  <c r="AB50" i="5"/>
  <c r="AB53" i="5"/>
  <c r="F8" i="16" s="1"/>
  <c r="AB79" i="5"/>
  <c r="H9" i="16" s="1"/>
  <c r="AB28" i="5"/>
  <c r="D7" i="16" s="1"/>
  <c r="AB57" i="5"/>
  <c r="H8" i="16" s="1"/>
  <c r="AB6" i="5"/>
  <c r="AD6" i="5" s="1"/>
  <c r="C9" i="7"/>
  <c r="F5" i="16" l="1"/>
  <c r="AD9"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D12" i="16" s="1"/>
  <c r="BC7" i="8"/>
  <c r="E15" i="15"/>
  <c r="C15" i="15"/>
  <c r="Q86" i="7"/>
  <c r="Q85" i="7"/>
  <c r="Q84" i="7"/>
  <c r="Q83" i="7"/>
  <c r="Q81" i="7"/>
  <c r="Q80" i="7"/>
  <c r="Q76" i="7"/>
  <c r="E14" i="15" s="1"/>
  <c r="Q74" i="7"/>
  <c r="E13" i="15"/>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18" i="5"/>
  <c r="C17" i="5"/>
  <c r="C16" i="5"/>
  <c r="C14" i="5"/>
  <c r="C13" i="5"/>
  <c r="E5" i="9"/>
  <c r="C7" i="5"/>
  <c r="T14" i="7" l="1"/>
  <c r="T6" i="7"/>
  <c r="U6" i="7" s="1"/>
  <c r="T13" i="7"/>
  <c r="L6" i="7"/>
  <c r="C9" i="15"/>
  <c r="S73" i="7"/>
  <c r="BC24" i="6"/>
  <c r="F7" i="16"/>
  <c r="BC25" i="6"/>
  <c r="H7" i="16"/>
  <c r="C7" i="15"/>
  <c r="G8" i="15"/>
  <c r="G7" i="15"/>
  <c r="BB8" i="8"/>
  <c r="F11" i="15"/>
  <c r="C8" i="15"/>
  <c r="G9" i="15"/>
  <c r="AZ9" i="8"/>
  <c r="E7" i="9"/>
  <c r="E8" i="9"/>
  <c r="AZ8" i="8"/>
  <c r="C5" i="9"/>
  <c r="E9" i="9"/>
  <c r="G9" i="14"/>
  <c r="G7" i="14"/>
  <c r="G8" i="14"/>
  <c r="C5" i="14"/>
  <c r="J20" i="5"/>
  <c r="K9" i="5" s="1"/>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J43" i="5" s="1"/>
  <c r="C42" i="5"/>
  <c r="C43" i="5" s="1"/>
  <c r="U13" i="7" l="1"/>
  <c r="BB9" i="8" s="1"/>
  <c r="R40" i="5"/>
  <c r="S40" i="5" s="1"/>
  <c r="R31" i="5"/>
  <c r="S31" i="5" s="1"/>
  <c r="R19" i="5"/>
  <c r="S19" i="5" s="1"/>
  <c r="Q21" i="5"/>
  <c r="T6" i="5" s="1"/>
  <c r="R16" i="5"/>
  <c r="S16" i="5" s="1"/>
  <c r="R14" i="5"/>
  <c r="BB24" i="8"/>
  <c r="F12" i="15"/>
  <c r="BB57" i="8"/>
  <c r="H14" i="15"/>
  <c r="BB23" i="8"/>
  <c r="D12"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M31" i="5"/>
  <c r="K35" i="5"/>
  <c r="K29" i="5"/>
  <c r="F36" i="5"/>
  <c r="F29" i="5"/>
  <c r="F35" i="5"/>
  <c r="D7" i="5"/>
  <c r="E6" i="5" s="1"/>
  <c r="D9" i="5"/>
  <c r="E9" i="5" s="1"/>
  <c r="C21" i="5"/>
  <c r="D19" i="5"/>
  <c r="E19" i="5" s="1"/>
  <c r="D18" i="5"/>
  <c r="E18" i="5" s="1"/>
  <c r="D16" i="5"/>
  <c r="E16" i="5" s="1"/>
  <c r="D17" i="5"/>
  <c r="E17" i="5" s="1"/>
  <c r="D14" i="5"/>
  <c r="D13" i="5"/>
  <c r="H11" i="15" l="1"/>
  <c r="S6" i="5"/>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N50" i="5" l="1"/>
  <c r="G6" i="5"/>
  <c r="G72" i="5"/>
  <c r="D9" i="9" s="1"/>
  <c r="BB24" i="6"/>
  <c r="F7" i="15"/>
  <c r="BB56" i="6"/>
  <c r="F9" i="15"/>
  <c r="BB40" i="6"/>
  <c r="F8" i="15"/>
  <c r="BB8" i="6"/>
  <c r="F5" i="15"/>
  <c r="U6" i="5"/>
  <c r="U13" i="5"/>
  <c r="H8" i="9"/>
  <c r="AZ40" i="6"/>
  <c r="BA24" i="6"/>
  <c r="F7" i="14"/>
  <c r="BA8" i="6"/>
  <c r="F5" i="14"/>
  <c r="BA40" i="6"/>
  <c r="F8" i="14"/>
  <c r="N13" i="5"/>
  <c r="AZ23" i="6"/>
  <c r="D7" i="9"/>
  <c r="F8" i="9"/>
  <c r="AZ41" i="6"/>
  <c r="G50" i="5"/>
  <c r="AZ57" i="6"/>
  <c r="H9" i="9"/>
  <c r="AZ8" i="6"/>
  <c r="F5" i="9"/>
  <c r="AZ25" i="6"/>
  <c r="H7" i="9"/>
  <c r="AZ56" i="6"/>
  <c r="F9" i="9"/>
  <c r="N6" i="5"/>
  <c r="N79" i="5"/>
  <c r="N72" i="5"/>
  <c r="N57" i="5"/>
  <c r="U50" i="5"/>
  <c r="U57" i="5"/>
  <c r="U35" i="5"/>
  <c r="U79" i="5"/>
  <c r="N28" i="5"/>
  <c r="U72" i="5"/>
  <c r="N35" i="5"/>
  <c r="U28" i="5"/>
  <c r="G13"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<sst xmlns="http://schemas.openxmlformats.org/spreadsheetml/2006/main" count="3279" uniqueCount="1063">
  <si>
    <t>Measures</t>
  </si>
  <si>
    <t>Target 2019/20</t>
  </si>
  <si>
    <t>VFM01</t>
  </si>
  <si>
    <t xml:space="preserve">Set Budget for Council Approval  </t>
  </si>
  <si>
    <t>VFM02</t>
  </si>
  <si>
    <t xml:space="preserve">Achieve Savings Targets as Stated in the Medium Term Financial Strategy </t>
  </si>
  <si>
    <t>VFM03</t>
  </si>
  <si>
    <t xml:space="preserve">Having an approved Statement of Accounts </t>
  </si>
  <si>
    <t>VFM04</t>
  </si>
  <si>
    <t>Responding to Significant Local Government Finance Changes and Assessing the Impact on the Council’s Financial Position</t>
  </si>
  <si>
    <t xml:space="preserve">Activities Throughout the Year Reported in Line with the Timed Responses </t>
  </si>
  <si>
    <t>VFM05</t>
  </si>
  <si>
    <t>VFM06</t>
  </si>
  <si>
    <t>VFM07</t>
  </si>
  <si>
    <t>Continuing to digitise SMARTER services</t>
  </si>
  <si>
    <t>VFM08</t>
  </si>
  <si>
    <t>VFM09</t>
  </si>
  <si>
    <t>VFM10</t>
  </si>
  <si>
    <t>VFM11</t>
  </si>
  <si>
    <t>VFM12</t>
  </si>
  <si>
    <t>VFM13</t>
  </si>
  <si>
    <t>VFM14</t>
  </si>
  <si>
    <t>Increasing Staffing Availability Through Reduced Sickness</t>
  </si>
  <si>
    <t>VFM15</t>
  </si>
  <si>
    <t>Improve On The Average Time To Pay Creditors</t>
  </si>
  <si>
    <t>VFM16</t>
  </si>
  <si>
    <t>Legal and Assets</t>
  </si>
  <si>
    <t>VFM17</t>
  </si>
  <si>
    <t>VFM21</t>
  </si>
  <si>
    <t>VFM23</t>
  </si>
  <si>
    <t>VFM24</t>
  </si>
  <si>
    <t>VFM25</t>
  </si>
  <si>
    <t>Brewhouse, Arts and Town Hall Developments</t>
  </si>
  <si>
    <t>VFM26</t>
  </si>
  <si>
    <t>VFM27</t>
  </si>
  <si>
    <t>VFM28</t>
  </si>
  <si>
    <t>VFM29</t>
  </si>
  <si>
    <t>Further Development of SMARTER working (Waste Collection)</t>
  </si>
  <si>
    <t>VFM30</t>
  </si>
  <si>
    <t>Further Development of SMARTER working  (Street Cleaning)</t>
  </si>
  <si>
    <t>VFM32</t>
  </si>
  <si>
    <t>VFM33</t>
  </si>
  <si>
    <t>Minimise The Number Of Missed Bin Collections</t>
  </si>
  <si>
    <t>Complete responses to Government consultations in line with consultation deadlines</t>
  </si>
  <si>
    <t>Maintaining excellent customer access to services with face-to-face and telephony enquiries</t>
  </si>
  <si>
    <t>VFM40</t>
  </si>
  <si>
    <t>VFM42</t>
  </si>
  <si>
    <t>VFM43</t>
  </si>
  <si>
    <t>VFM44</t>
  </si>
  <si>
    <t>VFM45</t>
  </si>
  <si>
    <t>Continuing to inform and improve Planning awareness with Members</t>
  </si>
  <si>
    <t xml:space="preserve">At least 2 briefings delivered to elected members during the year </t>
  </si>
  <si>
    <t>VFM46</t>
  </si>
  <si>
    <t>VFM47</t>
  </si>
  <si>
    <t xml:space="preserve">Monitor Local Plan Performance </t>
  </si>
  <si>
    <t>VFM48</t>
  </si>
  <si>
    <t>Continue to develop SMARTER working practices for Planning</t>
  </si>
  <si>
    <t>VFM49</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</si>
  <si>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</si>
  <si>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</si>
  <si>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</si>
  <si>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</si>
  <si>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</si>
  <si>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</si>
  <si>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</si>
  <si>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</si>
  <si>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</si>
  <si>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</si>
  <si>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</si>
  <si>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</si>
  <si>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</si>
  <si>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</si>
  <si>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</si>
  <si>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</si>
  <si>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</si>
  <si>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</si>
  <si>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</si>
  <si>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</si>
  <si>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</si>
  <si>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</si>
  <si>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</si>
  <si>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</si>
  <si>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</si>
  <si>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</si>
  <si>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</si>
  <si>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</si>
  <si>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</si>
  <si>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</si>
  <si>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</si>
  <si>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</si>
  <si>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</si>
  <si>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</si>
  <si>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</si>
  <si>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</si>
  <si>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</si>
  <si>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</si>
  <si>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</si>
  <si>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</si>
  <si>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</si>
  <si>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</si>
  <si>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</si>
  <si>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</si>
  <si>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</si>
  <si>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</si>
  <si>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</si>
  <si>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</si>
  <si>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</si>
  <si>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</si>
  <si>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</si>
  <si>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</si>
  <si>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</si>
  <si>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</si>
  <si>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</si>
  <si>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</si>
  <si>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</si>
  <si>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</si>
  <si>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</si>
  <si>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</si>
  <si>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</si>
  <si>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</si>
  <si>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</si>
  <si>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</si>
  <si>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</si>
  <si>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</si>
  <si>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</si>
  <si>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</si>
  <si>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</si>
  <si>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</si>
  <si>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</si>
  <si>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Angela Wakefield</t>
  </si>
  <si>
    <t>James Abbott</t>
  </si>
  <si>
    <t>Leisure Services Contract</t>
  </si>
  <si>
    <t>Assets &amp; Estates</t>
  </si>
  <si>
    <t>Michael Hovers</t>
  </si>
  <si>
    <t>Communities &amp; Open Spaces</t>
  </si>
  <si>
    <t>Paul Farrer</t>
  </si>
  <si>
    <t>Marketing</t>
  </si>
  <si>
    <t>Nathan Gallagher</t>
  </si>
  <si>
    <t>VFM35</t>
  </si>
  <si>
    <t>Sarah Richardson</t>
  </si>
  <si>
    <t>Revenues, Benefits &amp; Customer Care</t>
  </si>
  <si>
    <t>Licensing</t>
  </si>
  <si>
    <t>Environmental Health</t>
  </si>
  <si>
    <t>Rachel Liddle</t>
  </si>
  <si>
    <t>Enterprise</t>
  </si>
  <si>
    <t>Thomas Deery</t>
  </si>
  <si>
    <t>Markets</t>
  </si>
  <si>
    <t>Housing Options</t>
  </si>
  <si>
    <t>Brett Atkinson</t>
  </si>
  <si>
    <t>Electoral Services</t>
  </si>
  <si>
    <t>CP order</t>
  </si>
  <si>
    <t>Chloe Brown</t>
  </si>
  <si>
    <t>Brewhouse, Arts &amp; Civic Function Suite</t>
  </si>
  <si>
    <t>Margaret Woolley</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</si>
  <si>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</si>
  <si>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</si>
  <si>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</si>
  <si>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</si>
  <si>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</si>
  <si>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</si>
  <si>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</si>
  <si>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</si>
  <si>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</si>
  <si>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</si>
  <si>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</si>
  <si>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</si>
  <si>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</si>
  <si>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</si>
  <si>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</si>
  <si>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</si>
  <si>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</si>
  <si>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</si>
  <si>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</si>
  <si>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</si>
  <si>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</si>
  <si>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</si>
  <si>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</si>
  <si>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</si>
  <si>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</si>
  <si>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</si>
  <si>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</si>
  <si>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</si>
  <si>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</si>
  <si>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</si>
  <si>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</si>
  <si>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</si>
  <si>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</si>
  <si>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</si>
  <si>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</si>
  <si>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</si>
  <si>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</si>
  <si>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</si>
  <si>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</si>
  <si>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</si>
  <si>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</si>
  <si>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</si>
  <si>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</si>
  <si>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</si>
  <si>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</si>
  <si>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</si>
  <si>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</si>
  <si>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</si>
  <si>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</si>
  <si>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</si>
  <si>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</si>
  <si>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</si>
  <si>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</si>
  <si>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</si>
  <si>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</si>
  <si>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</si>
  <si>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</si>
  <si>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</si>
  <si>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</si>
  <si>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</si>
  <si>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</si>
  <si>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</si>
  <si>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</si>
  <si>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</si>
  <si>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</si>
  <si>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</si>
  <si>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</si>
  <si>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</si>
  <si>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</si>
  <si>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</si>
  <si>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</si>
  <si>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</si>
  <si>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</si>
  <si>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</si>
  <si>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</si>
  <si>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</si>
  <si>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</si>
  <si>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</si>
  <si>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</si>
  <si>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</si>
  <si>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</si>
  <si>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</si>
  <si>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</si>
  <si>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</si>
  <si>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</si>
  <si>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</si>
  <si>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</si>
  <si>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</si>
  <si>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</si>
  <si>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</si>
  <si>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</si>
  <si>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</si>
  <si>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</si>
  <si>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</si>
  <si>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</si>
  <si>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</si>
  <si>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</si>
  <si>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</si>
  <si>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t>Cumulative Annual Outturn 
(NUMERICAL INDICATORS ONLY)</t>
  </si>
  <si>
    <t>End of Year Achieved?
(R/A/G)</t>
  </si>
  <si>
    <t>Daniel Arnold</t>
  </si>
  <si>
    <t xml:space="preserve">Respond to Government Policy Announcements </t>
  </si>
  <si>
    <t xml:space="preserve">VALUE FOR MONEY COUNCIL </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</si>
  <si>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</si>
  <si>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</si>
  <si>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</si>
  <si>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</si>
  <si>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</si>
  <si>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</si>
  <si>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</si>
  <si>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</si>
  <si>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</si>
  <si>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</si>
  <si>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</si>
  <si>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</si>
  <si>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</si>
  <si>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</si>
  <si>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</si>
  <si>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</si>
  <si>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</si>
  <si>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</si>
  <si>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</si>
  <si>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</si>
  <si>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</si>
  <si>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</si>
  <si>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</si>
  <si>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</si>
  <si>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</si>
  <si>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</si>
  <si>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</si>
  <si>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</si>
  <si>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</si>
  <si>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</si>
  <si>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</si>
  <si>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</si>
  <si>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</si>
  <si>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</si>
  <si>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</si>
  <si>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</si>
  <si>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</si>
  <si>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</si>
  <si>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</si>
  <si>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</si>
  <si>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</si>
  <si>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</si>
  <si>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</si>
  <si>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</si>
  <si>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</si>
  <si>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</si>
  <si>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</si>
  <si>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</si>
  <si>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</si>
  <si>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</si>
  <si>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</si>
  <si>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</si>
  <si>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</si>
  <si>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</si>
  <si>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</si>
  <si>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</si>
  <si>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</si>
  <si>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</si>
  <si>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</si>
  <si>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</si>
  <si>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</si>
  <si>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</si>
  <si>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</si>
  <si>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</si>
  <si>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</si>
  <si>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</si>
  <si>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</si>
  <si>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</si>
  <si>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</si>
  <si>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</si>
  <si>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</si>
  <si>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</si>
  <si>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</si>
  <si>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</si>
  <si>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</si>
  <si>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</si>
  <si>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</si>
  <si>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</si>
  <si>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</si>
  <si>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</si>
  <si>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</si>
  <si>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</si>
  <si>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</si>
  <si>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</si>
  <si>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</si>
  <si>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</si>
  <si>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</si>
  <si>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</si>
  <si>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</si>
  <si>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</si>
  <si>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</si>
  <si>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</si>
  <si>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Continue to Improve Financial Resilience</t>
  </si>
  <si>
    <t xml:space="preserve">Compliance with HMRC VAT Digitalisation Requirements </t>
  </si>
  <si>
    <t>Review compliance against CIPFA FM Code of Practice</t>
  </si>
  <si>
    <t>Review and Refresh Financial Regulations</t>
  </si>
  <si>
    <t>Review and Refresh Contract Procedure Rules</t>
  </si>
  <si>
    <t>Undertake a Procurement Exercise for the Council’s Insurance and related support</t>
  </si>
  <si>
    <t xml:space="preserve">Develop Procurement Policy  </t>
  </si>
  <si>
    <t>June 2020</t>
  </si>
  <si>
    <t>Set the MTFS for 2021/22 onwards</t>
  </si>
  <si>
    <t>February 2021</t>
  </si>
  <si>
    <t>Savings targets for 2020/21</t>
  </si>
  <si>
    <t xml:space="preserve">Submit Statement of Accounts to Audit Committee by the earlier Statutory Deadline </t>
  </si>
  <si>
    <t>Prepare for a Corporate ICT refresh</t>
  </si>
  <si>
    <t>Commence Desktop Hardware Renewal</t>
  </si>
  <si>
    <t>Explore opportunities for shared service/income generation</t>
  </si>
  <si>
    <t>Report on ICT income generation</t>
  </si>
  <si>
    <t>Digital Strategy Refreshed and approved</t>
  </si>
  <si>
    <t xml:space="preserve">80% of revised Digital Strategy targets achieved </t>
  </si>
  <si>
    <t>GeoPlaces Gold Standard in ESBC related categories</t>
  </si>
  <si>
    <t>Improved Resilience Planning</t>
  </si>
  <si>
    <t>Review of Rest Centres Complete</t>
  </si>
  <si>
    <t>LGA Peer Review</t>
  </si>
  <si>
    <t>Work with the LGA to deliver a peer review to another council/s to build up to hosting one in East Staffordshire</t>
  </si>
  <si>
    <t>Continue to Maximise Income Through Effective Collection Processes: Reduce Former Years Arrears for Council Tax; NNDR; Sundry Debts</t>
  </si>
  <si>
    <t>Continue to Improve the Ways We Provide Benefits to Those Most in Need:</t>
  </si>
  <si>
    <t>Implement the new Business Rates Rate Relief policy</t>
  </si>
  <si>
    <t xml:space="preserve">Revised Policy implemented </t>
  </si>
  <si>
    <t>April 2020</t>
  </si>
  <si>
    <t xml:space="preserve">Prepare for Universal Credit Managed Migration  </t>
  </si>
  <si>
    <t>Two Member Briefings</t>
  </si>
  <si>
    <t>Continue with SMARTER Waste Review Service 
Two Update Reports with next steps</t>
  </si>
  <si>
    <t xml:space="preserve">Implement the SMARTER Street Cleaning Programme
Update report on IT Management System </t>
  </si>
  <si>
    <t>Essential Procurement Activities</t>
  </si>
  <si>
    <t>Dry Recycling Contract / Garden Waste Contract  Procurement commenced (Options Report)</t>
  </si>
  <si>
    <t>Vehicle Procurement concluded</t>
  </si>
  <si>
    <r>
      <t>Number Of Missed Bin Collections:</t>
    </r>
    <r>
      <rPr>
        <b/>
        <i/>
        <sz val="12"/>
        <color theme="1"/>
        <rFont val="Arial"/>
        <family val="2"/>
      </rPr>
      <t xml:space="preserve"> </t>
    </r>
    <r>
      <rPr>
        <b/>
        <sz val="12"/>
        <color theme="1"/>
        <rFont val="Arial"/>
        <family val="2"/>
      </rPr>
      <t xml:space="preserve">Achieve 99.97% successful bin collections across the Borough </t>
    </r>
  </si>
  <si>
    <t>VFM31</t>
  </si>
  <si>
    <t>Maintain Robust Mechanisms for Contract Managing the Leisure Service Arrangements</t>
  </si>
  <si>
    <t>Report on the performance of the Leisure Operator on a quarterly basis</t>
  </si>
  <si>
    <t>Review Strategic Sport and Leisure Approach in Line with Leisure Services Contract Arrangements</t>
  </si>
  <si>
    <t xml:space="preserve">Undertake a follow-up benchmarking exercise supporting the delivery of the leisure operating contract </t>
  </si>
  <si>
    <t xml:space="preserve">Work with Leisure Operator to Continue to Provide High Quality Sports Facilities </t>
  </si>
  <si>
    <t>Replace the Artificial Turf Pitch at Shobnall Leisure Complex</t>
  </si>
  <si>
    <t>Improve Awareness of Council Services, Venues and Initiatives</t>
  </si>
  <si>
    <t>VFM36</t>
  </si>
  <si>
    <t>Procurement of Grounds Maintenance Contractor</t>
  </si>
  <si>
    <t>Commence the process for the Grounds Maintenance contract retender</t>
  </si>
  <si>
    <t>VFM37</t>
  </si>
  <si>
    <t>Improving Energy Efficiency-Facility Developments</t>
  </si>
  <si>
    <t>VFM38</t>
  </si>
  <si>
    <t xml:space="preserve">Brewhouse, Arts and Town Hall Developments </t>
  </si>
  <si>
    <t>Complete the implementation of a new service delivery model.</t>
  </si>
  <si>
    <t>VFM39</t>
  </si>
  <si>
    <t>New Brewhouse, Arts and Town Hall service strategy document completed</t>
  </si>
  <si>
    <t>Two reports identifying reviews, changes and improvements</t>
  </si>
  <si>
    <t>VFM41</t>
  </si>
  <si>
    <t>Electronic Document Management System Review and recommendation</t>
  </si>
  <si>
    <t>Targeted Planning Committee Briefings - 10 throughout the year</t>
  </si>
  <si>
    <t>Authority Monitoring Report  Prepared</t>
  </si>
  <si>
    <t>Consider review of the Local Plan</t>
  </si>
  <si>
    <t xml:space="preserve">Prepare and publish Infrastructure Funding Statement </t>
  </si>
  <si>
    <t>January 2021</t>
  </si>
  <si>
    <t xml:space="preserve">Review of the Council’s CCTV Provision </t>
  </si>
  <si>
    <t>Preparation of tender documentation for the CCTV Contract Renewal Completed</t>
  </si>
  <si>
    <t>Develop a Code of Practice for the use of Mobile CCTV Camera</t>
  </si>
  <si>
    <t>Improvements for the Hackney Carriage and Private Hire Service</t>
  </si>
  <si>
    <t>Improvement Plan Completed</t>
  </si>
  <si>
    <t>HR &amp; Payroll</t>
  </si>
  <si>
    <t>Communities, Open Spaces &amp; Facilities</t>
  </si>
  <si>
    <t>Civil Enforcement</t>
  </si>
  <si>
    <t>FMU</t>
  </si>
  <si>
    <t>Programmes &amp; Transformation</t>
  </si>
  <si>
    <t>Democratic Services &amp; Emergency Planning</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</si>
  <si>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</si>
  <si>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</si>
  <si>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</si>
  <si>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</si>
  <si>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</si>
  <si>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</si>
  <si>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</si>
  <si>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</si>
  <si>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</si>
  <si>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</si>
  <si>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</si>
  <si>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</si>
  <si>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</si>
  <si>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</si>
  <si>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</si>
  <si>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</si>
  <si>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</si>
  <si>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</si>
  <si>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</si>
  <si>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</si>
  <si>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</si>
  <si>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</si>
  <si>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</si>
  <si>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</si>
  <si>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</si>
  <si>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</si>
  <si>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</si>
  <si>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</si>
  <si>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</si>
  <si>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</si>
  <si>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</si>
  <si>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</si>
  <si>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</si>
  <si>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</si>
  <si>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</si>
  <si>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</si>
  <si>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</si>
  <si>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</si>
  <si>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</si>
  <si>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</si>
  <si>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</si>
  <si>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</si>
  <si>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</si>
  <si>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</si>
  <si>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</si>
  <si>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</si>
  <si>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</si>
  <si>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</si>
  <si>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</si>
  <si>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</si>
  <si>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</si>
  <si>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</si>
  <si>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</si>
  <si>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</si>
  <si>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</si>
  <si>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</si>
  <si>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</si>
  <si>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</si>
  <si>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</si>
  <si>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</si>
  <si>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</si>
  <si>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</si>
  <si>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</si>
  <si>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</si>
  <si>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</si>
  <si>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</si>
  <si>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</si>
  <si>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</si>
  <si>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</si>
  <si>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</si>
  <si>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</si>
  <si>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</si>
  <si>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</si>
  <si>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</si>
  <si>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</si>
  <si>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</si>
  <si>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</si>
  <si>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</si>
  <si>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</si>
  <si>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</si>
  <si>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</si>
  <si>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</si>
  <si>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</si>
  <si>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</si>
  <si>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</si>
  <si>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LCT01</t>
  </si>
  <si>
    <t>LCT02</t>
  </si>
  <si>
    <t>LCT03</t>
  </si>
  <si>
    <t>LCT04</t>
  </si>
  <si>
    <t>LCT05</t>
  </si>
  <si>
    <t>LCT06</t>
  </si>
  <si>
    <t>LCT07</t>
  </si>
  <si>
    <t>LCT08</t>
  </si>
  <si>
    <t>LCT09</t>
  </si>
  <si>
    <t>RPP01</t>
  </si>
  <si>
    <t>RPP02</t>
  </si>
  <si>
    <t>RPP03</t>
  </si>
  <si>
    <t>RPP04</t>
  </si>
  <si>
    <t>RPP05</t>
  </si>
  <si>
    <t>RPP06</t>
  </si>
  <si>
    <t>RPP07</t>
  </si>
  <si>
    <t>RCS01</t>
  </si>
  <si>
    <t>RCS02</t>
  </si>
  <si>
    <t>RCS03</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</si>
  <si>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</si>
  <si>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</si>
  <si>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</si>
  <si>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</si>
  <si>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</si>
  <si>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</si>
  <si>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</si>
  <si>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</si>
  <si>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</si>
  <si>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</si>
  <si>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</si>
  <si>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</si>
  <si>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</si>
  <si>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</si>
  <si>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Corporate Plan 2020/21 - Performance Monitoring Spreadsheet</t>
  </si>
  <si>
    <t>VFM18b</t>
  </si>
  <si>
    <t>VFM18a</t>
  </si>
  <si>
    <t xml:space="preserve">Continue to Maximise Income Through Effective Collection Processes (Previously BVPI9) </t>
  </si>
  <si>
    <t xml:space="preserve">Continue to Maximise Income Through Effective Collection Processes (Previously BVPI10) </t>
  </si>
  <si>
    <t>Collection Rates of 
                  NNDR : 99%</t>
  </si>
  <si>
    <t xml:space="preserve">Collection Rates of 
         Council Tax : 98% </t>
  </si>
  <si>
    <t>VFM19a</t>
  </si>
  <si>
    <t>VFM19b</t>
  </si>
  <si>
    <t>VFM19c</t>
  </si>
  <si>
    <t>VFM20a</t>
  </si>
  <si>
    <t>VFM20b</t>
  </si>
  <si>
    <t>99% of CSC and Telephony Team Enquiries Resolved at First Point of Contact</t>
  </si>
  <si>
    <t>Minimum 75% Telephony Team Calls Answered Within 10 Seconds</t>
  </si>
  <si>
    <t>VFM22b</t>
  </si>
  <si>
    <t>Working Towards the Reduction of Claimant Error Housing Benefit Overpayments (HBOPs)</t>
  </si>
  <si>
    <t>*</t>
  </si>
  <si>
    <t>VALUE FOR MONEY</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</si>
  <si>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</si>
  <si>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</si>
  <si>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</si>
  <si>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</si>
  <si>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</si>
  <si>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</si>
  <si>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</si>
  <si>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</si>
  <si>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</si>
  <si>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</si>
  <si>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</si>
  <si>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</si>
  <si>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</si>
  <si>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</si>
  <si>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</si>
  <si>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</si>
  <si>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</si>
  <si>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</si>
  <si>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</si>
  <si>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</si>
  <si>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</si>
  <si>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</si>
  <si>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</si>
  <si>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</si>
  <si>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</si>
  <si>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</si>
  <si>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</si>
  <si>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</si>
  <si>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</si>
  <si>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</si>
  <si>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</si>
  <si>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</si>
  <si>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</si>
  <si>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</si>
  <si>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</si>
  <si>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</si>
  <si>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</si>
  <si>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</si>
  <si>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</si>
  <si>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</si>
  <si>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</si>
  <si>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</si>
  <si>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</si>
  <si>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</si>
  <si>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</si>
  <si>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</si>
  <si>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</si>
  <si>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</si>
  <si>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</si>
  <si>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</si>
  <si>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</si>
  <si>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</si>
  <si>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</si>
  <si>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</si>
  <si>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</si>
  <si>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</si>
  <si>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</si>
  <si>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</si>
  <si>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</si>
  <si>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</si>
  <si>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</si>
  <si>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</si>
  <si>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</si>
  <si>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</si>
  <si>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</si>
  <si>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</si>
  <si>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</si>
  <si>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</si>
  <si>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</si>
  <si>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</si>
  <si>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</si>
  <si>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</si>
  <si>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</si>
  <si>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</si>
  <si>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</si>
  <si>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</si>
  <si>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</si>
  <si>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</si>
  <si>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</si>
  <si>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</si>
  <si>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</si>
  <si>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</si>
  <si>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</si>
  <si>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</si>
  <si>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</si>
  <si>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</si>
  <si>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</si>
  <si>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</si>
  <si>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</si>
  <si>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</si>
  <si>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</si>
  <si>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</si>
  <si>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</si>
  <si>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</si>
  <si>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</si>
  <si>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</si>
  <si>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</si>
  <si>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</si>
  <si>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</si>
  <si>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</si>
  <si>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</si>
  <si>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</si>
  <si>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</si>
  <si>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</si>
  <si>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</si>
  <si>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</si>
  <si>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</si>
  <si>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</si>
  <si>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Discussions have begun with the project team and external auditor to facilitate this target</t>
  </si>
  <si>
    <t>On target however there will be certain restrictions due to the pandemic</t>
  </si>
  <si>
    <t>Mini competition to appoint insurance broker and agreed process and timescales for procurement of insurer.</t>
  </si>
  <si>
    <t>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t>
  </si>
  <si>
    <t>Work to commence in Quarter 2.</t>
  </si>
  <si>
    <t>Statutory deadlines have been amended due to Covid-19.  This has been moved from 31st July to 30th November and the Council is currently working towards sign-off in September.</t>
  </si>
  <si>
    <t>Options report approved by Cabinet in June 2020.</t>
  </si>
  <si>
    <t>Contract documents being prepared for procurement. Timetable in place.</t>
  </si>
  <si>
    <t>COVID-19 has resulted in a delay in the Government publishing the next stage of consultations for the emerging Environment Bill. A revised timetable is yet to be confirmed.</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</si>
  <si>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</si>
  <si>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</si>
  <si>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</si>
  <si>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</si>
  <si>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Planning Committee Members have received training at the June 2020 Committee. Full Member training will be delivered on the forthcoming Planning White paper</t>
  </si>
  <si>
    <t>Planning Committee Members have received training at the June 2020 Committee. A full programme of training is scheduled for the year. Viability training took place at June meeting. National Forest are scheduled for July and transport for August.</t>
  </si>
  <si>
    <t>Officers have undertaken collection of data</t>
  </si>
  <si>
    <t xml:space="preserve">In progress. </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</si>
  <si>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</si>
  <si>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</si>
  <si>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</si>
  <si>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</si>
  <si>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</si>
  <si>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</si>
  <si>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</si>
  <si>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Awaiting outcome of current situation with COVID-19 before reviewing future strategy of service - it will be unlikely that this is known before the end of the year</t>
  </si>
  <si>
    <t>Awaiting outcome of current situation with COVID-19 and current closure of venues -before reviewing future strategy of service - it will be unlikely that this is known before the end of the year</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</si>
  <si>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</si>
  <si>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</si>
  <si>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</si>
  <si>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Open Spaces and Procurement Teams have held initial discussions regarding the re-tendering of the contract.</t>
  </si>
  <si>
    <t>Work is progressing with options for reviewing service delivery.</t>
  </si>
  <si>
    <t>99.97% successfully collected</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</si>
  <si>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</si>
  <si>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</si>
  <si>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</si>
  <si>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</si>
  <si>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</si>
  <si>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Target is annual. Current collection is 7.51% down on the same period 2019/20. Formal recovery procedures are starting July 2020.</t>
  </si>
  <si>
    <t>Target is annual. Current collection is 0.9% down on the same period 2019/20. Formal recovery procedures are starting July 2020.</t>
  </si>
  <si>
    <t>None</t>
  </si>
  <si>
    <t>The CSCs were closed on 23rd March due to lockdown restrictions imposed by Govt. No date has yet been agreed for their re-opening.</t>
  </si>
  <si>
    <t>5 days</t>
  </si>
  <si>
    <t>Implemented 1st April 2020</t>
  </si>
  <si>
    <t>We await further information from the DWP as to when Managed Migration is likely to be rolled out nationwide.</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</si>
  <si>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</si>
  <si>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</si>
  <si>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</si>
  <si>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</si>
  <si>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</si>
  <si>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 xml:space="preserve">No events or outreach days were organised in quarter 1 due to the Coronavirus outbreak. Due to the current conditions and social distancing, it's unknown if achieving this target will be possible in 2020/21  </t>
  </si>
  <si>
    <t>8 Applications all within time = 100%</t>
  </si>
  <si>
    <t>63 Applications of which 60 in time = 95%</t>
  </si>
  <si>
    <t>124 Applications all within time = 100%</t>
  </si>
  <si>
    <t>Within top quartile based on CLG latest quarter reported.</t>
  </si>
  <si>
    <t>Detailed report on the performance of the Leisure Services contractor (Everyone Active) was presented to CMT, LDL, LAG, LOAG, IAAG and the AVFM Scrutiny Committee during May / June 2020.</t>
  </si>
  <si>
    <t xml:space="preserve">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</si>
  <si>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</si>
  <si>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</si>
  <si>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</si>
  <si>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</si>
  <si>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</si>
  <si>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</si>
  <si>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</si>
  <si>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</si>
  <si>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</si>
  <si>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Standard models identified, pilot group to deploy</t>
  </si>
  <si>
    <t>79%
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t>
  </si>
  <si>
    <t>5.12 days
Claims processing has improved during June now that claims made as a result of the pandemic have reduced to normal levels. We anticipate the number of claims to increase over the coming months as the Govt's furlough scheme is pared back.</t>
  </si>
  <si>
    <t xml:space="preserve"> </t>
  </si>
  <si>
    <t xml:space="preserve">·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
·         Safeguarding training for all Private Hire and Hackney Carriage Drivers
·         The introduction of a formal Verbal Test for new applicants for a Private Hire and Hackney Carriage Drivers Licence and Operators.
·         Also to propose recommendations for Medicals for Private Hire and Hackney Carriage Drivers and
·         Introduce the DBS update service for Private Hire and Hackney Carriage Drivers and Operators </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</si>
  <si>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</si>
  <si>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</si>
  <si>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</si>
  <si>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t>Attend and deliver a minimum of 5 events/outreach days (including Burton Market Place, Indoor shopping centres and Parks/open spaces etc.) to promote Council services in conjunction with partners.</t>
  </si>
  <si>
    <t>Review energy usage in Council owned buildings (e.g. Town Hall, Cemetery etc.) and investigate alternative energy sources.</t>
  </si>
  <si>
    <t>Work has begun on the Code of Practice and a sample will be sent to the external auditor for comment</t>
  </si>
  <si>
    <t xml:space="preserve">Each service has a specific Marketing Plan for 2020/21, although specific performance targets were unable to be added by the deadline due to COVID 19 uncertainties.  </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</si>
  <si>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</si>
  <si>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</si>
  <si>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</si>
  <si>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</si>
  <si>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</si>
  <si>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</si>
  <si>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</si>
  <si>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</si>
  <si>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</si>
  <si>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</si>
  <si>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31st March 2020</t>
  </si>
  <si>
    <t>Current forecast indicates that pressures arising from Covid-19 exceed the additional funding support from Government.</t>
  </si>
  <si>
    <t>Development of the Strategy is underway and is expected to be approved in October.</t>
  </si>
  <si>
    <t>It has been indicated to the Council that the Peer Review programme is not proceeding.</t>
  </si>
  <si>
    <t>Target is annual. Formal recovery procedures are starting July 2020 following suspension during Covid-19 lockdown.</t>
  </si>
  <si>
    <t>Target is annual.</t>
  </si>
  <si>
    <r>
      <t xml:space="preserve">Time Taken to Process Benefit New Claims and Change Events (Previously NI 181)
</t>
    </r>
    <r>
      <rPr>
        <b/>
        <i/>
        <sz val="12"/>
        <rFont val="Arial"/>
        <family val="2"/>
      </rPr>
      <t>5 days</t>
    </r>
  </si>
  <si>
    <r>
      <t xml:space="preserve">% HBOPs recovered during the year; 
</t>
    </r>
    <r>
      <rPr>
        <b/>
        <sz val="12"/>
        <color rgb="FFFF0000"/>
        <rFont val="Arial"/>
        <family val="2"/>
      </rPr>
      <t xml:space="preserve">
</t>
    </r>
    <r>
      <rPr>
        <b/>
        <i/>
        <sz val="12"/>
        <rFont val="Arial"/>
        <family val="2"/>
      </rPr>
      <t>90%</t>
    </r>
  </si>
  <si>
    <r>
      <t xml:space="preserve">% of HBOPS Processed and on Payment Arrangement; 
</t>
    </r>
    <r>
      <rPr>
        <b/>
        <sz val="12"/>
        <color rgb="FFFF0000"/>
        <rFont val="Arial"/>
        <family val="2"/>
      </rPr>
      <t xml:space="preserve">
</t>
    </r>
    <r>
      <rPr>
        <b/>
        <i/>
        <sz val="12"/>
        <rFont val="Arial"/>
        <family val="2"/>
      </rPr>
      <t>90%</t>
    </r>
  </si>
  <si>
    <r>
      <t xml:space="preserve"> % in year HBOPs recovered during the year;
</t>
    </r>
    <r>
      <rPr>
        <b/>
        <i/>
        <sz val="12"/>
        <color theme="1"/>
        <rFont val="Arial"/>
        <family val="2"/>
      </rPr>
      <t>70%</t>
    </r>
  </si>
  <si>
    <t xml:space="preserve">Deferred to the next Corporate Plan year, as there is currently no indication that the necessary Government guidance will be received this year. </t>
  </si>
  <si>
    <t>Target deferred to the next Corporate Plan year, as the enforced closure of the facility has prevented the project from proceeding as planned so completion is now anticipated in 2021/22.</t>
  </si>
  <si>
    <t>VFM22aii</t>
  </si>
  <si>
    <t>VFM22ai</t>
  </si>
  <si>
    <t>30th November 2020</t>
  </si>
  <si>
    <t>Strategy due to be approved by October</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</si>
  <si>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</si>
  <si>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</si>
  <si>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</si>
  <si>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</si>
  <si>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</si>
  <si>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</si>
  <si>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</si>
  <si>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VFM34a</t>
  </si>
  <si>
    <t>VFM34b</t>
  </si>
  <si>
    <t xml:space="preserve">Develop and communicate annual marketing plans for each leisure, culture and tourism service </t>
  </si>
  <si>
    <t>Achieve 85% of these targets by year end</t>
  </si>
  <si>
    <t>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t>
  </si>
  <si>
    <t>Target 2020/21</t>
  </si>
  <si>
    <r>
      <t xml:space="preserve">Former Years Arrears for Council Tax
</t>
    </r>
    <r>
      <rPr>
        <b/>
        <i/>
        <sz val="12"/>
        <rFont val="Arial"/>
        <family val="2"/>
      </rPr>
      <t>£2,500,000 (net of credits, amounts on arrangement and identified write offs)</t>
    </r>
  </si>
  <si>
    <r>
      <t xml:space="preserve">Former Years Arrears for NNDR
</t>
    </r>
    <r>
      <rPr>
        <b/>
        <i/>
        <sz val="12"/>
        <rFont val="Arial"/>
        <family val="2"/>
      </rPr>
      <t>£2,000,000 (net of credits, amounts on arrangement and identified write offs)</t>
    </r>
  </si>
  <si>
    <r>
      <t xml:space="preserve">Current years arrears for sundry debts (older than 90 days)
</t>
    </r>
    <r>
      <rPr>
        <b/>
        <i/>
        <sz val="12"/>
        <rFont val="Arial"/>
        <family val="2"/>
      </rPr>
      <t>£80,000 (net of credits, amounts on arrangement and identified write offs)</t>
    </r>
  </si>
  <si>
    <t>We have joined APSE</t>
  </si>
  <si>
    <t>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t>
  </si>
  <si>
    <t>The LGBCE's final recommendations are due to be published 1st December 2020</t>
  </si>
  <si>
    <t>N/A</t>
  </si>
  <si>
    <t>Target deferred as part of Q1 Review due to ongoing coronavirus situation</t>
  </si>
  <si>
    <t>Target deleted as part of Q1 Review due to ongoing coronavirus situation</t>
  </si>
  <si>
    <t>Naomi Perry</t>
  </si>
  <si>
    <t>Scheduled for implementation in Q3.</t>
  </si>
  <si>
    <t>Completed in Quarter 2.</t>
  </si>
  <si>
    <t>Planning Stage.</t>
  </si>
  <si>
    <t>Many of reforms delayed, however there remains uncertainty in relation to the New Homes Bonus Scheme and Business Rates Reset in respect of the settlement for 2021/22.</t>
  </si>
  <si>
    <t>Not yet due</t>
  </si>
  <si>
    <t>The work on Station Street has continued on programme and remains on target for practical completion to be achieved by the end of October 2020.</t>
  </si>
  <si>
    <t>The preparation for the Polling Place Review is ongoing and will be delivered by the target date.</t>
  </si>
  <si>
    <t>Work has continued on the options for service delivery and a report will be submitted to Cabinet in December</t>
  </si>
  <si>
    <t>IT system installed and hardware for vehicles delivered to site. The next stage is to input baseline data and cleanse.</t>
  </si>
  <si>
    <t>No events or outreach days were organised or attended in quarter two due to the ongoing Coronavirus pandemic, although outreach promotions and activities are planned for quarter three.</t>
  </si>
  <si>
    <t>Ctax collection is 0.38% down on our target for September but this is an improvement of 0.22% compared with the end of August.</t>
  </si>
  <si>
    <t>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t>
  </si>
  <si>
    <t>Pre April 2020 (previous  years) charges raised since 1 April 2020 (current year) total £1.2m, of which £669k was raised in September. These debits are added to the arrears figures brought forward as at 31 March 2020 and change frequently.</t>
  </si>
  <si>
    <t>Burton and Uttoxeter CSCs remain closed. However, Burton CSC will re-open on a reduced scale during October.</t>
  </si>
  <si>
    <t>4.25 days</t>
  </si>
  <si>
    <t>4.76 days</t>
  </si>
  <si>
    <t>Direct Earnings Attachment processes have been re-opened by HMRC following lockdown. We await confirmation from DWP that they will resume collection via DWP benefits shortly.</t>
  </si>
  <si>
    <t>0% April - July</t>
  </si>
  <si>
    <t>Initial meeting held to begin looking at documents but on hold pending report for Council</t>
  </si>
  <si>
    <t xml:space="preserve">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t>
  </si>
  <si>
    <t>Following internal consultation, a draft Housing Strategy is now out to public consultation.</t>
  </si>
  <si>
    <t>Grafton have been refining the list of empty homes to be considered for further enforcement in the forthcoming Cabinet report. An additional 111 properties that have remained empty for 2 years have been contacted with a stage 1 letter.</t>
  </si>
  <si>
    <t>47% - estimated</t>
  </si>
  <si>
    <t>138.86kg - estimated</t>
  </si>
  <si>
    <t>47.5% - estimated</t>
  </si>
  <si>
    <t>276kg - estimated</t>
  </si>
  <si>
    <t>41% - estimated</t>
  </si>
  <si>
    <t>560kg - estimated</t>
  </si>
  <si>
    <t>0.54 days</t>
  </si>
  <si>
    <t>0.72 days</t>
  </si>
  <si>
    <t>2.37 days</t>
  </si>
  <si>
    <t>Uncertainty regarding COVID19 restrictions has seen few enquires for the use of the market hall as an events venue. Ongoing restrictions are likely to place further pressure on the achievement of his target</t>
  </si>
  <si>
    <t>Market Hall data has been supplied for APSE for analysis and benchmarking comparison</t>
  </si>
  <si>
    <t>Plan to be approved by Cabinet in October</t>
  </si>
  <si>
    <t>Procurement process to start from Qtr 3</t>
  </si>
  <si>
    <t>Tier 1 report received and passed to the Environment Agency for assessment</t>
  </si>
  <si>
    <t xml:space="preserve">There were 5 'Key to Key' occasions during this quarter. The average across the 5 moves is 5.2 days, with one move increasing the average at 12 days due to the need to replace white goods. </t>
  </si>
  <si>
    <t>4.7 days</t>
  </si>
  <si>
    <t>The Housing Options Team made 65 initial decisions this quarter, with an average time of 0.0 days.</t>
  </si>
  <si>
    <t>0.35 days</t>
  </si>
  <si>
    <t>0.5 days</t>
  </si>
  <si>
    <t>Report completed for CMT</t>
  </si>
  <si>
    <t>Ongoing partnership work with Staffordshire County Council and the Police for Covid enforcement and compliance in high risk establishments</t>
  </si>
  <si>
    <t>CMT report currently being drafted</t>
  </si>
  <si>
    <t>Report completed and agreed in August 2020</t>
  </si>
  <si>
    <t>The strategy is expected to be approved by Cabinet in October</t>
  </si>
  <si>
    <t>The strategy is due to be approved in October.</t>
  </si>
  <si>
    <t>We are making progress towards our data being rated as Gold Standard and it is expected that we will achieve Gold by the end of the year in line with the current target. A new LLPG system is due to go live in October which will improve the management of the system.</t>
  </si>
  <si>
    <t>Survey commissioned 28th August 2020</t>
  </si>
  <si>
    <t>A report will be considered by Cabinet at its October 2020 meeting.</t>
  </si>
  <si>
    <t>Job fairs are currently being delivered in a different way with targeted supported and 'virtual' job fairs through social media. As such, the work is not taking place in the same way, but is hopefully having the same impact.</t>
  </si>
  <si>
    <t>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t>
  </si>
  <si>
    <t>Work continues with these organisations, with partnerships continuing to develop and grow.</t>
  </si>
  <si>
    <t xml:space="preserve">Review to commence during Quarter 3 to align to Local Resilience Forum flood planning processes. </t>
  </si>
  <si>
    <t>Detailed report on the performance of the Leisure Services contractor (Everyone Active) was presented to CMT, LDL, LAG, LOAG, IAAG and the AVFM Scrutiny Committee during August / September 2020.</t>
  </si>
  <si>
    <t>Focussed compliance checks in high risk premises such as takeaways, licensed premises and warehouses</t>
  </si>
  <si>
    <t xml:space="preserve">SPD has gone to LDL and the groups - to be adopted via EDR in October. </t>
  </si>
  <si>
    <t xml:space="preserve">Consultation draft has been undertaken and final version being prepared for November CMT. </t>
  </si>
  <si>
    <t>Report prepared for October CMT and LDL</t>
  </si>
  <si>
    <t xml:space="preserve">Currently underway </t>
  </si>
  <si>
    <t xml:space="preserve">Full Member briefing took place on 12th October. </t>
  </si>
  <si>
    <t xml:space="preserve">Report currently being prepared </t>
  </si>
  <si>
    <t xml:space="preserve">Report going to full council on 19th October </t>
  </si>
  <si>
    <t>7 Applications all within time = 100%</t>
  </si>
  <si>
    <t>49 Applications of which 45 in time = 92%</t>
  </si>
  <si>
    <t>142 Applications of which 135 in time = 95%</t>
  </si>
  <si>
    <t>Year to date figures are exceeding % MHCLG top quartile</t>
  </si>
  <si>
    <t>As reported in Q1, COVID-19 has resulted in a delay in the Government publishing the next stage of consultations for the emerging Environment Bill. A revised timetable is yet to be confirmed.</t>
  </si>
  <si>
    <t>A number of campaigns were launched in Q2:                                                Open Spaces 'Carry it in Carry it out'       Market Hall 'Be Your Own Boss'                         Brewhouse Reopening                                      Brewhouse 'At Home' virtual activities</t>
  </si>
  <si>
    <t xml:space="preserve">6 briefings have taken place in 2020 to date </t>
  </si>
  <si>
    <t>Completed to be attached to CCTV report</t>
  </si>
  <si>
    <t>2 Virtual Job Fairs</t>
  </si>
  <si>
    <t>The consultants have undertaken a baseline review of Uttoxeter to identify the current functions of the town, its strengths and weaknesses, underlying threats to its future, identification of potential opportunities.
Key local (community, business and political) stakeholders have been engaged and a public consultation process has also been completed.
The consultants will review all aspects of the baseline work and responses from the consultation processes to move forward with the design options. These will be presented to the economic growth project group, before being finalised and presented at Full Council.</t>
  </si>
  <si>
    <t xml:space="preserve">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t>
  </si>
  <si>
    <t xml:space="preserve">Online applications to join the Housing Register launched on 22 September, and early indications are that this project has been a success. Analysis of the data and consideration of the improvement to the customer journey to take place ahead of a report due in the next quarter. </t>
  </si>
  <si>
    <t>Draft strategy for targeting tenants and landlords to check for compliance</t>
  </si>
  <si>
    <t>HMRC have deferred this requirement until April 2021 due to Covid-19 (target date revised to reflect this)</t>
  </si>
  <si>
    <t>The Procurement Policy was approved by Cabinet in September 2020. There was a slight delay in the policy being approved due to additional pressures on resource arising from the necessary response to the COVID-19 situation.</t>
  </si>
  <si>
    <t>Audited Accounts agreed by Approval of Statement of Accounts Committee, subject to finalisation of external audit particularly in relation to the Pension Fund Assurance from Staffordshire County Council's auditors.</t>
  </si>
  <si>
    <t xml:space="preserve">With the CSCs being closed since March, all services have been offered via telephone or online. Operators are also providing support to residents affected by Covid restrictions and isolation to ensure they can access food and support where necessary. </t>
  </si>
  <si>
    <t>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t>
  </si>
  <si>
    <t>• A review of the Hackney Carriage Tariff - report prepared for CMT. Confirmation now received that the meter calibration companies are able to calibrate meters. Awaiting confirmation front testing stations that they are able to test Hackneys on rolling road.
• A review of the Taxi ranks within in the Borough i.e. location and size etc - initial work has begun on where ranks are, what could  be deleted and new ranks implemented subject to consultation with the county council.
• Safeguarding training for all Private Hire and Hackney Carriage Drivers - contact has been made again to begin this process at reduced capacity. Licensing Officers are just awaiting confirmation of costs. 
• The introduction of a formal Verbal Test for new applicants for a Private Hire and Hackney Carriage Drivers Licence as well as Operators.- Implemented
• Also to propose recommendations for Medicals for Private Hire and Hackney Carriage Drivers and - Implemented we have now confirmed that All Saints Surgery are able to offer driver medicals to applicants. 
• Introduce the Disclosure and Barring Service (DBS) update service for Private Hire and Hackney Carriage Drivers and Operators - Implemented.</t>
  </si>
  <si>
    <t>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t>
  </si>
  <si>
    <t>105 on time out of 112 = 93.75%</t>
  </si>
  <si>
    <t>259 out of 266 = 97.37%</t>
  </si>
  <si>
    <t>Target deferred as part of Q1 Review due to  coronavirus situation.</t>
  </si>
  <si>
    <t xml:space="preserve">Government feedback in relation to Stronger Towns Fund not expected until March/April 2021 due to ongoing impact of Covid-19. </t>
  </si>
  <si>
    <t>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t>
  </si>
  <si>
    <t>Support is being provided to another organisation regarding their future service delivery options. A report will be provided by the end of Q4.</t>
  </si>
  <si>
    <t>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t>
  </si>
  <si>
    <t>Draft strategy complete and shared with HoS. The strategy will feed into the new service delivery plans as described in VFM38.</t>
  </si>
  <si>
    <t>As per Quarter 2 report, this target has been deferred to allow for the outcome of the Stronger Towns work to be factored in to the long term service delivery approach</t>
  </si>
  <si>
    <t>The prep of tender documents is currently delayed due to a review of the CCTV provision</t>
  </si>
  <si>
    <t>Code of Practice (working procedure for officers) has been produce and is currently being used</t>
  </si>
  <si>
    <t>All areas are currently on target to be achieved.</t>
  </si>
  <si>
    <t>Completed a total of 6x initiatives. Q3 were Horninglow / The Kingfisher Trail / Eton / Branston. Contact has been made with 51 schools including providing educational literature based around core topics such as fly-tipping, littering and dog fouling.</t>
  </si>
  <si>
    <t>A new LLPG system went live in Q3 which is assisting the management of LLPG. Due to a GeoPlace platform upgrade we have not received a recent rating however officers continue to maintain and improve the data.</t>
  </si>
  <si>
    <t>Work has commenced on the initiatives described in the strategy including the formation of strategic and operational digital groups.</t>
  </si>
  <si>
    <t>The Making Tax Digital Module of Agresso was implemented this Quarter and the first VAT return submitted in accordance with the requirements.</t>
  </si>
  <si>
    <t>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t>
  </si>
  <si>
    <t xml:space="preserve">Procurement concluded in December. Financial appraisal of the procurement options undertaken by external consultants to support decision. Report scheduled for January Cabinet. </t>
  </si>
  <si>
    <t>Government has now indicated that the next round of consultations should be published in March/April 2021.</t>
  </si>
  <si>
    <t>Baseline data continues to be gathered and input into the system.</t>
  </si>
  <si>
    <t>0% Aug - Nov</t>
  </si>
  <si>
    <t>0% Aug- Nov</t>
  </si>
  <si>
    <t>Currently on target to exceed 85% by the end of the 2020/21 year.</t>
  </si>
  <si>
    <t>8 days</t>
  </si>
  <si>
    <t>39.52% - estimated as not all data received</t>
  </si>
  <si>
    <t>133.04kg - estimated as not all data received</t>
  </si>
  <si>
    <t>43.27% - estimated</t>
  </si>
  <si>
    <t>535kg - estimated</t>
  </si>
  <si>
    <t>4.57 days</t>
  </si>
  <si>
    <t>The Station Street works have practically completed.</t>
  </si>
  <si>
    <t>A planning application has now been submitted, which will be considered during Q4.</t>
  </si>
  <si>
    <t>The Town Investment Plan was submitted in December 2020. The Town Deal Board is currently awaiting the outcome of the submission, anticipated during Q4.</t>
  </si>
  <si>
    <t>An update was presented to Cabinet in October 2020.</t>
  </si>
  <si>
    <t>The Uttoxeter Masterplan was approved at a meeting of Full Council in December 2020.</t>
  </si>
  <si>
    <t>2 virtual jobs fairs</t>
  </si>
  <si>
    <t>It is proposed that the delivery of this programme commences in April 21.</t>
  </si>
  <si>
    <t>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t>
  </si>
  <si>
    <t>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t>
  </si>
  <si>
    <t>Partnership working with organisations such as the National Forest and TTTV is ongoing.</t>
  </si>
  <si>
    <t>Issue with Capita report not providing figures, which has been escalated as a fault.</t>
  </si>
  <si>
    <t>13 Applications all within time = 100%</t>
  </si>
  <si>
    <t>60 Applications of which 55 in time = 92%</t>
  </si>
  <si>
    <t>160 Applications of which 157 in time = 98%</t>
  </si>
  <si>
    <t>Year to date figures are equalling % MHCLG top quartile</t>
  </si>
  <si>
    <t>Parks Development Plan written and completed with Cabinet approval given in December</t>
  </si>
  <si>
    <t>The 2nd and 3rd lockdowns have prevented any events from being held during these times. Furthermore, potential organisers are fewer due to the pandemic situation</t>
  </si>
  <si>
    <t>Disabled Facilities Grant Review completed and agreed by Cabinet in December 2020</t>
  </si>
  <si>
    <t>Selective Licensing Review report completed and approved by Cabinet in  November 2020</t>
  </si>
  <si>
    <t>Completed in August 2020</t>
  </si>
  <si>
    <t>Request for deferral pending outcome of Green Paper in relation to Public Procurement Regulations</t>
  </si>
  <si>
    <t>Review delayed due to impact of Covid-19 on staffing resources. Review to be completed as soon as feasible.</t>
  </si>
  <si>
    <t>Cold Weather Funding was secured to top up our existing interim accommodation fund. Early discussion have taken place with the MHCLG with regard to funding for 21/22.</t>
  </si>
  <si>
    <t>Housing 2021 - 24 adopted at Cabinet on 14 December 2020.</t>
  </si>
  <si>
    <t>Report taken forward to LDL on 23 November 2020.</t>
  </si>
  <si>
    <t>3.7 days</t>
  </si>
  <si>
    <t>The Housing Options Team made 71 initial decisions this quarter, with an average time to decision of 0.62 days.</t>
  </si>
  <si>
    <t>0.46 days</t>
  </si>
  <si>
    <t>The Refreshed Digital Strategy was approved by Cabinet in October 2020.</t>
  </si>
  <si>
    <t>Work has commenced on the review, including considering: rest centre operation in a concurrent incident scenario; rest centre capacities and locations; and how locations overlay with flood risk areas.</t>
  </si>
  <si>
    <t>Detailed report on the performance of the Leisure Services contractor (Everyone Active) was presented to CMT, LDL, LAG, LOAG, IAAG and the AVFM Scrutiny Committee during November / December 2020.</t>
  </si>
  <si>
    <t xml:space="preserve">Benchmarking work has commenced and is on track to be finalised in February 2021. Benchmarking work so far includes financial, operational and outcomes based considerations to support the ongoing contract management of the Leisure Services partnership. </t>
  </si>
  <si>
    <t>The LGBCE have indicated they will publish their final recommendations for the Borough in March 2021.</t>
  </si>
  <si>
    <t>Former Portfolio (pre Dec 2020 Cabinet)</t>
  </si>
  <si>
    <t>Leisure, Amenities &amp; Tourism</t>
  </si>
  <si>
    <t>Community &amp; Regulatory Services</t>
  </si>
  <si>
    <t>LEISURE, AMENITIES &amp; TOURISM</t>
  </si>
  <si>
    <t>COMMUNITY &amp; REGULATORY SERVICES</t>
  </si>
  <si>
    <t>Adopted by EDR in October</t>
  </si>
  <si>
    <t>Report produced and presented to CMT and L&amp;DL in October and Cabinet in November 2020</t>
  </si>
  <si>
    <t xml:space="preserve">SPD adopted via EDR in October </t>
  </si>
  <si>
    <t>The Partnership continues to function effectively in securing move on for recipients of the Next Steps Accommodation Programme funded interim accommodation.</t>
  </si>
  <si>
    <t>There were 5 'Key to Key' occasions during this quarter with an average of 4 days.</t>
  </si>
  <si>
    <t>Plan approved by Cabinet in October</t>
  </si>
  <si>
    <t xml:space="preserve">Initial work undertaken focussing on a non-compliant letting agent. This is currently on hold due to Covid. </t>
  </si>
  <si>
    <t>The Leader and Chief Executive briefed on the overall financial outlook. Star Chamber Meetings held during December and the Provisional Financial Settlement received in December.</t>
  </si>
  <si>
    <t>80.97%
Target is annual. Affected by COVID pandemic. However, indications are that performance should be achieved within 5% of the target figure, as current collection is 3.81% down on target figure for 31 December.</t>
  </si>
  <si>
    <t>£2,190,835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</si>
  <si>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£2,140,037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</si>
  <si>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£74,606
Target is annual. Two invoices amounting to £42.5k remain on hold as per Legal Dept request.</t>
  </si>
  <si>
    <t>100%
Burton CSC opened between 12 Oct and 5 Nov. Both CSCs remain closed for the time being.</t>
  </si>
  <si>
    <t xml:space="preserve">71%
Impact of Waste Management's crackdown on contaminated bins caused an increase in calls during Q3. Many of these calls were longer due to the dissatisfaction callers wished to express regarding the service. </t>
  </si>
  <si>
    <t>4.18 days
Full case reviews have started under the DWPs Housing Benefit Accuracy Award initiative. This could impact future performance, depending on the number of cases DWP want us to review.</t>
  </si>
  <si>
    <t>142.8%
Further recovery action re-started in September following DWP relaxation of restrictions on deductions from ongoing benefits and HMRC providing employer information.</t>
  </si>
  <si>
    <t>92.5%
Further recovery action re-started in September following DWP relaxation of restrictions on deductions from ongoing benefits and HMRC providing employer information.</t>
  </si>
  <si>
    <t>Procurement process to start in quarter 4 with Procurement and Open Spaces Teams refining the specification and documentation in Q3 and early Q4.</t>
  </si>
  <si>
    <t>0.55 days</t>
  </si>
  <si>
    <t>1.25 days</t>
  </si>
  <si>
    <t>2 days</t>
  </si>
  <si>
    <t>Published in October</t>
  </si>
  <si>
    <t>A briefing on the planning white paper was held in October</t>
  </si>
  <si>
    <t>Published in December</t>
  </si>
  <si>
    <t>Reported to Full Council on 19th October 2020</t>
  </si>
  <si>
    <t>61.70%
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t>
  </si>
  <si>
    <t xml:space="preserve">The LGBCE have opened an additional phase of public consultation in their review of the Council's electoral arrangements. This period of consultation started 1st December 2020, and closes on 11th January 2021. 
</t>
  </si>
  <si>
    <t>The recording mechanisms for the delivery of the contract have been enhanced to provide a richer data set. Full report to be taken forward in Q4.</t>
  </si>
  <si>
    <t>Increased tonnages due to COVID/lockdown of approx. 8%</t>
  </si>
  <si>
    <t xml:space="preserve">Ongoing partnership work with Staffordshire County Council and Police. Targeted compliance letters sent to warehouses in Centrum 100 area due to high numbers of Covid cases and focussed media posts to increase compliance with covid measures prior to xmas period. </t>
  </si>
  <si>
    <t>Focussed compliance checks in high risk businesses such as takeaways, licensed premises and warehouses</t>
  </si>
  <si>
    <t>Statement of Accounts signed during November following delay due to the audit of the Pension Fund Accounts.</t>
  </si>
  <si>
    <t>External consultants appointed to provide an independent assessment of outsourcing, including a financial appraisal. Report now scheduled for Jan-21</t>
  </si>
  <si>
    <t>Data available on energy usage and research completed on various energy sources. Report with recommendations to be completed in early Q4 in preparation for consideration by Cabinet.</t>
  </si>
  <si>
    <t>Request deferral pending the refresh of the Contract Procedure Rules (see VFM04)</t>
  </si>
  <si>
    <t>Support is being provided to Oadby and Wigston Borough Council regarding their future service delivery options. A report will be provided by the end of quarter 4.</t>
  </si>
  <si>
    <t>Approved by Cabinet in September</t>
  </si>
  <si>
    <t>The LGBCE published its final recommendations on 30th March 2021.</t>
  </si>
  <si>
    <t>Preparations for the Polling District Review have been completed</t>
  </si>
  <si>
    <t>11 days</t>
  </si>
  <si>
    <t>Planning application is now likely to be determined in April/May, which may potentially impact the overall programme risking the target date of phase 2 completion. Preparatory works are underway to offset any potential slippage, such as reviewing the approach to procuring the landscaping works and compiling a tender specification in anticipation of a planning permission being granted.</t>
  </si>
  <si>
    <t>The Town Investment Plan submission was successful and the town has been awarded £22.8m from the Towns Fund programme.</t>
  </si>
  <si>
    <t>3 virtual job fairs</t>
  </si>
  <si>
    <t>A further event was conducted on 27th January 2020.</t>
  </si>
  <si>
    <t>The Council continues to engage strategic tourism partners with regards its regeneration work and is now working with the EA as well on the Brook Hollows restoration project.</t>
  </si>
  <si>
    <t>Second update report on the Partnership considered at LDL on 22 Feb 2021.</t>
  </si>
  <si>
    <t>Application for funding in Rough Sleeping Initiative Year 4 was submitted in March 2021 (EDR No. 275/21). Second update report on rough sleeping considered at LDL on 22 Feb 2021.</t>
  </si>
  <si>
    <t>Annual Contract Performance Report was considered by Cabinet on 15 March 2021.</t>
  </si>
  <si>
    <t xml:space="preserve">One key to key movement has been removed from the calculation as an exception. This is because the licensee had to be removed via the court system, and the property was in an extremely poor condition upon recovering possession. </t>
  </si>
  <si>
    <t>3.6 days</t>
  </si>
  <si>
    <t>Report considered and approved at March 2021 Cabinet</t>
  </si>
  <si>
    <t>Update report considered by LDL</t>
  </si>
  <si>
    <t>0% Dec - Mar</t>
  </si>
  <si>
    <t>0% Dec-Mar</t>
  </si>
  <si>
    <t>Completed August 2020</t>
  </si>
  <si>
    <t>Focussed compliance checks undertaken in high risk businesses. Monthly proactive checks have been undertaken in areas of interest. 287 incidents/outbreaks have been investigated in high risk premises. 549 complaints/enquiries have been investigated or responded to in relation to Covid.</t>
  </si>
  <si>
    <t>Completed December 2020</t>
  </si>
  <si>
    <t>Completed November 2020</t>
  </si>
  <si>
    <t xml:space="preserve">Initial work has been undertaken with Trading Standards alongside compliance work for Covid Compliance. This will continue to be progressed in 2021/22 (EHB17) </t>
  </si>
  <si>
    <t>Collection affected by recovery action being suspended during the year due to Govt restrictions.</t>
  </si>
  <si>
    <t>Both CSCs were closed on 23 March 2020 due to lockdown. Burton CSC re-opened between 12 October and 5 November 2020 and have remained closed since then.</t>
  </si>
  <si>
    <t>4.04 days</t>
  </si>
  <si>
    <t>4.48 days</t>
  </si>
  <si>
    <t>35.96% estimated as not all data received</t>
  </si>
  <si>
    <t>45.10% estimated</t>
  </si>
  <si>
    <t>133kg - estimated as not all data received</t>
  </si>
  <si>
    <t>503kg - estimated</t>
  </si>
  <si>
    <t>The Housing Options Team made 73 initial decisions during the quarter, with an average decision time of 0.00</t>
  </si>
  <si>
    <t>0.34 days</t>
  </si>
  <si>
    <t>The MTFS was approved by Council in February 2021.</t>
  </si>
  <si>
    <t xml:space="preserve">Local Government Finance Reviews largely on hold due to Pandemic.  Response made in respect of proposals to change the Prudential Code. </t>
  </si>
  <si>
    <t>A range of online events, promotions and workshops have been carried out in Q4 including family arts workshops and the distribution of promotional items to partners and businesses in support of the Stay Local campaign.</t>
  </si>
  <si>
    <t>Approved deferral at March 2021 Cabinet awaiting outcome of Green Paper on Public Procurement Regulations.</t>
  </si>
  <si>
    <t>4 Applications all within time = 100%</t>
  </si>
  <si>
    <t>70 Applications all within time = 100%</t>
  </si>
  <si>
    <t>162 Applications of which 160 within time = 99%</t>
  </si>
  <si>
    <t>Exceeded MHCLG top quartile 97%</t>
  </si>
  <si>
    <t>Equalled MHCLG top quartile 95%</t>
  </si>
  <si>
    <t>Equalled MHCLG top quartile 98%</t>
  </si>
  <si>
    <t>The refreshed Digital Strategy was approved by Cabinet in October 2020.</t>
  </si>
  <si>
    <t>Fully achieved</t>
  </si>
  <si>
    <t>Referendum being held on 6th May 2021</t>
  </si>
  <si>
    <t>87% targets achieved</t>
  </si>
  <si>
    <t>5 events delivered</t>
  </si>
  <si>
    <t>Detailed report on the performance of the leisure Services contractor (Everyone Active) was presented to CMT, LDL, LAG, LOAG, IAAG and the AVFM Scrutiny Committee during February / March 2021</t>
  </si>
  <si>
    <t xml:space="preserve">Benchmarking completed during February 2021. The exercise considered : Contract Management Operations Benchmarking and Liaison with Partner Organisations; Sport / Leisure Value for Money ; and The impact of the coronavirus on the leisure services industry. </t>
  </si>
  <si>
    <t>2 events</t>
  </si>
  <si>
    <t>As per Quarter 2 report, this target was deferred to allow for the outcome of the Stronger Towns work to be factored in to the long term service delivery approach</t>
  </si>
  <si>
    <t>Completed</t>
  </si>
  <si>
    <t>Target deferred as part of Q1 Review due to  coronavirus situation</t>
  </si>
  <si>
    <t>The Making Tax Digital Module of Agresso was implemented during Quarter 3 and the first VAT return submitted in accordance with the requirements.</t>
  </si>
  <si>
    <t>Target deleted as part of Q1 Review due to coronavirus situation</t>
  </si>
  <si>
    <t>Target deferred as part of Q1 Review due to coronavirus situation</t>
  </si>
  <si>
    <t>Government consultations on Extended Producer Responsibility and Deposit Return Scheme published in March 2021, with a 12-week response period. 
The consultation on Consistency has yet to be released.</t>
  </si>
  <si>
    <t>A full response will be provided within this timeframe.</t>
  </si>
  <si>
    <t>Grounds Maintenance tender process underway</t>
  </si>
  <si>
    <t>Data has been presented to the Deputy Leader illustrating the energy usage for water, gas and electric. This data demonstrates peak usage times and high user locations. Alongside this were presented a number of possible strategic pathways for the enhancement of buildings to reduce the Council's carbon footprint. The report also advocated a series of possible "quick wins" that can be built into the Climate Change action plan.</t>
  </si>
  <si>
    <t>Completed and in use</t>
  </si>
  <si>
    <t>Parks Development Plan approved at Cabinet in December</t>
  </si>
  <si>
    <t>Review delayed due to impact of Covid-19 on staffing resources.  Due to be completed as soon as possible.</t>
  </si>
  <si>
    <t>Work completed on all properties by 31st March with the exception of a replacement window at 75 Horninglow Road (fitted 26th April 2021) and works to Winshill Medical Centre and Pharmacy (Date TBC)</t>
  </si>
  <si>
    <t>COVID-19 has prevented individuals from booking events at the Market Hall. Despite some nervousness, the road map set out by central government has enabled some organisers to make enquires for booking events in 2021/22 that would have taken place in 20/21</t>
  </si>
  <si>
    <t xml:space="preserve">24 support diagnostics have been registered, there are further engagements that have not yet been quantified, however the target number of 20 has been achieved. </t>
  </si>
  <si>
    <t>There were 5 key to key occasions in the quarter with an average of 3.2 days.</t>
  </si>
  <si>
    <t xml:space="preserve">Ongoing compliance checks in businesses in partnership with Police and County Council. Initiatives undertaken in retailers located in the area of interest (Shobnall/Anglesey/Horninglow); supermarket initiative checking covid compliance; and licensed premises checks. </t>
  </si>
  <si>
    <t>9 focused initiatives were completed across 20/21 with many small pieces of work also completed by the CCE Team as a result of their patrols. Work has continued with schools to provide them with educational materials but this was hampered at the start of quarter 4 due to schools being closed as a result of COVID-19.</t>
  </si>
  <si>
    <t>Following an update to the system used by GeoPlace before Christmas no official rating has been issued. However GeoPlace's dashboard shows that the LLPG data is rated as gold for ESBC related categories.</t>
  </si>
  <si>
    <t>Review has been undertaken of rest centres to ensure provision of a range of facilities continue to be available in the case of an incident. This review included COVID-19 suitability questions, requesting confirmation of floor spaces, capacities etc. The review resulted in a net increase of 3 additional locations (with 1 location temporarily unavailable due to covid impacts). All locations have been mapped onto Resilience Direct to allow overlay against incident specific information (e.g. flood areas) to allow prompt and effective identification of suitable rest centres to be activated when an emergency arises.</t>
  </si>
  <si>
    <t xml:space="preserve">In quarter 3 we delivered a number of online activities and events to engage cultural audiences. We also engaged local residents and business in the 'Stay Local' campaign.  </t>
  </si>
  <si>
    <t>Target exceeded</t>
  </si>
  <si>
    <t>Strategic and technical support and advice is being provided to Oadby and Wigston Borough Council regarding their future service delivery options. First invoice raised to OWBC in Quarter 4.</t>
  </si>
  <si>
    <t>£83,831
Collection during the year has been affected by the impact of Covid-19 on businesses.</t>
  </si>
  <si>
    <t xml:space="preserve">Recovery of overpayments was suspended during the pandemic, making it doubly difficult to reduce balances outstanding.
This is the first year for this target and we regard the actual performance to be very good, considering these amounts are owed by debtors with little excess income in which to clear the amounts due. </t>
  </si>
  <si>
    <t>The formal procurement exercise was delayed due to the complexities associated with widening the scope to include electronic vehicles and to commission professional advice to help with the detailed analysis of the various funding approaches that were being tested. 
Cabinet resolved to approve the award of the fleet contract to the preferred bidder in February 2021.</t>
  </si>
  <si>
    <t>The CCTV procurement process was put on hold following a Scrutiny report on CCTV at the end of 2020, and the setting of a 21/22 Corporate plan target to bring forward a report on the current CCTV provision (VFM66).</t>
  </si>
  <si>
    <t>1.93 days</t>
  </si>
  <si>
    <t>0.73 days</t>
  </si>
  <si>
    <t>10 briefings delivered</t>
  </si>
  <si>
    <t>Recommendations for two areas of improvement reported to CMT &amp; LDL in March</t>
  </si>
  <si>
    <t>Recommendations reported to CMT &amp; LDL in March.</t>
  </si>
  <si>
    <t>The outturn is 2.25 days when covid is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</si>
</sst>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8" formatCode="&quot;£&quot;#,##0.00;[Red]\-&quot;£&quot;#,##0.00"/>
    <numFmt numFmtId="164" formatCode="mmm\ yyyy"/>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b/>
      <sz val="12"/>
      <color rgb="FFFF0000"/>
      <name val="Arial"/>
      <family val="2"/>
    </font>
    <font>
      <i/>
      <sz val="12"/>
      <color theme="1"/>
      <name val="Arial"/>
      <family val="2"/>
    </font>
    <font>
      <b/>
      <i/>
      <sz val="48"/>
      <color theme="4"/>
      <name val="Arial"/>
      <family val="2"/>
    </font>
    <font>
      <b/>
      <sz val="12"/>
      <color theme="4"/>
      <name val="Arial"/>
      <family val="2"/>
    </font>
    <font>
      <b/>
      <i/>
      <sz val="12"/>
      <name val="Arial"/>
      <family val="2"/>
    </font>
    <font>
      <i/>
      <sz val="12"/>
      <color rgb="FF000000"/>
      <name val="Arial"/>
      <family val="2"/>
    </font>
    <font>
      <sz val="12"/>
      <color rgb="FFFF0000"/>
      <name val="Arial"/>
      <family val="2"/>
    </font>
  </fonts>
  <fills count="2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
      <patternFill patternType="solid">
        <fgColor rgb="FFC00000"/>
        <bgColor indexed="64"/>
      </patternFill>
    </fill>
  </fills>
  <borders count="7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s>
  <cellStyleXfs count="3">
    <xf numFmtId="0" fontId="0" fillId="0" borderId="0"/>
    <xf numFmtId="0" fontId="19" fillId="0" borderId="0" applyNumberFormat="0" applyFill="0" applyBorder="0" applyAlignment="0" applyProtection="0">
      <alignment vertical="top"/>
      <protection locked="0"/>
    </xf>
    <xf numFmtId="0" fontId="41" fillId="0" borderId="0"/>
  </cellStyleXfs>
  <cellXfs count="451">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5" borderId="0" xfId="0" applyFont="1" applyFill="1"/>
    <xf numFmtId="0" fontId="21" fillId="15" borderId="0" xfId="0" applyFont="1" applyFill="1"/>
    <xf numFmtId="9" fontId="21" fillId="15" borderId="0" xfId="0" applyNumberFormat="1" applyFont="1" applyFill="1"/>
    <xf numFmtId="0" fontId="23" fillId="15" borderId="0" xfId="1" applyFont="1" applyFill="1" applyBorder="1" applyAlignment="1" applyProtection="1">
      <alignment horizontal="left"/>
    </xf>
    <xf numFmtId="0" fontId="1" fillId="15" borderId="0" xfId="0" applyFont="1" applyFill="1"/>
    <xf numFmtId="0" fontId="13" fillId="15" borderId="0" xfId="0" applyFont="1" applyFill="1"/>
    <xf numFmtId="0" fontId="23" fillId="15" borderId="0" xfId="1" applyFont="1" applyFill="1" applyBorder="1" applyAlignment="1" applyProtection="1">
      <alignment horizontal="center"/>
    </xf>
    <xf numFmtId="9" fontId="1" fillId="15" borderId="0" xfId="0" applyNumberFormat="1" applyFont="1" applyFill="1"/>
    <xf numFmtId="9" fontId="13" fillId="15" borderId="0" xfId="0" applyNumberFormat="1" applyFont="1" applyFill="1"/>
    <xf numFmtId="10" fontId="13" fillId="15" borderId="0" xfId="0" applyNumberFormat="1" applyFont="1" applyFill="1" applyBorder="1" applyAlignment="1">
      <alignment horizontal="center" vertical="center"/>
    </xf>
    <xf numFmtId="0" fontId="25" fillId="15" borderId="0" xfId="0" applyFont="1" applyFill="1" applyBorder="1"/>
    <xf numFmtId="0" fontId="24" fillId="15" borderId="0" xfId="0" applyFont="1" applyFill="1"/>
    <xf numFmtId="0" fontId="27" fillId="15" borderId="0" xfId="0" applyFont="1" applyFill="1"/>
    <xf numFmtId="9" fontId="14" fillId="15" borderId="0" xfId="0" applyNumberFormat="1" applyFont="1" applyFill="1"/>
    <xf numFmtId="0" fontId="14" fillId="15" borderId="0" xfId="0" applyFont="1" applyFill="1" applyBorder="1"/>
    <xf numFmtId="9" fontId="28" fillId="15" borderId="7" xfId="0" applyNumberFormat="1" applyFont="1" applyFill="1" applyBorder="1" applyAlignment="1">
      <alignment horizontal="center"/>
    </xf>
    <xf numFmtId="0" fontId="28" fillId="15" borderId="7" xfId="0" applyFont="1" applyFill="1" applyBorder="1"/>
    <xf numFmtId="10" fontId="14" fillId="15" borderId="7" xfId="0" applyNumberFormat="1" applyFont="1" applyFill="1" applyBorder="1" applyAlignment="1">
      <alignment horizontal="center" vertical="center"/>
    </xf>
    <xf numFmtId="9" fontId="28" fillId="15" borderId="0" xfId="0" applyNumberFormat="1" applyFont="1" applyFill="1" applyBorder="1" applyAlignment="1">
      <alignment horizontal="center"/>
    </xf>
    <xf numFmtId="0" fontId="29" fillId="15" borderId="0" xfId="0" applyFont="1" applyFill="1" applyBorder="1"/>
    <xf numFmtId="9" fontId="14" fillId="15" borderId="0" xfId="0" applyNumberFormat="1" applyFont="1" applyFill="1" applyBorder="1" applyAlignment="1">
      <alignment horizontal="center" vertical="center"/>
    </xf>
    <xf numFmtId="9" fontId="14" fillId="15" borderId="0" xfId="0" applyNumberFormat="1" applyFont="1" applyFill="1" applyBorder="1"/>
    <xf numFmtId="0" fontId="14" fillId="15" borderId="0" xfId="0" applyFont="1" applyFill="1"/>
    <xf numFmtId="9" fontId="28" fillId="15" borderId="0" xfId="0" applyNumberFormat="1" applyFont="1" applyFill="1"/>
    <xf numFmtId="0" fontId="28" fillId="15" borderId="0" xfId="0" applyFont="1" applyFill="1" applyBorder="1"/>
    <xf numFmtId="9" fontId="19" fillId="7" borderId="0" xfId="1" applyNumberFormat="1" applyFill="1" applyBorder="1" applyAlignment="1" applyProtection="1">
      <alignment horizontal="center" vertical="center"/>
    </xf>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6" xfId="0" applyFont="1" applyFill="1" applyBorder="1" applyAlignment="1">
      <alignment horizontal="center" vertical="center" wrapText="1"/>
    </xf>
    <xf numFmtId="9" fontId="33" fillId="7" borderId="36" xfId="0" applyNumberFormat="1" applyFont="1" applyFill="1" applyBorder="1" applyAlignment="1">
      <alignment horizontal="center" vertical="center" wrapText="1"/>
    </xf>
    <xf numFmtId="0" fontId="33" fillId="7" borderId="37" xfId="0" applyFont="1" applyFill="1" applyBorder="1" applyAlignment="1">
      <alignment horizontal="center" vertical="center" wrapText="1"/>
    </xf>
    <xf numFmtId="10" fontId="33" fillId="7" borderId="38"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9"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40"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41" xfId="0" applyFont="1" applyFill="1" applyBorder="1" applyAlignment="1">
      <alignment horizontal="right" vertical="center" wrapText="1"/>
    </xf>
    <xf numFmtId="0" fontId="35" fillId="7" borderId="36" xfId="0" applyFont="1" applyFill="1" applyBorder="1" applyAlignment="1">
      <alignment horizontal="center" vertical="center" wrapText="1"/>
    </xf>
    <xf numFmtId="10" fontId="33" fillId="7" borderId="36" xfId="0" applyNumberFormat="1" applyFont="1" applyFill="1" applyBorder="1" applyAlignment="1">
      <alignment horizontal="center" vertical="center" wrapText="1"/>
    </xf>
    <xf numFmtId="0" fontId="35" fillId="7" borderId="37" xfId="0" applyFont="1" applyFill="1" applyBorder="1" applyAlignment="1">
      <alignment horizontal="center" vertical="center" wrapText="1"/>
    </xf>
    <xf numFmtId="0" fontId="7" fillId="0" borderId="0" xfId="0" applyFont="1" applyAlignment="1">
      <alignment vertical="center"/>
    </xf>
    <xf numFmtId="0" fontId="12" fillId="6" borderId="39"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40" xfId="0" applyNumberFormat="1" applyFont="1" applyFill="1" applyBorder="1" applyAlignment="1">
      <alignment vertical="center" wrapText="1"/>
    </xf>
    <xf numFmtId="1" fontId="35" fillId="7" borderId="42" xfId="0" applyNumberFormat="1" applyFont="1" applyFill="1" applyBorder="1" applyAlignment="1">
      <alignment horizontal="center" vertical="center" wrapText="1"/>
    </xf>
    <xf numFmtId="9" fontId="0" fillId="0" borderId="0" xfId="0" applyNumberFormat="1" applyAlignment="1">
      <alignment vertical="center"/>
    </xf>
    <xf numFmtId="0" fontId="33" fillId="7" borderId="44" xfId="0" applyFont="1" applyFill="1" applyBorder="1" applyAlignment="1">
      <alignment horizontal="center" vertical="center" wrapText="1"/>
    </xf>
    <xf numFmtId="10" fontId="33" fillId="7" borderId="44" xfId="0" applyNumberFormat="1" applyFont="1" applyFill="1" applyBorder="1" applyAlignment="1">
      <alignment horizontal="center" vertical="center" wrapText="1"/>
    </xf>
    <xf numFmtId="0" fontId="35" fillId="7" borderId="45" xfId="0" applyFont="1" applyFill="1" applyBorder="1" applyAlignment="1">
      <alignment horizontal="center" vertical="center" wrapText="1"/>
    </xf>
    <xf numFmtId="10" fontId="33" fillId="7" borderId="45"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3" xfId="0" applyFont="1" applyFill="1" applyBorder="1" applyAlignment="1">
      <alignment horizontal="right" vertical="center" wrapText="1"/>
    </xf>
    <xf numFmtId="0" fontId="35" fillId="0" borderId="36" xfId="0" applyFont="1" applyFill="1" applyBorder="1" applyAlignment="1">
      <alignment horizontal="center" vertical="center" wrapText="1"/>
    </xf>
    <xf numFmtId="10" fontId="33" fillId="0" borderId="36"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10" fontId="33" fillId="0" borderId="38"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10" fontId="33" fillId="0" borderId="4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0" fontId="21" fillId="18" borderId="0" xfId="0" applyFont="1" applyFill="1"/>
    <xf numFmtId="0" fontId="1" fillId="18" borderId="0" xfId="0" applyFont="1" applyFill="1"/>
    <xf numFmtId="0" fontId="13" fillId="18" borderId="0" xfId="0" applyFont="1" applyFill="1"/>
    <xf numFmtId="0" fontId="23" fillId="18" borderId="0" xfId="1" applyFont="1" applyFill="1" applyBorder="1" applyAlignment="1" applyProtection="1">
      <alignment horizontal="center"/>
    </xf>
    <xf numFmtId="10" fontId="13" fillId="18" borderId="0" xfId="0" applyNumberFormat="1" applyFont="1" applyFill="1" applyBorder="1" applyAlignment="1">
      <alignment horizontal="center" vertical="center"/>
    </xf>
    <xf numFmtId="0" fontId="24" fillId="18" borderId="0" xfId="0" applyFont="1" applyFill="1"/>
    <xf numFmtId="0" fontId="36" fillId="18" borderId="0" xfId="0" applyFont="1" applyFill="1"/>
    <xf numFmtId="0" fontId="7" fillId="18" borderId="0" xfId="0" applyFont="1" applyFill="1"/>
    <xf numFmtId="0" fontId="27" fillId="18" borderId="0" xfId="0" applyFont="1" applyFill="1"/>
    <xf numFmtId="0" fontId="14" fillId="18" borderId="0" xfId="0" applyFont="1" applyFill="1"/>
    <xf numFmtId="0" fontId="14" fillId="18" borderId="0" xfId="0" applyFont="1" applyFill="1" applyBorder="1"/>
    <xf numFmtId="0" fontId="28" fillId="18" borderId="7" xfId="0" applyFont="1" applyFill="1" applyBorder="1" applyAlignment="1">
      <alignment horizontal="center"/>
    </xf>
    <xf numFmtId="0" fontId="28" fillId="18" borderId="7" xfId="0" applyFont="1" applyFill="1" applyBorder="1"/>
    <xf numFmtId="10" fontId="14" fillId="18" borderId="7" xfId="0" applyNumberFormat="1" applyFont="1" applyFill="1" applyBorder="1" applyAlignment="1">
      <alignment horizontal="center" vertical="center"/>
    </xf>
    <xf numFmtId="0" fontId="28" fillId="18" borderId="0" xfId="0" applyFont="1" applyFill="1" applyBorder="1" applyAlignment="1">
      <alignment horizontal="center"/>
    </xf>
    <xf numFmtId="0" fontId="29" fillId="18" borderId="0" xfId="0" applyFont="1" applyFill="1" applyBorder="1"/>
    <xf numFmtId="10" fontId="14" fillId="18" borderId="0" xfId="0" applyNumberFormat="1" applyFont="1" applyFill="1" applyBorder="1" applyAlignment="1">
      <alignment horizontal="center" vertical="center"/>
    </xf>
    <xf numFmtId="0" fontId="28" fillId="18" borderId="0" xfId="0" applyFont="1" applyFill="1"/>
    <xf numFmtId="0" fontId="28" fillId="18" borderId="0" xfId="0" applyFont="1" applyFill="1" applyBorder="1"/>
    <xf numFmtId="0" fontId="7" fillId="18" borderId="0" xfId="0" applyFont="1" applyFill="1" applyBorder="1"/>
    <xf numFmtId="0" fontId="1" fillId="18" borderId="0" xfId="0" applyFont="1" applyFill="1" applyBorder="1"/>
    <xf numFmtId="0" fontId="27" fillId="18" borderId="0" xfId="0" applyFont="1" applyFill="1" applyBorder="1"/>
    <xf numFmtId="0" fontId="38" fillId="0" borderId="0" xfId="1" applyFont="1" applyFill="1" applyBorder="1" applyAlignment="1" applyProtection="1">
      <alignment horizontal="left"/>
    </xf>
    <xf numFmtId="0" fontId="39" fillId="7" borderId="0" xfId="0" applyFont="1" applyFill="1" applyProtection="1"/>
    <xf numFmtId="0" fontId="39" fillId="7" borderId="0" xfId="0" applyFont="1" applyFill="1" applyAlignment="1" applyProtection="1">
      <alignment horizontal="left" vertical="top" wrapText="1"/>
    </xf>
    <xf numFmtId="0" fontId="42" fillId="7" borderId="0" xfId="0" applyFont="1" applyFill="1" applyProtection="1"/>
    <xf numFmtId="0" fontId="42" fillId="0" borderId="0" xfId="0" applyFont="1" applyProtection="1"/>
    <xf numFmtId="0" fontId="10" fillId="7" borderId="0" xfId="0" applyFont="1" applyFill="1" applyBorder="1" applyAlignment="1" applyProtection="1">
      <alignment horizontal="center" vertical="center" wrapText="1"/>
    </xf>
    <xf numFmtId="1" fontId="4" fillId="16" borderId="7" xfId="0" applyNumberFormat="1"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wrapText="1"/>
    </xf>
    <xf numFmtId="0" fontId="45" fillId="7" borderId="7" xfId="0" applyFont="1" applyFill="1" applyBorder="1" applyAlignment="1" applyProtection="1">
      <alignment horizontal="center" vertical="center"/>
    </xf>
    <xf numFmtId="0" fontId="0" fillId="7" borderId="0" xfId="0" applyFill="1" applyProtection="1"/>
    <xf numFmtId="0" fontId="46" fillId="7" borderId="52" xfId="0" applyFont="1" applyFill="1" applyBorder="1" applyAlignment="1" applyProtection="1">
      <alignment horizontal="center" vertical="center" wrapText="1"/>
    </xf>
    <xf numFmtId="0" fontId="0" fillId="0" borderId="0" xfId="0" applyProtection="1"/>
    <xf numFmtId="0" fontId="47" fillId="7" borderId="0" xfId="0" applyFont="1" applyFill="1" applyProtection="1"/>
    <xf numFmtId="0" fontId="45" fillId="0" borderId="7" xfId="0" applyFont="1" applyFill="1" applyBorder="1" applyAlignment="1" applyProtection="1">
      <alignment horizontal="center" vertical="center"/>
    </xf>
    <xf numFmtId="0" fontId="44" fillId="7" borderId="52" xfId="0" applyFont="1" applyFill="1" applyBorder="1" applyAlignment="1" applyProtection="1">
      <alignment horizontal="center" vertical="center" wrapText="1"/>
    </xf>
    <xf numFmtId="0" fontId="48" fillId="7" borderId="0" xfId="0" applyFont="1" applyFill="1" applyAlignment="1" applyProtection="1">
      <alignment horizontal="center" vertical="center"/>
    </xf>
    <xf numFmtId="0" fontId="49" fillId="7" borderId="50"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5" fillId="7" borderId="10" xfId="0" applyFont="1" applyFill="1" applyBorder="1" applyAlignment="1" applyProtection="1">
      <alignment horizontal="center" vertical="center"/>
    </xf>
    <xf numFmtId="1" fontId="4" fillId="16" borderId="50" xfId="0" applyNumberFormat="1" applyFont="1" applyFill="1" applyBorder="1" applyAlignment="1" applyProtection="1">
      <alignment horizontal="center" vertical="center" wrapText="1"/>
    </xf>
    <xf numFmtId="0" fontId="50" fillId="0" borderId="53" xfId="0" applyFont="1" applyFill="1" applyBorder="1" applyAlignment="1" applyProtection="1">
      <alignment horizontal="center" vertical="center"/>
    </xf>
    <xf numFmtId="0" fontId="51" fillId="7" borderId="0" xfId="0" applyFont="1" applyFill="1" applyProtection="1"/>
    <xf numFmtId="0" fontId="51"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2" fillId="7" borderId="0" xfId="0" applyFont="1" applyFill="1" applyBorder="1" applyAlignment="1" applyProtection="1">
      <alignment horizontal="center" vertical="center" wrapText="1"/>
    </xf>
    <xf numFmtId="0" fontId="50" fillId="0" borderId="8"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3" fillId="21" borderId="50" xfId="0" applyNumberFormat="1" applyFont="1" applyFill="1" applyBorder="1" applyAlignment="1" applyProtection="1">
      <alignment horizontal="center" vertical="center" wrapText="1"/>
    </xf>
    <xf numFmtId="17" fontId="43" fillId="21" borderId="51" xfId="0" applyNumberFormat="1" applyFont="1" applyFill="1" applyBorder="1" applyAlignment="1" applyProtection="1">
      <alignment horizontal="center" vertical="center" wrapText="1"/>
    </xf>
    <xf numFmtId="17" fontId="43" fillId="21" borderId="7" xfId="0" applyNumberFormat="1" applyFont="1" applyFill="1" applyBorder="1" applyAlignment="1" applyProtection="1">
      <alignment horizontal="center" vertical="center" wrapText="1"/>
    </xf>
    <xf numFmtId="0" fontId="53" fillId="19" borderId="50" xfId="0" applyFont="1" applyFill="1" applyBorder="1" applyAlignment="1" applyProtection="1">
      <alignment horizontal="left" vertical="center" wrapText="1"/>
    </xf>
    <xf numFmtId="0" fontId="54" fillId="20" borderId="7" xfId="0" applyFont="1" applyFill="1" applyBorder="1" applyAlignment="1" applyProtection="1">
      <alignment horizontal="left" vertical="center" wrapText="1"/>
    </xf>
    <xf numFmtId="0" fontId="54" fillId="20" borderId="50" xfId="0" applyFont="1" applyFill="1" applyBorder="1" applyAlignment="1" applyProtection="1">
      <alignment horizontal="left" vertical="center" wrapText="1"/>
    </xf>
    <xf numFmtId="0" fontId="44" fillId="7" borderId="50" xfId="0" applyFont="1" applyFill="1" applyBorder="1" applyAlignment="1" applyProtection="1">
      <alignment horizontal="center" vertical="center" wrapText="1"/>
    </xf>
    <xf numFmtId="0" fontId="45" fillId="7" borderId="50" xfId="0" applyFont="1" applyFill="1" applyBorder="1" applyAlignment="1" applyProtection="1">
      <alignment horizontal="center" vertical="center"/>
    </xf>
    <xf numFmtId="0" fontId="40" fillId="6" borderId="7" xfId="0" applyFont="1" applyFill="1" applyBorder="1" applyAlignment="1" applyProtection="1">
      <alignment horizontal="center" vertical="center" wrapText="1"/>
    </xf>
    <xf numFmtId="49" fontId="12" fillId="6" borderId="7" xfId="2" applyNumberFormat="1" applyFont="1" applyFill="1" applyBorder="1" applyAlignment="1" applyProtection="1">
      <alignment horizontal="center" vertical="center" wrapText="1"/>
    </xf>
    <xf numFmtId="0" fontId="0" fillId="7" borderId="0" xfId="0" applyFill="1"/>
    <xf numFmtId="0" fontId="37" fillId="7" borderId="0" xfId="0" applyFont="1" applyFill="1"/>
    <xf numFmtId="0" fontId="0" fillId="0" borderId="0" xfId="0" applyFill="1"/>
    <xf numFmtId="0" fontId="55" fillId="0" borderId="0" xfId="0" applyFont="1" applyFill="1"/>
    <xf numFmtId="0" fontId="19" fillId="7" borderId="0" xfId="1" applyFill="1" applyAlignment="1" applyProtection="1"/>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35" fillId="7" borderId="42" xfId="0" applyFont="1" applyFill="1" applyBorder="1" applyAlignment="1">
      <alignment horizontal="center" vertical="center" wrapText="1"/>
    </xf>
    <xf numFmtId="164" fontId="4" fillId="6" borderId="6" xfId="0" applyNumberFormat="1" applyFont="1" applyFill="1" applyBorder="1" applyAlignment="1" applyProtection="1">
      <alignment horizontal="center" vertical="center" wrapText="1"/>
      <protection locked="0"/>
    </xf>
    <xf numFmtId="17" fontId="9" fillId="7" borderId="54"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center" vertical="center" wrapText="1"/>
      <protection locked="0"/>
    </xf>
    <xf numFmtId="17" fontId="9" fillId="7" borderId="55" xfId="0" applyNumberFormat="1" applyFont="1" applyFill="1" applyBorder="1" applyAlignment="1" applyProtection="1">
      <alignment horizontal="left" vertical="center" wrapText="1" indent="1"/>
      <protection locked="0"/>
    </xf>
    <xf numFmtId="17"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indent="1"/>
      <protection locked="0"/>
    </xf>
    <xf numFmtId="17" fontId="10" fillId="7" borderId="55" xfId="0" applyNumberFormat="1" applyFont="1" applyFill="1" applyBorder="1" applyAlignment="1" applyProtection="1">
      <alignment horizontal="left" vertical="center" wrapText="1" indent="1"/>
      <protection locked="0"/>
    </xf>
    <xf numFmtId="0" fontId="9" fillId="7" borderId="54" xfId="0" applyFont="1" applyFill="1" applyBorder="1" applyAlignment="1" applyProtection="1">
      <alignment horizontal="left" vertical="center" wrapText="1" indent="1"/>
      <protection locked="0"/>
    </xf>
    <xf numFmtId="0" fontId="9" fillId="7" borderId="5" xfId="0" applyFont="1" applyFill="1" applyBorder="1" applyAlignment="1" applyProtection="1">
      <alignment horizontal="left" vertical="center" wrapText="1" indent="1"/>
      <protection locked="0"/>
    </xf>
    <xf numFmtId="0" fontId="9" fillId="7" borderId="55" xfId="0" applyFont="1" applyFill="1" applyBorder="1" applyAlignment="1" applyProtection="1">
      <alignment horizontal="left" vertical="center" wrapText="1" indent="1"/>
      <protection locked="0"/>
    </xf>
    <xf numFmtId="0" fontId="11" fillId="7" borderId="55" xfId="0" applyFont="1" applyFill="1" applyBorder="1" applyAlignment="1" applyProtection="1">
      <alignment horizontal="left" vertical="center" wrapText="1" indent="1"/>
      <protection locked="0"/>
    </xf>
    <xf numFmtId="0" fontId="10" fillId="7" borderId="54" xfId="0" applyFont="1" applyFill="1" applyBorder="1" applyAlignment="1" applyProtection="1">
      <alignment horizontal="left" vertical="center" wrapText="1" indent="1"/>
      <protection locked="0"/>
    </xf>
    <xf numFmtId="0" fontId="10" fillId="7" borderId="5" xfId="0" applyFont="1" applyFill="1" applyBorder="1" applyAlignment="1" applyProtection="1">
      <alignment horizontal="left" vertical="center" wrapText="1" indent="1"/>
      <protection locked="0"/>
    </xf>
    <xf numFmtId="0" fontId="10" fillId="7"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0" fillId="7" borderId="5" xfId="0" applyNumberFormat="1" applyFont="1" applyFill="1" applyBorder="1" applyAlignment="1" applyProtection="1">
      <alignment horizontal="left" vertical="center" wrapText="1" indent="1"/>
      <protection locked="0"/>
    </xf>
    <xf numFmtId="10" fontId="9" fillId="7" borderId="54" xfId="0" applyNumberFormat="1" applyFont="1" applyFill="1" applyBorder="1" applyAlignment="1" applyProtection="1">
      <alignment horizontal="left" vertical="center" wrapText="1" indent="1"/>
      <protection locked="0"/>
    </xf>
    <xf numFmtId="9" fontId="9" fillId="7" borderId="54" xfId="0" applyNumberFormat="1" applyFont="1" applyFill="1" applyBorder="1" applyAlignment="1" applyProtection="1">
      <alignment horizontal="left" vertical="center" wrapText="1" indent="1"/>
      <protection locked="0"/>
    </xf>
    <xf numFmtId="9" fontId="9" fillId="7" borderId="5" xfId="0" applyNumberFormat="1" applyFont="1" applyFill="1" applyBorder="1" applyAlignment="1" applyProtection="1">
      <alignment horizontal="left" vertical="center" wrapText="1" indent="1"/>
      <protection locked="0"/>
    </xf>
    <xf numFmtId="0" fontId="2" fillId="4" borderId="72" xfId="0" applyFont="1" applyFill="1" applyBorder="1" applyAlignment="1" applyProtection="1">
      <alignment horizontal="left" vertical="center" wrapText="1"/>
    </xf>
    <xf numFmtId="0" fontId="2" fillId="22" borderId="72" xfId="0" applyFont="1" applyFill="1" applyBorder="1" applyAlignment="1" applyProtection="1">
      <alignment horizontal="center" vertical="center" wrapText="1"/>
    </xf>
    <xf numFmtId="0" fontId="2" fillId="2" borderId="72" xfId="0" applyFont="1" applyFill="1" applyBorder="1" applyAlignment="1" applyProtection="1">
      <alignment vertical="center" wrapText="1"/>
    </xf>
    <xf numFmtId="0" fontId="2" fillId="3" borderId="72" xfId="0" applyFont="1" applyFill="1" applyBorder="1" applyAlignment="1" applyProtection="1">
      <alignment vertical="center" wrapText="1"/>
    </xf>
    <xf numFmtId="49" fontId="2" fillId="3" borderId="72" xfId="0" applyNumberFormat="1" applyFont="1" applyFill="1" applyBorder="1" applyAlignment="1" applyProtection="1">
      <alignment horizontal="center" vertical="center" wrapText="1"/>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10" xfId="0" applyFont="1" applyFill="1" applyBorder="1" applyAlignment="1" applyProtection="1">
      <alignment vertical="center" wrapText="1"/>
    </xf>
    <xf numFmtId="0" fontId="10" fillId="6" borderId="12"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4"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2"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10"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1" borderId="14"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4" xfId="0" applyFont="1" applyFill="1" applyBorder="1" applyAlignment="1" applyProtection="1">
      <alignment vertical="center" wrapText="1"/>
    </xf>
    <xf numFmtId="10" fontId="10" fillId="7" borderId="14"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4"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0" fontId="4" fillId="6" borderId="19" xfId="0" applyFont="1" applyFill="1" applyBorder="1" applyAlignment="1" applyProtection="1">
      <alignment vertical="center"/>
    </xf>
    <xf numFmtId="0" fontId="4" fillId="6" borderId="12"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3" xfId="0" applyFont="1" applyFill="1" applyBorder="1" applyAlignment="1" applyProtection="1">
      <alignment horizontal="left" vertical="center"/>
    </xf>
    <xf numFmtId="0" fontId="20" fillId="7" borderId="0" xfId="0" applyFont="1" applyFill="1" applyBorder="1" applyAlignment="1" applyProtection="1">
      <alignment horizontal="left" vertical="center" wrapText="1"/>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1" xfId="0" applyFont="1" applyFill="1" applyBorder="1" applyAlignment="1" applyProtection="1">
      <alignment vertical="center"/>
    </xf>
    <xf numFmtId="0" fontId="4" fillId="6" borderId="8"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0" fillId="7" borderId="21"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14" borderId="46" xfId="0" applyFont="1" applyFill="1" applyBorder="1" applyAlignment="1" applyProtection="1">
      <alignment vertical="center" wrapText="1"/>
    </xf>
    <xf numFmtId="0" fontId="10" fillId="14" borderId="46" xfId="0" applyFont="1" applyFill="1" applyBorder="1" applyAlignment="1" applyProtection="1">
      <alignment horizontal="center" vertical="center"/>
    </xf>
    <xf numFmtId="0" fontId="10" fillId="14" borderId="46" xfId="0" applyFont="1" applyFill="1" applyBorder="1" applyAlignment="1" applyProtection="1">
      <alignment vertical="center"/>
    </xf>
    <xf numFmtId="0" fontId="5" fillId="9" borderId="46" xfId="0" applyFont="1" applyFill="1" applyBorder="1" applyAlignment="1" applyProtection="1">
      <alignment vertical="center" wrapText="1"/>
    </xf>
    <xf numFmtId="0" fontId="5" fillId="9" borderId="46" xfId="0" applyFont="1" applyFill="1" applyBorder="1" applyAlignment="1" applyProtection="1">
      <alignment horizontal="center" vertical="center" wrapText="1"/>
    </xf>
    <xf numFmtId="0" fontId="5" fillId="17" borderId="46" xfId="0" applyFont="1" applyFill="1" applyBorder="1" applyAlignment="1" applyProtection="1">
      <alignment vertical="center" wrapText="1"/>
    </xf>
    <xf numFmtId="0" fontId="2" fillId="0" borderId="46"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5" fillId="11" borderId="46" xfId="0" applyFont="1" applyFill="1" applyBorder="1" applyAlignment="1" applyProtection="1">
      <alignment vertical="center" wrapText="1"/>
    </xf>
    <xf numFmtId="0" fontId="4" fillId="11" borderId="46" xfId="0" applyFont="1" applyFill="1" applyBorder="1" applyAlignment="1" applyProtection="1">
      <alignment vertical="center" wrapText="1"/>
    </xf>
    <xf numFmtId="0" fontId="5" fillId="0" borderId="46" xfId="0" applyFont="1" applyFill="1" applyBorder="1" applyAlignment="1" applyProtection="1">
      <alignment vertical="center" wrapText="1"/>
    </xf>
    <xf numFmtId="10" fontId="2" fillId="0" borderId="46"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46" xfId="0" applyFont="1" applyFill="1" applyBorder="1" applyAlignment="1" applyProtection="1">
      <alignment vertical="center" wrapText="1"/>
    </xf>
    <xf numFmtId="10" fontId="10" fillId="7" borderId="46"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0" fontId="20" fillId="7" borderId="46" xfId="0" applyFont="1" applyFill="1" applyBorder="1" applyAlignment="1" applyProtection="1">
      <alignment vertical="center" wrapText="1"/>
    </xf>
    <xf numFmtId="0" fontId="2" fillId="7" borderId="46"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14" borderId="46" xfId="0" applyFont="1" applyFill="1" applyBorder="1" applyAlignment="1" applyProtection="1">
      <alignment vertical="center"/>
    </xf>
    <xf numFmtId="0" fontId="58" fillId="2" borderId="72" xfId="0" applyFont="1" applyFill="1" applyBorder="1" applyAlignment="1" applyProtection="1">
      <alignment horizontal="center" vertical="center" wrapText="1"/>
    </xf>
    <xf numFmtId="0" fontId="59" fillId="2" borderId="72"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60" fillId="3" borderId="72" xfId="0" applyNumberFormat="1" applyFont="1" applyFill="1" applyBorder="1" applyAlignment="1" applyProtection="1">
      <alignment horizontal="center" vertical="center" wrapText="1"/>
    </xf>
    <xf numFmtId="49" fontId="5" fillId="3" borderId="72" xfId="0" applyNumberFormat="1" applyFont="1" applyFill="1" applyBorder="1" applyAlignment="1" applyProtection="1">
      <alignment horizontal="center" vertical="center" wrapText="1"/>
    </xf>
    <xf numFmtId="0" fontId="4" fillId="6" borderId="2" xfId="0" applyFont="1" applyFill="1" applyBorder="1" applyAlignment="1" applyProtection="1">
      <alignment vertical="center" wrapText="1"/>
    </xf>
    <xf numFmtId="164" fontId="4" fillId="24" borderId="6" xfId="0" applyNumberFormat="1" applyFont="1" applyFill="1" applyBorder="1" applyAlignment="1" applyProtection="1">
      <alignment horizontal="center" vertical="center" wrapText="1"/>
    </xf>
    <xf numFmtId="164" fontId="4" fillId="6" borderId="6" xfId="0" applyNumberFormat="1" applyFont="1" applyFill="1" applyBorder="1" applyAlignment="1" applyProtection="1">
      <alignment horizontal="center" vertical="center" wrapText="1"/>
    </xf>
    <xf numFmtId="0" fontId="2" fillId="23" borderId="72" xfId="0" applyFont="1" applyFill="1" applyBorder="1" applyAlignment="1" applyProtection="1">
      <alignment horizontal="center" vertical="center" wrapText="1"/>
    </xf>
    <xf numFmtId="17" fontId="10" fillId="7" borderId="5" xfId="0" applyNumberFormat="1" applyFont="1" applyFill="1" applyBorder="1" applyAlignment="1" applyProtection="1">
      <alignment horizontal="left" vertical="center" wrapText="1"/>
    </xf>
    <xf numFmtId="17" fontId="10" fillId="7" borderId="55" xfId="0" applyNumberFormat="1" applyFont="1" applyFill="1" applyBorder="1" applyAlignment="1" applyProtection="1">
      <alignment horizontal="left" vertical="center" wrapText="1"/>
    </xf>
    <xf numFmtId="17" fontId="9" fillId="7" borderId="54"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center" vertical="center" wrapText="1"/>
    </xf>
    <xf numFmtId="17" fontId="9" fillId="7" borderId="55" xfId="0" applyNumberFormat="1" applyFont="1" applyFill="1" applyBorder="1" applyAlignment="1" applyProtection="1">
      <alignment horizontal="left" vertical="center" wrapText="1" indent="1"/>
    </xf>
    <xf numFmtId="17" fontId="10" fillId="7" borderId="54"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left" vertical="center" wrapText="1" indent="1"/>
    </xf>
    <xf numFmtId="17" fontId="10" fillId="7" borderId="55" xfId="0" applyNumberFormat="1" applyFont="1" applyFill="1" applyBorder="1" applyAlignment="1" applyProtection="1">
      <alignment horizontal="left" vertical="center" wrapText="1" indent="1"/>
    </xf>
    <xf numFmtId="17" fontId="10" fillId="0" borderId="5" xfId="0" applyNumberFormat="1" applyFont="1" applyFill="1" applyBorder="1" applyAlignment="1" applyProtection="1">
      <alignment horizontal="left" vertical="center" wrapText="1"/>
    </xf>
    <xf numFmtId="17" fontId="10" fillId="0" borderId="55" xfId="0" applyNumberFormat="1" applyFont="1" applyFill="1" applyBorder="1" applyAlignment="1" applyProtection="1">
      <alignment horizontal="left" vertical="center" wrapText="1"/>
    </xf>
    <xf numFmtId="17" fontId="8"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indent="1"/>
    </xf>
    <xf numFmtId="9" fontId="10" fillId="7" borderId="54" xfId="0" applyNumberFormat="1"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xf>
    <xf numFmtId="0" fontId="10" fillId="7" borderId="55" xfId="0" applyFont="1" applyFill="1" applyBorder="1" applyAlignment="1" applyProtection="1">
      <alignment horizontal="left" vertical="center" wrapText="1"/>
    </xf>
    <xf numFmtId="0" fontId="9" fillId="7" borderId="54" xfId="0" applyFont="1" applyFill="1" applyBorder="1" applyAlignment="1" applyProtection="1">
      <alignment horizontal="left" vertical="center" wrapText="1" indent="1"/>
    </xf>
    <xf numFmtId="0" fontId="9" fillId="7" borderId="5" xfId="0" applyFont="1" applyFill="1" applyBorder="1" applyAlignment="1" applyProtection="1">
      <alignment horizontal="left" vertical="center" wrapText="1" indent="1"/>
    </xf>
    <xf numFmtId="0" fontId="9" fillId="7" borderId="55" xfId="0" applyFont="1" applyFill="1" applyBorder="1" applyAlignment="1" applyProtection="1">
      <alignment horizontal="left" vertical="center" wrapText="1" indent="1"/>
    </xf>
    <xf numFmtId="10" fontId="10"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xf>
    <xf numFmtId="10" fontId="9" fillId="7" borderId="54" xfId="0" applyNumberFormat="1" applyFont="1" applyFill="1" applyBorder="1" applyAlignment="1" applyProtection="1">
      <alignment horizontal="left" vertical="center" wrapText="1" indent="1"/>
    </xf>
    <xf numFmtId="9" fontId="9" fillId="7" borderId="5" xfId="0" applyNumberFormat="1" applyFont="1" applyFill="1" applyBorder="1" applyAlignment="1" applyProtection="1">
      <alignment horizontal="left" vertical="center" wrapText="1" indent="1"/>
    </xf>
    <xf numFmtId="8" fontId="10" fillId="7" borderId="5" xfId="0" applyNumberFormat="1" applyFont="1" applyFill="1" applyBorder="1" applyAlignment="1" applyProtection="1">
      <alignment horizontal="left" vertical="center" wrapText="1"/>
    </xf>
    <xf numFmtId="6" fontId="10" fillId="7" borderId="5" xfId="0" applyNumberFormat="1" applyFont="1" applyFill="1" applyBorder="1" applyAlignment="1" applyProtection="1">
      <alignment horizontal="left" vertical="center" wrapText="1"/>
    </xf>
    <xf numFmtId="8" fontId="9" fillId="7" borderId="54" xfId="0" applyNumberFormat="1" applyFont="1" applyFill="1" applyBorder="1" applyAlignment="1" applyProtection="1">
      <alignment horizontal="left" vertical="center" wrapText="1" indent="1"/>
    </xf>
    <xf numFmtId="6" fontId="9" fillId="7" borderId="5" xfId="0" applyNumberFormat="1" applyFont="1" applyFill="1" applyBorder="1" applyAlignment="1" applyProtection="1">
      <alignment horizontal="left" vertical="center" wrapText="1" indent="1"/>
    </xf>
    <xf numFmtId="9" fontId="9" fillId="7" borderId="54" xfId="0" applyNumberFormat="1" applyFont="1" applyFill="1" applyBorder="1" applyAlignment="1" applyProtection="1">
      <alignment horizontal="left" vertical="center" wrapText="1" indent="1"/>
    </xf>
    <xf numFmtId="0" fontId="10" fillId="0" borderId="55" xfId="0" applyFont="1" applyFill="1" applyBorder="1" applyAlignment="1" applyProtection="1">
      <alignment horizontal="left" vertical="center" wrapText="1"/>
    </xf>
    <xf numFmtId="0" fontId="57" fillId="7" borderId="5" xfId="0" applyFont="1" applyFill="1" applyBorder="1" applyAlignment="1" applyProtection="1">
      <alignment horizontal="left" vertical="center" wrapText="1"/>
    </xf>
    <xf numFmtId="0" fontId="8" fillId="7" borderId="55" xfId="0" applyFont="1" applyFill="1" applyBorder="1" applyAlignment="1" applyProtection="1">
      <alignment horizontal="left" vertical="center" wrapText="1" indent="1"/>
    </xf>
    <xf numFmtId="0" fontId="11" fillId="7" borderId="54" xfId="0" applyFont="1" applyFill="1" applyBorder="1" applyAlignment="1" applyProtection="1">
      <alignment horizontal="left" vertical="center" wrapText="1" indent="1"/>
    </xf>
    <xf numFmtId="0" fontId="11" fillId="7" borderId="5" xfId="0" applyFont="1" applyFill="1" applyBorder="1" applyAlignment="1" applyProtection="1">
      <alignment horizontal="left" vertical="center" wrapText="1" indent="1"/>
    </xf>
    <xf numFmtId="0" fontId="11" fillId="7" borderId="55" xfId="0"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xf>
    <xf numFmtId="2" fontId="10" fillId="7" borderId="5" xfId="0" applyNumberFormat="1" applyFont="1" applyFill="1" applyBorder="1" applyAlignment="1" applyProtection="1">
      <alignment horizontal="left" vertical="center" wrapText="1"/>
    </xf>
    <xf numFmtId="1" fontId="10" fillId="7" borderId="5" xfId="0" applyNumberFormat="1" applyFont="1" applyFill="1" applyBorder="1" applyAlignment="1" applyProtection="1">
      <alignment horizontal="left" vertical="center" wrapText="1" indent="1"/>
    </xf>
    <xf numFmtId="1" fontId="10" fillId="7" borderId="54" xfId="0" applyNumberFormat="1" applyFont="1" applyFill="1" applyBorder="1" applyAlignment="1" applyProtection="1">
      <alignment horizontal="left" vertical="center" wrapText="1" indent="1"/>
    </xf>
    <xf numFmtId="0" fontId="10" fillId="7" borderId="54" xfId="0"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indent="1"/>
    </xf>
    <xf numFmtId="0" fontId="10" fillId="7" borderId="55" xfId="0" applyFont="1" applyFill="1" applyBorder="1" applyAlignment="1" applyProtection="1">
      <alignment horizontal="left" vertical="center" wrapText="1" inden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9" fontId="10" fillId="7" borderId="54" xfId="0" applyNumberFormat="1" applyFont="1" applyFill="1" applyBorder="1" applyAlignment="1" applyProtection="1">
      <alignment horizontal="left" vertical="center" wrapText="1" indent="1"/>
      <protection locked="0"/>
    </xf>
    <xf numFmtId="17" fontId="9" fillId="7" borderId="5" xfId="0" quotePrefix="1" applyNumberFormat="1" applyFont="1" applyFill="1" applyBorder="1" applyAlignment="1" applyProtection="1">
      <alignment horizontal="left" vertical="center" wrapText="1" indent="1"/>
    </xf>
    <xf numFmtId="17" fontId="9" fillId="7" borderId="54" xfId="0" quotePrefix="1" applyNumberFormat="1" applyFont="1" applyFill="1" applyBorder="1" applyAlignment="1" applyProtection="1">
      <alignment horizontal="left" vertical="center" wrapText="1" indent="1"/>
    </xf>
    <xf numFmtId="9" fontId="61" fillId="7" borderId="54" xfId="0" applyNumberFormat="1" applyFont="1" applyFill="1" applyBorder="1" applyAlignment="1" applyProtection="1">
      <alignment horizontal="left" vertical="center" wrapText="1" indent="1"/>
    </xf>
    <xf numFmtId="2" fontId="9" fillId="7" borderId="54" xfId="0" applyNumberFormat="1" applyFont="1" applyFill="1" applyBorder="1" applyAlignment="1" applyProtection="1">
      <alignment horizontal="left" vertical="center" wrapText="1" indent="1"/>
    </xf>
    <xf numFmtId="0" fontId="10" fillId="7" borderId="54" xfId="0" applyNumberFormat="1" applyFont="1" applyFill="1" applyBorder="1" applyAlignment="1" applyProtection="1">
      <alignment horizontal="center" vertical="center" wrapText="1"/>
    </xf>
    <xf numFmtId="17" fontId="19" fillId="7" borderId="55" xfId="1" applyNumberFormat="1" applyFill="1" applyBorder="1" applyAlignment="1" applyProtection="1">
      <alignment horizontal="left" vertical="center" wrapText="1" indent="1"/>
    </xf>
    <xf numFmtId="10" fontId="10" fillId="7" borderId="54" xfId="0" applyNumberFormat="1" applyFont="1" applyFill="1" applyBorder="1" applyAlignment="1" applyProtection="1">
      <alignment horizontal="left" vertical="center" wrapText="1" indent="1"/>
    </xf>
    <xf numFmtId="8" fontId="10" fillId="7" borderId="54" xfId="0" applyNumberFormat="1" applyFont="1" applyFill="1" applyBorder="1" applyAlignment="1" applyProtection="1">
      <alignment horizontal="left" vertical="center" wrapText="1" indent="1"/>
    </xf>
    <xf numFmtId="0" fontId="11" fillId="7" borderId="5" xfId="0" applyFont="1" applyFill="1" applyBorder="1" applyAlignment="1" applyProtection="1">
      <alignment horizontal="left" vertical="center" wrapText="1" indent="1"/>
      <protection locked="0"/>
    </xf>
    <xf numFmtId="17" fontId="62" fillId="7" borderId="55"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xf>
    <xf numFmtId="17" fontId="8" fillId="7" borderId="54" xfId="0" applyNumberFormat="1" applyFont="1" applyFill="1" applyBorder="1" applyAlignment="1" applyProtection="1">
      <alignment horizontal="left" vertical="center" wrapText="1" indent="1"/>
    </xf>
    <xf numFmtId="0" fontId="10" fillId="7" borderId="54" xfId="0" applyNumberFormat="1"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indent="1"/>
    </xf>
    <xf numFmtId="0" fontId="11" fillId="7" borderId="5" xfId="0" applyFont="1" applyFill="1" applyBorder="1" applyAlignment="1" applyProtection="1">
      <alignment horizontal="center" vertical="center" wrapText="1"/>
    </xf>
    <xf numFmtId="0" fontId="9" fillId="7" borderId="61" xfId="0" applyFont="1" applyFill="1" applyBorder="1" applyAlignment="1" applyProtection="1">
      <alignment horizontal="left" vertical="center" wrapText="1" indent="1"/>
    </xf>
    <xf numFmtId="0" fontId="9" fillId="7" borderId="62" xfId="0" applyFont="1" applyFill="1" applyBorder="1" applyAlignment="1" applyProtection="1">
      <alignment horizontal="left" vertical="center" wrapText="1" indent="1"/>
    </xf>
    <xf numFmtId="0" fontId="11" fillId="7" borderId="54" xfId="0" applyFont="1" applyFill="1" applyBorder="1" applyAlignment="1" applyProtection="1">
      <alignment horizontal="center" vertical="center" wrapText="1"/>
    </xf>
    <xf numFmtId="6" fontId="9" fillId="7" borderId="54" xfId="0" applyNumberFormat="1" applyFont="1" applyFill="1" applyBorder="1" applyAlignment="1" applyProtection="1">
      <alignment horizontal="left" vertical="center" wrapText="1" indent="1"/>
    </xf>
    <xf numFmtId="0" fontId="10" fillId="7" borderId="5" xfId="0" applyFont="1" applyFill="1" applyBorder="1" applyAlignment="1" applyProtection="1">
      <alignment horizontal="center" vertical="center" wrapText="1"/>
    </xf>
    <xf numFmtId="10" fontId="9" fillId="7" borderId="5" xfId="0" applyNumberFormat="1" applyFont="1" applyFill="1" applyBorder="1" applyAlignment="1" applyProtection="1">
      <alignment horizontal="left" vertical="center" wrapText="1" indent="1"/>
      <protection locked="0"/>
    </xf>
    <xf numFmtId="3" fontId="9" fillId="7" borderId="5" xfId="0" applyNumberFormat="1" applyFont="1" applyFill="1" applyBorder="1" applyAlignment="1" applyProtection="1">
      <alignment horizontal="left" vertical="center" wrapText="1" indent="1"/>
      <protection locked="0"/>
    </xf>
    <xf numFmtId="0" fontId="8" fillId="7" borderId="5" xfId="0" applyFont="1" applyFill="1" applyBorder="1" applyAlignment="1" applyProtection="1">
      <alignment horizontal="left" vertical="center" wrapText="1" indent="1"/>
      <protection locked="0"/>
    </xf>
    <xf numFmtId="0" fontId="8" fillId="7" borderId="55" xfId="0" applyFont="1" applyFill="1" applyBorder="1" applyAlignment="1" applyProtection="1">
      <alignment horizontal="left" vertical="center" wrapText="1" indent="1"/>
      <protection locked="0"/>
    </xf>
    <xf numFmtId="1" fontId="10" fillId="7" borderId="5" xfId="0" applyNumberFormat="1" applyFont="1" applyFill="1" applyBorder="1" applyAlignment="1" applyProtection="1">
      <alignment horizontal="left" vertical="center" wrapText="1" indent="1"/>
      <protection locked="0"/>
    </xf>
    <xf numFmtId="10" fontId="10" fillId="7" borderId="54" xfId="0" applyNumberFormat="1" applyFont="1" applyFill="1" applyBorder="1" applyAlignment="1" applyProtection="1">
      <alignment horizontal="left" vertical="center" wrapText="1" indent="1"/>
      <protection locked="0"/>
    </xf>
    <xf numFmtId="10" fontId="10" fillId="7" borderId="5" xfId="0" applyNumberFormat="1" applyFont="1" applyFill="1" applyBorder="1" applyAlignment="1" applyProtection="1">
      <alignment horizontal="left" vertical="center" wrapText="1" indent="1"/>
      <protection locked="0"/>
    </xf>
    <xf numFmtId="6" fontId="9" fillId="7" borderId="54" xfId="0" applyNumberFormat="1" applyFont="1" applyFill="1" applyBorder="1" applyAlignment="1" applyProtection="1">
      <alignment horizontal="left" vertical="center" wrapText="1" indent="1"/>
      <protection locked="0"/>
    </xf>
    <xf numFmtId="17" fontId="8" fillId="7" borderId="55" xfId="0" applyNumberFormat="1" applyFont="1" applyFill="1" applyBorder="1" applyAlignment="1" applyProtection="1">
      <alignment horizontal="left" vertical="center" wrapText="1" indent="1"/>
      <protection locked="0"/>
    </xf>
    <xf numFmtId="0" fontId="4" fillId="24"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22" fillId="7" borderId="30"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4" xfId="0" applyFont="1" applyFill="1" applyBorder="1" applyAlignment="1">
      <alignment horizontal="center" vertical="center" wrapText="1"/>
    </xf>
    <xf numFmtId="0" fontId="31" fillId="11" borderId="44" xfId="0" applyFont="1" applyFill="1" applyBorder="1" applyAlignment="1">
      <alignment horizontal="center" vertical="center" wrapText="1"/>
    </xf>
    <xf numFmtId="10" fontId="24" fillId="25" borderId="0" xfId="0" applyNumberFormat="1" applyFont="1" applyFill="1" applyAlignment="1" applyProtection="1">
      <alignment horizontal="center" vertical="center"/>
    </xf>
    <xf numFmtId="0" fontId="24" fillId="25" borderId="0" xfId="0" applyFont="1" applyFill="1" applyAlignment="1" applyProtection="1">
      <alignment horizontal="center" vertical="center"/>
    </xf>
    <xf numFmtId="10" fontId="17" fillId="12" borderId="14" xfId="0" applyNumberFormat="1"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13" borderId="15" xfId="0" applyFont="1" applyFill="1" applyBorder="1" applyAlignment="1" applyProtection="1">
      <alignment vertical="center" wrapText="1"/>
    </xf>
    <xf numFmtId="0" fontId="5" fillId="13" borderId="16" xfId="0" applyFont="1" applyFill="1" applyBorder="1" applyAlignment="1" applyProtection="1">
      <alignment vertical="center" wrapText="1"/>
    </xf>
    <xf numFmtId="0" fontId="5" fillId="13" borderId="17" xfId="0" applyFont="1" applyFill="1" applyBorder="1" applyAlignment="1" applyProtection="1">
      <alignment vertical="center" wrapText="1"/>
    </xf>
    <xf numFmtId="0" fontId="5" fillId="0" borderId="20"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17" fillId="10" borderId="15" xfId="0" applyNumberFormat="1" applyFont="1" applyFill="1" applyBorder="1" applyAlignment="1" applyProtection="1">
      <alignment horizontal="center" vertical="center" wrapText="1"/>
    </xf>
    <xf numFmtId="10" fontId="17" fillId="10" borderId="16" xfId="0" applyNumberFormat="1" applyFont="1" applyFill="1" applyBorder="1" applyAlignment="1" applyProtection="1">
      <alignment horizontal="center" vertical="center" wrapText="1"/>
    </xf>
    <xf numFmtId="10" fontId="17" fillId="10" borderId="17" xfId="0" applyNumberFormat="1" applyFont="1" applyFill="1" applyBorder="1" applyAlignment="1" applyProtection="1">
      <alignment horizontal="center" vertical="center" wrapText="1"/>
    </xf>
    <xf numFmtId="10" fontId="17" fillId="10" borderId="14" xfId="0" applyNumberFormat="1" applyFont="1" applyFill="1" applyBorder="1" applyAlignment="1" applyProtection="1">
      <alignment horizontal="center" vertical="center" wrapText="1"/>
    </xf>
    <xf numFmtId="10" fontId="18" fillId="11" borderId="14" xfId="0" applyNumberFormat="1" applyFont="1" applyFill="1" applyBorder="1" applyAlignment="1" applyProtection="1">
      <alignment horizontal="center" vertical="center" wrapText="1"/>
    </xf>
    <xf numFmtId="0" fontId="22" fillId="15" borderId="22" xfId="0" applyFont="1" applyFill="1" applyBorder="1" applyAlignment="1">
      <alignment horizontal="left" vertical="center" wrapText="1"/>
    </xf>
    <xf numFmtId="0" fontId="22" fillId="15" borderId="23" xfId="0" applyFont="1" applyFill="1" applyBorder="1" applyAlignment="1">
      <alignment horizontal="left" vertical="center" wrapText="1"/>
    </xf>
    <xf numFmtId="0" fontId="22" fillId="15" borderId="24" xfId="0" applyFont="1" applyFill="1" applyBorder="1" applyAlignment="1">
      <alignment horizontal="left" vertical="center" wrapText="1"/>
    </xf>
    <xf numFmtId="0" fontId="22" fillId="15" borderId="25"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22" fillId="15" borderId="26" xfId="0" applyFont="1" applyFill="1" applyBorder="1" applyAlignment="1">
      <alignment horizontal="left" vertical="center" wrapText="1"/>
    </xf>
    <xf numFmtId="0" fontId="22" fillId="15" borderId="27" xfId="0" applyFont="1" applyFill="1" applyBorder="1" applyAlignment="1">
      <alignment horizontal="left" vertical="center" wrapText="1"/>
    </xf>
    <xf numFmtId="0" fontId="22" fillId="15" borderId="28" xfId="0" applyFont="1" applyFill="1" applyBorder="1" applyAlignment="1">
      <alignment horizontal="left" vertical="center" wrapText="1"/>
    </xf>
    <xf numFmtId="0" fontId="22" fillId="15" borderId="29" xfId="0" applyFont="1" applyFill="1" applyBorder="1" applyAlignment="1">
      <alignment horizontal="left" vertical="center" wrapText="1"/>
    </xf>
    <xf numFmtId="10" fontId="2" fillId="0" borderId="46" xfId="0" applyNumberFormat="1" applyFont="1" applyFill="1" applyBorder="1" applyAlignment="1" applyProtection="1">
      <alignment horizontal="center" vertical="center" wrapText="1"/>
    </xf>
    <xf numFmtId="0" fontId="5" fillId="10" borderId="47" xfId="0" applyFont="1" applyFill="1" applyBorder="1" applyAlignment="1" applyProtection="1">
      <alignment vertical="center" wrapText="1"/>
    </xf>
    <xf numFmtId="0" fontId="5" fillId="10" borderId="48" xfId="0" applyFont="1" applyFill="1" applyBorder="1" applyAlignment="1" applyProtection="1">
      <alignment vertical="center" wrapText="1"/>
    </xf>
    <xf numFmtId="0" fontId="5" fillId="10" borderId="49" xfId="0" applyFont="1" applyFill="1" applyBorder="1" applyAlignment="1" applyProtection="1">
      <alignment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9"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2" fillId="0" borderId="49" xfId="0" applyNumberFormat="1" applyFont="1" applyFill="1" applyBorder="1" applyAlignment="1" applyProtection="1">
      <alignment vertical="center" wrapText="1"/>
    </xf>
    <xf numFmtId="10" fontId="17" fillId="10" borderId="47" xfId="0" applyNumberFormat="1" applyFont="1" applyFill="1" applyBorder="1" applyAlignment="1" applyProtection="1">
      <alignment horizontal="center" vertical="center" wrapText="1"/>
    </xf>
    <xf numFmtId="10" fontId="17" fillId="10" borderId="48" xfId="0" applyNumberFormat="1" applyFont="1" applyFill="1" applyBorder="1" applyAlignment="1" applyProtection="1">
      <alignment horizontal="center" vertical="center" wrapText="1"/>
    </xf>
    <xf numFmtId="10" fontId="17" fillId="10" borderId="49" xfId="0" applyNumberFormat="1" applyFont="1" applyFill="1" applyBorder="1" applyAlignment="1" applyProtection="1">
      <alignment horizontal="center" vertical="center" wrapText="1"/>
    </xf>
    <xf numFmtId="10" fontId="17" fillId="17" borderId="46" xfId="0" applyNumberFormat="1" applyFont="1" applyFill="1" applyBorder="1" applyAlignment="1" applyProtection="1">
      <alignment horizontal="center" vertical="center" wrapText="1"/>
    </xf>
    <xf numFmtId="10" fontId="18" fillId="11" borderId="46" xfId="0" applyNumberFormat="1" applyFont="1" applyFill="1" applyBorder="1" applyAlignment="1" applyProtection="1">
      <alignment horizontal="center" vertical="center" wrapText="1"/>
    </xf>
    <xf numFmtId="10" fontId="17" fillId="11" borderId="46" xfId="0" applyNumberFormat="1" applyFont="1" applyFill="1" applyBorder="1" applyAlignment="1" applyProtection="1">
      <alignment horizontal="center" vertical="center" wrapText="1"/>
    </xf>
    <xf numFmtId="0" fontId="22" fillId="18" borderId="22" xfId="0" applyFont="1" applyFill="1" applyBorder="1" applyAlignment="1">
      <alignment horizontal="left" vertical="center" wrapText="1"/>
    </xf>
    <xf numFmtId="0" fontId="22" fillId="18" borderId="23" xfId="0" applyFont="1" applyFill="1" applyBorder="1" applyAlignment="1">
      <alignment horizontal="left" vertical="center" wrapText="1"/>
    </xf>
    <xf numFmtId="0" fontId="22" fillId="18" borderId="24" xfId="0" applyFont="1" applyFill="1" applyBorder="1" applyAlignment="1">
      <alignment horizontal="left" vertical="center" wrapText="1"/>
    </xf>
    <xf numFmtId="0" fontId="22" fillId="18" borderId="25" xfId="0" applyFont="1" applyFill="1" applyBorder="1" applyAlignment="1">
      <alignment horizontal="left" vertical="center" wrapText="1"/>
    </xf>
    <xf numFmtId="0" fontId="22" fillId="18" borderId="0" xfId="0" applyFont="1" applyFill="1" applyBorder="1" applyAlignment="1">
      <alignment horizontal="left" vertical="center" wrapText="1"/>
    </xf>
    <xf numFmtId="0" fontId="22" fillId="18" borderId="26" xfId="0" applyFont="1" applyFill="1" applyBorder="1" applyAlignment="1">
      <alignment horizontal="left" vertical="center" wrapText="1"/>
    </xf>
    <xf numFmtId="0" fontId="22" fillId="18" borderId="27" xfId="0" applyFont="1" applyFill="1" applyBorder="1" applyAlignment="1">
      <alignment horizontal="left" vertical="center" wrapText="1"/>
    </xf>
    <xf numFmtId="0" fontId="22" fillId="18" borderId="28" xfId="0" applyFont="1" applyFill="1" applyBorder="1" applyAlignment="1">
      <alignment horizontal="left" vertical="center" wrapText="1"/>
    </xf>
    <xf numFmtId="0" fontId="22" fillId="18"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25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FF3300"/>
      <color rgb="FF003366"/>
      <color rgb="FFCC0000"/>
      <color rgb="FF99CCFF"/>
      <color rgb="FF006600"/>
      <color rgb="FF339933"/>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0.90666666666666673</c:v>
                </c:pt>
                <c:pt idx="1">
                  <c:v>0.91764705882352937</c:v>
                </c:pt>
                <c:pt idx="2">
                  <c:v>0.90322580645161299</c:v>
                </c:pt>
                <c:pt idx="3">
                  <c:v>0.88297872340425532</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5.3333333333333337E-2</c:v>
                </c:pt>
                <c:pt idx="1">
                  <c:v>4.7058823529411764E-2</c:v>
                </c:pt>
                <c:pt idx="2">
                  <c:v>3.2258064516129031E-2</c:v>
                </c:pt>
                <c:pt idx="3">
                  <c:v>4.2553191489361701E-2</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0.04</c:v>
                </c:pt>
                <c:pt idx="1">
                  <c:v>3.5294117647058823E-2</c:v>
                </c:pt>
                <c:pt idx="2">
                  <c:v>6.4516129032258063E-2</c:v>
                </c:pt>
                <c:pt idx="3">
                  <c:v>7.4468085106382975E-2</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2966480"/>
        <c:axId val="332997960"/>
      </c:lineChart>
      <c:catAx>
        <c:axId val="332966480"/>
        <c:scaling>
          <c:orientation val="minMax"/>
        </c:scaling>
        <c:delete val="0"/>
        <c:axPos val="b"/>
        <c:numFmt formatCode="General" sourceLinked="0"/>
        <c:majorTickMark val="out"/>
        <c:minorTickMark val="none"/>
        <c:tickLblPos val="nextTo"/>
        <c:txPr>
          <a:bodyPr/>
          <a:lstStyle/>
          <a:p>
            <a:pPr>
              <a:defRPr lang="en-US"/>
            </a:pPr>
            <a:endParaRPr lang="en-US"/>
          </a:p>
        </c:txPr>
        <c:crossAx val="332997960"/>
        <c:crosses val="autoZero"/>
        <c:auto val="1"/>
        <c:lblAlgn val="ctr"/>
        <c:lblOffset val="100"/>
        <c:noMultiLvlLbl val="0"/>
      </c:catAx>
      <c:valAx>
        <c:axId val="3329979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9664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0.87804878048780488</c:v>
                </c:pt>
                <c:pt idx="1">
                  <c:v>4.878048780487805E-2</c:v>
                </c:pt>
                <c:pt idx="2">
                  <c:v>7.3170731707317083E-2</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0.95000000000000007</c:v>
                </c:pt>
                <c:pt idx="1">
                  <c:v>0.05</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0.95833333333333337</c:v>
                </c:pt>
                <c:pt idx="1">
                  <c:v>4.1666666666666664E-2</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0.90322580645161299</c:v>
                </c:pt>
                <c:pt idx="1">
                  <c:v>3.2258064516129031E-2</c:v>
                </c:pt>
                <c:pt idx="2">
                  <c:v>6.4516129032258063E-2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0.88297872340425532</c:v>
                </c:pt>
                <c:pt idx="1">
                  <c:v>4.2553191489361701E-2</c:v>
                </c:pt>
                <c:pt idx="2">
                  <c:v>7.4468085106382975E-2</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0.82978723404255317</c:v>
                </c:pt>
                <c:pt idx="1">
                  <c:v>6.3829787234042548E-2</c:v>
                </c:pt>
                <c:pt idx="2">
                  <c:v>0.10638297872340424</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0.85416666666666663</c:v>
                </c:pt>
                <c:pt idx="1">
                  <c:v>2.0833333333333332E-2</c:v>
                </c:pt>
                <c:pt idx="2">
                  <c:v>0.125</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0.95833333333333326</c:v>
                </c:pt>
                <c:pt idx="1">
                  <c:v>0</c:v>
                </c:pt>
                <c:pt idx="2">
                  <c:v>4.1666666666666664E-2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0.86486486486486491</c:v>
                </c:pt>
                <c:pt idx="1">
                  <c:v>0.87804878048780488</c:v>
                </c:pt>
                <c:pt idx="2">
                  <c:v>0.82978723404255317</c:v>
                </c:pt>
                <c:pt idx="3">
                  <c:v>0.85416666666666663</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5.4054054054054057E-2</c:v>
                </c:pt>
                <c:pt idx="1">
                  <c:v>4.878048780487805E-2</c:v>
                </c:pt>
                <c:pt idx="2">
                  <c:v>6.3829787234042548E-2</c:v>
                </c:pt>
                <c:pt idx="3">
                  <c:v>2.0833333333333332E-2</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8.1081081081081086E-2</c:v>
                </c:pt>
                <c:pt idx="1">
                  <c:v>7.3170731707317083E-2</c:v>
                </c:pt>
                <c:pt idx="2">
                  <c:v>0.10638297872340424</c:v>
                </c:pt>
                <c:pt idx="3">
                  <c:v>0.125</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36086760"/>
        <c:axId val="436112536"/>
      </c:lineChart>
      <c:catAx>
        <c:axId val="436086760"/>
        <c:scaling>
          <c:orientation val="minMax"/>
        </c:scaling>
        <c:delete val="0"/>
        <c:axPos val="b"/>
        <c:numFmt formatCode="General" sourceLinked="0"/>
        <c:majorTickMark val="out"/>
        <c:minorTickMark val="none"/>
        <c:tickLblPos val="nextTo"/>
        <c:txPr>
          <a:bodyPr/>
          <a:lstStyle/>
          <a:p>
            <a:pPr>
              <a:defRPr lang="en-US"/>
            </a:pPr>
            <a:endParaRPr lang="en-US"/>
          </a:p>
        </c:txPr>
        <c:crossAx val="436112536"/>
        <c:crosses val="autoZero"/>
        <c:auto val="1"/>
        <c:lblAlgn val="ctr"/>
        <c:lblOffset val="100"/>
        <c:noMultiLvlLbl val="0"/>
      </c:catAx>
      <c:valAx>
        <c:axId val="4361125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6086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0.875</c:v>
                </c:pt>
                <c:pt idx="1">
                  <c:v>8.3333333333333329E-2</c:v>
                </c:pt>
                <c:pt idx="2">
                  <c:v>4.1666666666666664E-2</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0.84615384615384626</c:v>
                </c:pt>
                <c:pt idx="1">
                  <c:v>0.8666666666666667</c:v>
                </c:pt>
                <c:pt idx="2">
                  <c:v>0.84210526315789469</c:v>
                </c:pt>
                <c:pt idx="3">
                  <c:v>0.78947368421052633</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5.2631578947368418E-2</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0.15384615384615385</c:v>
                </c:pt>
                <c:pt idx="1">
                  <c:v>0.13333333333333333</c:v>
                </c:pt>
                <c:pt idx="2">
                  <c:v>0.15789473684210525</c:v>
                </c:pt>
                <c:pt idx="3">
                  <c:v>0.15789473684210525</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33380944"/>
        <c:axId val="333379376"/>
      </c:lineChart>
      <c:catAx>
        <c:axId val="333380944"/>
        <c:scaling>
          <c:orientation val="minMax"/>
        </c:scaling>
        <c:delete val="0"/>
        <c:axPos val="b"/>
        <c:numFmt formatCode="General" sourceLinked="1"/>
        <c:majorTickMark val="out"/>
        <c:minorTickMark val="none"/>
        <c:tickLblPos val="nextTo"/>
        <c:txPr>
          <a:bodyPr/>
          <a:lstStyle/>
          <a:p>
            <a:pPr>
              <a:defRPr lang="en-US"/>
            </a:pPr>
            <a:endParaRPr lang="en-US"/>
          </a:p>
        </c:txPr>
        <c:crossAx val="333379376"/>
        <c:crosses val="autoZero"/>
        <c:auto val="1"/>
        <c:lblAlgn val="ctr"/>
        <c:lblOffset val="100"/>
        <c:noMultiLvlLbl val="0"/>
      </c:catAx>
      <c:valAx>
        <c:axId val="333379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3809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0.93333333333333335</c:v>
                </c:pt>
                <c:pt idx="2">
                  <c:v>0.9</c:v>
                </c:pt>
                <c:pt idx="3">
                  <c:v>0.93548387096774199</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6.6666666666666666E-2</c:v>
                </c:pt>
                <c:pt idx="2">
                  <c:v>6.6666666666666666E-2</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6.4516129032258063E-2</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33381728"/>
        <c:axId val="333381336"/>
      </c:lineChart>
      <c:catAx>
        <c:axId val="333381728"/>
        <c:scaling>
          <c:orientation val="minMax"/>
        </c:scaling>
        <c:delete val="0"/>
        <c:axPos val="b"/>
        <c:numFmt formatCode="General" sourceLinked="0"/>
        <c:majorTickMark val="out"/>
        <c:minorTickMark val="none"/>
        <c:tickLblPos val="nextTo"/>
        <c:txPr>
          <a:bodyPr/>
          <a:lstStyle/>
          <a:p>
            <a:pPr>
              <a:defRPr lang="en-US"/>
            </a:pPr>
            <a:endParaRPr lang="en-US"/>
          </a:p>
        </c:txPr>
        <c:crossAx val="333381336"/>
        <c:crosses val="autoZero"/>
        <c:auto val="1"/>
        <c:lblAlgn val="ctr"/>
        <c:lblOffset val="100"/>
        <c:noMultiLvlLbl val="0"/>
      </c:catAx>
      <c:valAx>
        <c:axId val="3333813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3817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c:v>
                </c:pt>
                <c:pt idx="1">
                  <c:v>0</c:v>
                </c:pt>
                <c:pt idx="2">
                  <c:v>0.83333333333333326</c:v>
                </c:pt>
                <c:pt idx="3">
                  <c:v>0.83333333333333337</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8.3333333333333329E-2</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0.16666666666666666</c:v>
                </c:pt>
                <c:pt idx="3">
                  <c:v>8.3333333333333329E-2</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37289712"/>
        <c:axId val="437292456"/>
      </c:lineChart>
      <c:catAx>
        <c:axId val="437289712"/>
        <c:scaling>
          <c:orientation val="minMax"/>
        </c:scaling>
        <c:delete val="0"/>
        <c:axPos val="b"/>
        <c:numFmt formatCode="General" sourceLinked="0"/>
        <c:majorTickMark val="out"/>
        <c:minorTickMark val="none"/>
        <c:tickLblPos val="nextTo"/>
        <c:txPr>
          <a:bodyPr/>
          <a:lstStyle/>
          <a:p>
            <a:pPr>
              <a:defRPr lang="en-US"/>
            </a:pPr>
            <a:endParaRPr lang="en-US"/>
          </a:p>
        </c:txPr>
        <c:crossAx val="437292456"/>
        <c:crosses val="autoZero"/>
        <c:auto val="1"/>
        <c:lblAlgn val="ctr"/>
        <c:lblOffset val="100"/>
        <c:noMultiLvlLbl val="0"/>
      </c:catAx>
      <c:valAx>
        <c:axId val="4372924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72897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0.94736842105263153</c:v>
                </c:pt>
                <c:pt idx="1">
                  <c:v>1</c:v>
                </c:pt>
                <c:pt idx="2">
                  <c:v>1</c:v>
                </c:pt>
                <c:pt idx="3">
                  <c:v>0.95454545454545459</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5.2631578947368418E-2</c:v>
                </c:pt>
                <c:pt idx="1">
                  <c:v>0</c:v>
                </c:pt>
                <c:pt idx="2">
                  <c:v>0</c:v>
                </c:pt>
                <c:pt idx="3">
                  <c:v>4.5454545454545456E-2</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37295200"/>
        <c:axId val="437294808"/>
      </c:lineChart>
      <c:catAx>
        <c:axId val="437295200"/>
        <c:scaling>
          <c:orientation val="minMax"/>
        </c:scaling>
        <c:delete val="0"/>
        <c:axPos val="b"/>
        <c:numFmt formatCode="General" sourceLinked="0"/>
        <c:majorTickMark val="out"/>
        <c:minorTickMark val="none"/>
        <c:tickLblPos val="nextTo"/>
        <c:txPr>
          <a:bodyPr/>
          <a:lstStyle/>
          <a:p>
            <a:pPr>
              <a:defRPr lang="en-US"/>
            </a:pPr>
            <a:endParaRPr lang="en-US"/>
          </a:p>
        </c:txPr>
        <c:crossAx val="437294808"/>
        <c:crosses val="autoZero"/>
        <c:auto val="1"/>
        <c:lblAlgn val="ctr"/>
        <c:lblOffset val="100"/>
        <c:noMultiLvlLbl val="0"/>
      </c:catAx>
      <c:valAx>
        <c:axId val="43729480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72952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0.84615384615384626</c:v>
                </c:pt>
                <c:pt idx="1">
                  <c:v>0</c:v>
                </c:pt>
                <c:pt idx="2">
                  <c:v>0.15384615384615385</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0.94736842105263153</c:v>
                </c:pt>
                <c:pt idx="1">
                  <c:v>5.2631578947368418E-2</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0.8666666666666667</c:v>
                </c:pt>
                <c:pt idx="1">
                  <c:v>0</c:v>
                </c:pt>
                <c:pt idx="2">
                  <c:v>0.13333333333333333</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0.94117647058823528</c:v>
                </c:pt>
                <c:pt idx="1">
                  <c:v>0.95000000000000007</c:v>
                </c:pt>
                <c:pt idx="2">
                  <c:v>1</c:v>
                </c:pt>
                <c:pt idx="3">
                  <c:v>0.95454545454545459</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5.8823529411764705E-2</c:v>
                </c:pt>
                <c:pt idx="1">
                  <c:v>0.05</c:v>
                </c:pt>
                <c:pt idx="2">
                  <c:v>0</c:v>
                </c:pt>
                <c:pt idx="3">
                  <c:v>4.5454545454545456E-2</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36175472"/>
        <c:axId val="436175856"/>
      </c:lineChart>
      <c:catAx>
        <c:axId val="436175472"/>
        <c:scaling>
          <c:orientation val="minMax"/>
        </c:scaling>
        <c:delete val="0"/>
        <c:axPos val="b"/>
        <c:numFmt formatCode="General" sourceLinked="0"/>
        <c:majorTickMark val="out"/>
        <c:minorTickMark val="none"/>
        <c:tickLblPos val="nextTo"/>
        <c:txPr>
          <a:bodyPr/>
          <a:lstStyle/>
          <a:p>
            <a:pPr>
              <a:defRPr lang="en-US"/>
            </a:pPr>
            <a:endParaRPr lang="en-US"/>
          </a:p>
        </c:txPr>
        <c:crossAx val="436175856"/>
        <c:crosses val="autoZero"/>
        <c:auto val="1"/>
        <c:lblAlgn val="ctr"/>
        <c:lblOffset val="100"/>
        <c:noMultiLvlLbl val="0"/>
      </c:catAx>
      <c:valAx>
        <c:axId val="4361758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61754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0.84210526315789469</c:v>
                </c:pt>
                <c:pt idx="1">
                  <c:v>0</c:v>
                </c:pt>
                <c:pt idx="2">
                  <c:v>0.15789473684210525</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0.78947368421052633</c:v>
                </c:pt>
                <c:pt idx="1">
                  <c:v>5.2631578947368418E-2</c:v>
                </c:pt>
                <c:pt idx="2">
                  <c:v>0.15789473684210525</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6.6666666666666666E-2</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0.93548387096774199</c:v>
                </c:pt>
                <c:pt idx="1">
                  <c:v>0</c:v>
                </c:pt>
                <c:pt idx="2">
                  <c:v>6.4516129032258063E-2</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0.83333333333333326</c:v>
                </c:pt>
                <c:pt idx="1">
                  <c:v>0</c:v>
                </c:pt>
                <c:pt idx="2">
                  <c:v>0.16666666666666666</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0.83333333333333337</c:v>
                </c:pt>
                <c:pt idx="1">
                  <c:v>8.3333333333333329E-2</c:v>
                </c:pt>
                <c:pt idx="2">
                  <c:v>8.3333333333333329E-2</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0.95238095238095233</c:v>
                </c:pt>
                <c:pt idx="1">
                  <c:v>0.95833333333333337</c:v>
                </c:pt>
                <c:pt idx="2">
                  <c:v>0.95833333333333326</c:v>
                </c:pt>
                <c:pt idx="3">
                  <c:v>0.875</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4.7619047619047616E-2</c:v>
                </c:pt>
                <c:pt idx="1">
                  <c:v>4.1666666666666664E-2</c:v>
                </c:pt>
                <c:pt idx="2">
                  <c:v>0</c:v>
                </c:pt>
                <c:pt idx="3">
                  <c:v>8.3333333333333329E-2</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4.1666666666666664E-2</c:v>
                </c:pt>
                <c:pt idx="3">
                  <c:v>4.1666666666666664E-2</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33330920"/>
        <c:axId val="333331304"/>
      </c:lineChart>
      <c:catAx>
        <c:axId val="333330920"/>
        <c:scaling>
          <c:orientation val="minMax"/>
        </c:scaling>
        <c:delete val="0"/>
        <c:axPos val="b"/>
        <c:numFmt formatCode="General" sourceLinked="0"/>
        <c:majorTickMark val="out"/>
        <c:minorTickMark val="none"/>
        <c:tickLblPos val="nextTo"/>
        <c:txPr>
          <a:bodyPr/>
          <a:lstStyle/>
          <a:p>
            <a:pPr>
              <a:defRPr lang="en-US"/>
            </a:pPr>
            <a:endParaRPr lang="en-US"/>
          </a:p>
        </c:txPr>
        <c:crossAx val="333331304"/>
        <c:crosses val="autoZero"/>
        <c:auto val="1"/>
        <c:lblAlgn val="ctr"/>
        <c:lblOffset val="100"/>
        <c:noMultiLvlLbl val="0"/>
      </c:catAx>
      <c:valAx>
        <c:axId val="3333313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3309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c:v>
                </c:pt>
                <c:pt idx="1">
                  <c:v>0</c:v>
                </c:pt>
                <c:pt idx="2">
                  <c:v>0.9</c:v>
                </c:pt>
                <c:pt idx="3">
                  <c:v>0.88888888888888884</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0.1</c:v>
                </c:pt>
                <c:pt idx="3">
                  <c:v>0.1111111111111111</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38328848"/>
        <c:axId val="438322184"/>
      </c:lineChart>
      <c:catAx>
        <c:axId val="438328848"/>
        <c:scaling>
          <c:orientation val="minMax"/>
        </c:scaling>
        <c:delete val="0"/>
        <c:axPos val="b"/>
        <c:numFmt formatCode="General" sourceLinked="0"/>
        <c:majorTickMark val="out"/>
        <c:minorTickMark val="none"/>
        <c:tickLblPos val="nextTo"/>
        <c:txPr>
          <a:bodyPr/>
          <a:lstStyle/>
          <a:p>
            <a:pPr>
              <a:defRPr lang="en-US"/>
            </a:pPr>
            <a:endParaRPr lang="en-US"/>
          </a:p>
        </c:txPr>
        <c:crossAx val="438322184"/>
        <c:crosses val="autoZero"/>
        <c:auto val="1"/>
        <c:lblAlgn val="ctr"/>
        <c:lblOffset val="100"/>
        <c:noMultiLvlLbl val="0"/>
      </c:catAx>
      <c:valAx>
        <c:axId val="43832218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83288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c:v>
                </c:pt>
                <c:pt idx="1">
                  <c:v>0.1</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0.88888888888888884</c:v>
                </c:pt>
                <c:pt idx="1">
                  <c:v>0.1111111111111111</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0.90666666666666673</c:v>
                </c:pt>
                <c:pt idx="1">
                  <c:v>5.3333333333333337E-2</c:v>
                </c:pt>
                <c:pt idx="2">
                  <c:v>0.04</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0.86486486486486491</c:v>
                </c:pt>
                <c:pt idx="1">
                  <c:v>5.4054054054054057E-2</c:v>
                </c:pt>
                <c:pt idx="2">
                  <c:v>8.1081081081081086E-2</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0.94117647058823528</c:v>
                </c:pt>
                <c:pt idx="1">
                  <c:v>5.8823529411764705E-2</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0.95238095238095233</c:v>
                </c:pt>
                <c:pt idx="1">
                  <c:v>4.7619047619047616E-2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0.91764705882352937</c:v>
                </c:pt>
                <c:pt idx="1">
                  <c:v>4.7058823529411764E-2</c:v>
                </c:pt>
                <c:pt idx="2">
                  <c:v>3.5294117647058823E-2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A2:AC111"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20" sqref="E20"/>
    </sheetView>
  </sheetViews>
  <sheetFormatPr defaultColWidth="9.109375" defaultRowHeight="14.4"/>
  <cols>
    <col min="1" max="16384" width="9.109375" style="141"/>
  </cols>
  <sheetData>
    <row r="1" spans="1:7">
      <c r="A1" s="141" t="s">
        <v>251</v>
      </c>
    </row>
    <row r="2" spans="1:7">
      <c r="A2" s="144" t="s">
        <v>540</v>
      </c>
      <c r="B2" s="143"/>
      <c r="C2" s="143"/>
      <c r="D2" s="143"/>
      <c r="E2" s="143"/>
      <c r="F2" s="143"/>
      <c r="G2" s="143"/>
    </row>
    <row r="4" spans="1:7">
      <c r="A4" s="145" t="s">
        <v>237</v>
      </c>
    </row>
    <row r="6" spans="1:7">
      <c r="A6" s="142" t="s">
        <v>245</v>
      </c>
    </row>
    <row r="7" spans="1:7">
      <c r="B7" s="145" t="s">
        <v>244</v>
      </c>
    </row>
    <row r="8" spans="1:7" hidden="1">
      <c r="B8" s="145" t="s">
        <v>246</v>
      </c>
    </row>
    <row r="9" spans="1:7" hidden="1">
      <c r="B9" s="145" t="s">
        <v>247</v>
      </c>
    </row>
    <row r="10" spans="1:7" hidden="1">
      <c r="B10" s="145" t="s">
        <v>248</v>
      </c>
    </row>
    <row r="12" spans="1:7">
      <c r="A12" s="142" t="s">
        <v>249</v>
      </c>
    </row>
    <row r="13" spans="1:7">
      <c r="B13" s="145" t="s">
        <v>239</v>
      </c>
    </row>
    <row r="14" spans="1:7">
      <c r="B14" s="145" t="s">
        <v>241</v>
      </c>
    </row>
    <row r="16" spans="1:7">
      <c r="A16" s="142" t="s">
        <v>250</v>
      </c>
    </row>
    <row r="17" spans="1:2">
      <c r="B17" s="145" t="s">
        <v>240</v>
      </c>
    </row>
    <row r="18" spans="1:2">
      <c r="B18" s="145" t="s">
        <v>242</v>
      </c>
    </row>
    <row r="20" spans="1:2">
      <c r="A20" s="145" t="s">
        <v>243</v>
      </c>
    </row>
    <row r="22" spans="1:2">
      <c r="A22" s="145" t="s">
        <v>238</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109375" defaultRowHeight="14.4"/>
  <cols>
    <col min="1" max="1" width="3.44140625" style="75" customWidth="1"/>
    <col min="2" max="9" width="9.109375" style="75"/>
    <col min="10" max="10" width="3.44140625" style="75" customWidth="1"/>
    <col min="11" max="11" width="9.109375" style="76"/>
    <col min="12" max="18" width="9.109375" style="75"/>
    <col min="19" max="19" width="3.44140625" style="75" customWidth="1"/>
    <col min="20" max="27" width="9.109375" style="75" customWidth="1"/>
    <col min="28" max="28" width="3.44140625" style="75" customWidth="1"/>
    <col min="29" max="36" width="9.109375" style="75" customWidth="1"/>
    <col min="37" max="37" width="3.44140625" style="75" customWidth="1"/>
    <col min="38" max="47" width="9.109375" style="75" customWidth="1"/>
    <col min="48" max="50" width="9.109375" style="75"/>
    <col min="51" max="51" width="9.109375" style="81"/>
    <col min="52" max="55" width="10" style="81" customWidth="1"/>
    <col min="56" max="16384" width="9.109375" style="75"/>
  </cols>
  <sheetData>
    <row r="1" spans="2:56" s="74" customFormat="1" ht="35.25" customHeight="1" thickTop="1">
      <c r="B1" s="80" t="s">
        <v>221</v>
      </c>
      <c r="K1" s="442" t="s">
        <v>201</v>
      </c>
      <c r="L1" s="443"/>
      <c r="M1" s="443"/>
      <c r="N1" s="443"/>
      <c r="O1" s="443"/>
      <c r="P1" s="443"/>
      <c r="Q1" s="443"/>
      <c r="R1" s="443"/>
      <c r="S1" s="443"/>
      <c r="T1" s="443"/>
      <c r="U1" s="443"/>
      <c r="V1" s="443"/>
      <c r="W1" s="443"/>
      <c r="X1" s="444"/>
      <c r="AY1" s="80"/>
      <c r="AZ1" s="80"/>
      <c r="BA1" s="80"/>
      <c r="BB1" s="80"/>
      <c r="BC1" s="80"/>
    </row>
    <row r="2" spans="2:56" s="74" customFormat="1" ht="35.4">
      <c r="K2" s="445"/>
      <c r="L2" s="446"/>
      <c r="M2" s="446"/>
      <c r="N2" s="446"/>
      <c r="O2" s="446"/>
      <c r="P2" s="446"/>
      <c r="Q2" s="446"/>
      <c r="R2" s="446"/>
      <c r="S2" s="446"/>
      <c r="T2" s="446"/>
      <c r="U2" s="446"/>
      <c r="V2" s="446"/>
      <c r="W2" s="446"/>
      <c r="X2" s="447"/>
      <c r="AY2" s="80"/>
      <c r="AZ2" s="80"/>
      <c r="BA2" s="80"/>
      <c r="BB2" s="80"/>
      <c r="BC2" s="80"/>
    </row>
    <row r="3" spans="2:56" s="74" customFormat="1" ht="36" thickBot="1">
      <c r="K3" s="448"/>
      <c r="L3" s="449"/>
      <c r="M3" s="449"/>
      <c r="N3" s="449"/>
      <c r="O3" s="449"/>
      <c r="P3" s="449"/>
      <c r="Q3" s="449"/>
      <c r="R3" s="449"/>
      <c r="S3" s="449"/>
      <c r="T3" s="449"/>
      <c r="U3" s="449"/>
      <c r="V3" s="449"/>
      <c r="W3" s="449"/>
      <c r="X3" s="450"/>
      <c r="AY3" s="80"/>
      <c r="AZ3" s="80"/>
      <c r="BA3" s="80"/>
      <c r="BB3" s="80"/>
      <c r="BC3" s="80"/>
    </row>
    <row r="4" spans="2:56" ht="15" thickTop="1">
      <c r="N4" s="77" t="s">
        <v>194</v>
      </c>
      <c r="W4" s="77" t="s">
        <v>194</v>
      </c>
      <c r="AF4" s="77" t="s">
        <v>194</v>
      </c>
      <c r="AO4" s="77" t="s">
        <v>194</v>
      </c>
    </row>
    <row r="5" spans="2:56">
      <c r="AY5" s="82" t="s">
        <v>207</v>
      </c>
      <c r="AZ5" s="83"/>
      <c r="BA5" s="83"/>
      <c r="BB5" s="83"/>
      <c r="BC5" s="83"/>
      <c r="BD5" s="76"/>
    </row>
    <row r="6" spans="2:56">
      <c r="AY6" s="84"/>
      <c r="AZ6" s="85" t="s">
        <v>120</v>
      </c>
      <c r="BA6" s="85" t="s">
        <v>121</v>
      </c>
      <c r="BB6" s="85" t="s">
        <v>122</v>
      </c>
      <c r="BC6" s="85" t="s">
        <v>119</v>
      </c>
      <c r="BD6" s="76"/>
    </row>
    <row r="7" spans="2:56">
      <c r="AY7" s="86" t="s">
        <v>203</v>
      </c>
      <c r="AZ7" s="87">
        <f>'3a. % by Portfolio'!G6</f>
        <v>0.84615384615384626</v>
      </c>
      <c r="BA7" s="87">
        <f>'3a. % by Portfolio'!N6</f>
        <v>0.8666666666666667</v>
      </c>
      <c r="BB7" s="87">
        <f>'3a. % by Portfolio'!U6</f>
        <v>0.84210526315789469</v>
      </c>
      <c r="BC7" s="87">
        <f>'3a. % by Portfolio'!AB6</f>
        <v>0.78947368421052633</v>
      </c>
      <c r="BD7" s="76"/>
    </row>
    <row r="8" spans="2:56">
      <c r="L8" s="78"/>
      <c r="M8" s="78"/>
      <c r="AY8" s="86" t="s">
        <v>204</v>
      </c>
      <c r="AZ8" s="87">
        <f>'3a. % by Portfolio'!G9</f>
        <v>0</v>
      </c>
      <c r="BA8" s="87">
        <f>'3a. % by Portfolio'!N9</f>
        <v>0</v>
      </c>
      <c r="BB8" s="87">
        <f>'3a. % by Portfolio'!U9</f>
        <v>0</v>
      </c>
      <c r="BC8" s="87">
        <f>'3a. % by Portfolio'!AB9</f>
        <v>5.2631578947368418E-2</v>
      </c>
      <c r="BD8" s="76"/>
    </row>
    <row r="9" spans="2:56">
      <c r="L9" s="78"/>
      <c r="M9" s="78"/>
      <c r="AY9" s="86" t="s">
        <v>205</v>
      </c>
      <c r="AZ9" s="87">
        <f>'3a. % by Portfolio'!G13</f>
        <v>0.15384615384615385</v>
      </c>
      <c r="BA9" s="87">
        <f>'3a. % by Portfolio'!N13</f>
        <v>0.13333333333333333</v>
      </c>
      <c r="BB9" s="87">
        <f>'3a. % by Portfolio'!U13</f>
        <v>0.15789473684210525</v>
      </c>
      <c r="BC9" s="87">
        <f>'3a. % by Portfolio'!AB13</f>
        <v>0.15789473684210525</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194</v>
      </c>
      <c r="W20" s="77" t="s">
        <v>194</v>
      </c>
      <c r="AF20" s="77" t="s">
        <v>194</v>
      </c>
      <c r="AO20" s="77" t="s">
        <v>194</v>
      </c>
      <c r="AY20" s="83"/>
      <c r="AZ20" s="83"/>
      <c r="BA20" s="83"/>
      <c r="BB20" s="83"/>
      <c r="BC20" s="83"/>
      <c r="BD20" s="76"/>
    </row>
    <row r="21" spans="12:56">
      <c r="AY21" s="82" t="s">
        <v>217</v>
      </c>
      <c r="AZ21" s="83"/>
      <c r="BA21" s="83"/>
      <c r="BB21" s="83"/>
      <c r="BC21" s="83"/>
      <c r="BD21" s="76"/>
    </row>
    <row r="22" spans="12:56">
      <c r="AY22" s="84"/>
      <c r="AZ22" s="85" t="s">
        <v>120</v>
      </c>
      <c r="BA22" s="85" t="s">
        <v>121</v>
      </c>
      <c r="BB22" s="85" t="s">
        <v>122</v>
      </c>
      <c r="BC22" s="85" t="s">
        <v>119</v>
      </c>
      <c r="BD22" s="76"/>
    </row>
    <row r="23" spans="12:56">
      <c r="AY23" s="86" t="s">
        <v>203</v>
      </c>
      <c r="AZ23" s="87">
        <f>'3a. % by Portfolio'!G29</f>
        <v>1</v>
      </c>
      <c r="BA23" s="87">
        <f>'3a. % by Portfolio'!N29</f>
        <v>0.93333333333333335</v>
      </c>
      <c r="BB23" s="87">
        <f>'3a. % by Portfolio'!U29</f>
        <v>0.9</v>
      </c>
      <c r="BC23" s="87">
        <f>'3a. % by Portfolio'!AB29</f>
        <v>0.93548387096774199</v>
      </c>
      <c r="BD23" s="76"/>
    </row>
    <row r="24" spans="12:56">
      <c r="L24" s="78"/>
      <c r="M24" s="78"/>
      <c r="AY24" s="86" t="s">
        <v>204</v>
      </c>
      <c r="AZ24" s="87">
        <f>'3a. % by Portfolio'!G32</f>
        <v>0</v>
      </c>
      <c r="BA24" s="87">
        <f>'3a. % by Portfolio'!N32</f>
        <v>6.6666666666666666E-2</v>
      </c>
      <c r="BB24" s="87">
        <f>'3a. % by Portfolio'!U32</f>
        <v>6.6666666666666666E-2</v>
      </c>
      <c r="BC24" s="87">
        <f>'3a. % by Portfolio'!AB32</f>
        <v>0</v>
      </c>
      <c r="BD24" s="76"/>
    </row>
    <row r="25" spans="12:56">
      <c r="L25" s="78"/>
      <c r="M25" s="78"/>
      <c r="AY25" s="86" t="s">
        <v>205</v>
      </c>
      <c r="AZ25" s="87">
        <f>'3a. % by Portfolio'!G36</f>
        <v>0</v>
      </c>
      <c r="BA25" s="87">
        <f>'3a. % by Portfolio'!N36</f>
        <v>0</v>
      </c>
      <c r="BB25" s="87">
        <f>'3a. % by Portfolio'!U36</f>
        <v>3.3333333333333333E-2</v>
      </c>
      <c r="BC25" s="87">
        <f>'3a. % by Portfolio'!AB36</f>
        <v>6.4516129032258063E-2</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194</v>
      </c>
      <c r="W36" s="77" t="s">
        <v>194</v>
      </c>
      <c r="AF36" s="77" t="s">
        <v>194</v>
      </c>
      <c r="AO36" s="77" t="s">
        <v>194</v>
      </c>
      <c r="AY36" s="83"/>
      <c r="AZ36" s="83"/>
      <c r="BA36" s="83"/>
      <c r="BB36" s="83"/>
      <c r="BC36" s="83"/>
      <c r="BD36" s="76"/>
    </row>
    <row r="37" spans="11:56">
      <c r="AY37" s="82" t="s">
        <v>218</v>
      </c>
      <c r="AZ37" s="91"/>
      <c r="BA37" s="91"/>
      <c r="BB37" s="91"/>
      <c r="BC37" s="91"/>
      <c r="BD37" s="79"/>
    </row>
    <row r="38" spans="11:56">
      <c r="AY38" s="92"/>
      <c r="AZ38" s="85" t="s">
        <v>120</v>
      </c>
      <c r="BA38" s="85" t="s">
        <v>121</v>
      </c>
      <c r="BB38" s="85" t="s">
        <v>122</v>
      </c>
      <c r="BC38" s="85" t="s">
        <v>119</v>
      </c>
      <c r="BD38" s="79"/>
    </row>
    <row r="39" spans="11:56">
      <c r="AY39" s="86" t="s">
        <v>203</v>
      </c>
      <c r="AZ39" s="87" t="e">
        <f>'3a. % by Portfolio'!G51</f>
        <v>#DIV/0!</v>
      </c>
      <c r="BA39" s="87" t="e">
        <f>'3a. % by Portfolio'!N51</f>
        <v>#DIV/0!</v>
      </c>
      <c r="BB39" s="87">
        <f>'3a. % by Portfolio'!U51</f>
        <v>0.83333333333333326</v>
      </c>
      <c r="BC39" s="87">
        <f>'3a. % by Portfolio'!AB51</f>
        <v>0.83333333333333337</v>
      </c>
      <c r="BD39" s="79"/>
    </row>
    <row r="40" spans="11:56">
      <c r="K40" s="78"/>
      <c r="L40" s="78"/>
      <c r="AY40" s="86" t="s">
        <v>204</v>
      </c>
      <c r="AZ40" s="87" t="e">
        <f>'3a. % by Portfolio'!G54</f>
        <v>#DIV/0!</v>
      </c>
      <c r="BA40" s="87" t="e">
        <f>'3a. % by Portfolio'!N54</f>
        <v>#DIV/0!</v>
      </c>
      <c r="BB40" s="87">
        <f>'3a. % by Portfolio'!U54</f>
        <v>0</v>
      </c>
      <c r="BC40" s="87">
        <f>'3a. % by Portfolio'!AB54</f>
        <v>8.3333333333333329E-2</v>
      </c>
      <c r="BD40" s="79"/>
    </row>
    <row r="41" spans="11:56">
      <c r="K41" s="78"/>
      <c r="L41" s="78"/>
      <c r="AY41" s="86" t="s">
        <v>205</v>
      </c>
      <c r="AZ41" s="87" t="e">
        <f>'3a. % by Portfolio'!G58</f>
        <v>#DIV/0!</v>
      </c>
      <c r="BA41" s="87" t="e">
        <f>'3a. % by Portfolio'!N58</f>
        <v>#DIV/0!</v>
      </c>
      <c r="BB41" s="87">
        <f>'3a. % by Portfolio'!U58</f>
        <v>0.16666666666666666</v>
      </c>
      <c r="BC41" s="87">
        <f>'3a. % by Portfolio'!AB58</f>
        <v>8.3333333333333329E-2</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194</v>
      </c>
      <c r="W52" s="77" t="s">
        <v>194</v>
      </c>
      <c r="AF52" s="77" t="s">
        <v>194</v>
      </c>
      <c r="AO52" s="77" t="s">
        <v>194</v>
      </c>
      <c r="AY52" s="83"/>
      <c r="AZ52" s="83"/>
      <c r="BA52" s="83"/>
      <c r="BB52" s="83"/>
      <c r="BC52" s="83"/>
      <c r="BD52" s="76"/>
    </row>
    <row r="53" spans="12:56">
      <c r="AY53" s="82" t="s">
        <v>219</v>
      </c>
      <c r="AZ53" s="91"/>
      <c r="BA53" s="91"/>
      <c r="BB53" s="91"/>
      <c r="BC53" s="91"/>
      <c r="BD53" s="76"/>
    </row>
    <row r="54" spans="12:56">
      <c r="AY54" s="92"/>
      <c r="AZ54" s="85" t="s">
        <v>120</v>
      </c>
      <c r="BA54" s="85" t="s">
        <v>121</v>
      </c>
      <c r="BB54" s="85" t="s">
        <v>122</v>
      </c>
      <c r="BC54" s="85" t="s">
        <v>119</v>
      </c>
      <c r="BD54" s="76"/>
    </row>
    <row r="55" spans="12:56">
      <c r="AY55" s="86" t="s">
        <v>203</v>
      </c>
      <c r="AZ55" s="87">
        <f>'3a. % by Portfolio'!G73</f>
        <v>0.94736842105263153</v>
      </c>
      <c r="BA55" s="87">
        <f>'3a. % by Portfolio'!N73</f>
        <v>1</v>
      </c>
      <c r="BB55" s="87">
        <f>'3a. % by Portfolio'!U73</f>
        <v>1</v>
      </c>
      <c r="BC55" s="87">
        <f>'3a. % by Portfolio'!AB73</f>
        <v>0.95454545454545459</v>
      </c>
      <c r="BD55" s="76"/>
    </row>
    <row r="56" spans="12:56">
      <c r="L56" s="78"/>
      <c r="M56" s="78"/>
      <c r="AY56" s="86" t="s">
        <v>204</v>
      </c>
      <c r="AZ56" s="87">
        <f>'3a. % by Portfolio'!G76</f>
        <v>5.2631578947368418E-2</v>
      </c>
      <c r="BA56" s="87">
        <f>'3a. % by Portfolio'!N76</f>
        <v>0</v>
      </c>
      <c r="BB56" s="87">
        <f>'3a. % by Portfolio'!U76</f>
        <v>0</v>
      </c>
      <c r="BC56" s="87">
        <f>'3a. % by Portfolio'!AB76</f>
        <v>4.5454545454545456E-2</v>
      </c>
      <c r="BD56" s="76"/>
    </row>
    <row r="57" spans="12:56">
      <c r="L57" s="78"/>
      <c r="M57" s="78"/>
      <c r="AY57" s="86" t="s">
        <v>205</v>
      </c>
      <c r="AZ57" s="87">
        <f>'3a. % by Portfolio'!G80</f>
        <v>0</v>
      </c>
      <c r="BA57" s="87">
        <f>'3a. % by Portfolio'!N80</f>
        <v>0</v>
      </c>
      <c r="BB57" s="87">
        <f>'3a. % by Portfolio'!U80</f>
        <v>0</v>
      </c>
      <c r="BC57" s="87">
        <f>'3a. % by Portfolio'!AB80</f>
        <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194</v>
      </c>
      <c r="W68" s="77" t="s">
        <v>194</v>
      </c>
      <c r="AF68" s="77" t="s">
        <v>194</v>
      </c>
      <c r="AO68" s="77" t="s">
        <v>194</v>
      </c>
      <c r="AY68" s="83"/>
      <c r="AZ68" s="83"/>
      <c r="BA68" s="83"/>
      <c r="BB68" s="83"/>
      <c r="BC68" s="83"/>
      <c r="BD68" s="76"/>
    </row>
    <row r="69" spans="14:56">
      <c r="AY69" s="82" t="s">
        <v>220</v>
      </c>
      <c r="AZ69" s="91"/>
      <c r="BA69" s="91"/>
      <c r="BB69" s="91"/>
      <c r="BC69" s="91"/>
    </row>
    <row r="70" spans="14:56">
      <c r="AY70" s="92"/>
      <c r="AZ70" s="85" t="s">
        <v>120</v>
      </c>
      <c r="BA70" s="85" t="s">
        <v>121</v>
      </c>
      <c r="BB70" s="85" t="s">
        <v>122</v>
      </c>
      <c r="BC70" s="85" t="s">
        <v>119</v>
      </c>
    </row>
    <row r="71" spans="14:56">
      <c r="AY71" s="86" t="s">
        <v>203</v>
      </c>
      <c r="AZ71" s="87" t="e">
        <f>'3a. % by Portfolio'!G95</f>
        <v>#DIV/0!</v>
      </c>
      <c r="BA71" s="87" t="e">
        <f>'3a. % by Portfolio'!N95</f>
        <v>#DIV/0!</v>
      </c>
      <c r="BB71" s="87">
        <f>'3a. % by Portfolio'!U95</f>
        <v>0.9</v>
      </c>
      <c r="BC71" s="87">
        <f>'3a. % by Portfolio'!AB95</f>
        <v>0.88888888888888884</v>
      </c>
    </row>
    <row r="72" spans="14:56">
      <c r="AY72" s="86" t="s">
        <v>204</v>
      </c>
      <c r="AZ72" s="87" t="e">
        <f>'3a. % by Portfolio'!G98</f>
        <v>#DIV/0!</v>
      </c>
      <c r="BA72" s="87" t="e">
        <f>'3a. % by Portfolio'!N98</f>
        <v>#DIV/0!</v>
      </c>
      <c r="BB72" s="87">
        <f>'3a. % by Portfolio'!U98</f>
        <v>0.1</v>
      </c>
      <c r="BC72" s="87">
        <f>'3a. % by Portfolio'!AB98</f>
        <v>0.1111111111111111</v>
      </c>
    </row>
    <row r="73" spans="14:56">
      <c r="AY73" s="86" t="s">
        <v>205</v>
      </c>
      <c r="AZ73" s="87" t="e">
        <f>'3a. % by Portfolio'!G102</f>
        <v>#DIV/0!</v>
      </c>
      <c r="BA73" s="87" t="e">
        <f>'3a. % by Portfolio'!N102</f>
        <v>#DIV/0!</v>
      </c>
      <c r="BB73" s="87">
        <f>'3a. % by Portfolio'!U102</f>
        <v>0</v>
      </c>
      <c r="BC73" s="87">
        <f>'3a. % by Portfolio'!AB102</f>
        <v>0</v>
      </c>
    </row>
    <row r="84" spans="14:56">
      <c r="N84" s="77" t="s">
        <v>194</v>
      </c>
      <c r="W84" s="77" t="s">
        <v>194</v>
      </c>
      <c r="AF84" s="77" t="s">
        <v>194</v>
      </c>
      <c r="AO84" s="77" t="s">
        <v>194</v>
      </c>
    </row>
    <row r="85" spans="14:56">
      <c r="AY85" s="82" t="s">
        <v>208</v>
      </c>
      <c r="AZ85" s="91"/>
      <c r="BA85" s="91"/>
      <c r="BB85" s="91"/>
      <c r="BC85" s="91"/>
    </row>
    <row r="86" spans="14:56">
      <c r="AY86" s="92"/>
      <c r="AZ86" s="85" t="s">
        <v>120</v>
      </c>
      <c r="BA86" s="85" t="s">
        <v>121</v>
      </c>
      <c r="BB86" s="85" t="s">
        <v>122</v>
      </c>
      <c r="BC86" s="85" t="s">
        <v>119</v>
      </c>
    </row>
    <row r="87" spans="14:56">
      <c r="AY87" s="86" t="s">
        <v>203</v>
      </c>
      <c r="AZ87" s="87">
        <f>'3a. % by Portfolio'!G117</f>
        <v>0</v>
      </c>
      <c r="BA87" s="87">
        <f>'3a. % by Portfolio'!N117</f>
        <v>0</v>
      </c>
      <c r="BB87" s="87">
        <f>'3a. % by Portfolio'!U117</f>
        <v>0</v>
      </c>
      <c r="BC87" s="87">
        <f>'3a. % by Portfolio'!AB117</f>
        <v>0</v>
      </c>
    </row>
    <row r="88" spans="14:56">
      <c r="AY88" s="86" t="s">
        <v>204</v>
      </c>
      <c r="AZ88" s="87">
        <f>'3a. % by Portfolio'!G120</f>
        <v>0</v>
      </c>
      <c r="BA88" s="87">
        <f>'3a. % by Portfolio'!N120</f>
        <v>0</v>
      </c>
      <c r="BB88" s="87">
        <f>'3a. % by Portfolio'!U120</f>
        <v>0</v>
      </c>
      <c r="BC88" s="87">
        <f>'3a. % by Portfolio'!AB120</f>
        <v>0</v>
      </c>
    </row>
    <row r="89" spans="14:56">
      <c r="AY89" s="86" t="s">
        <v>205</v>
      </c>
      <c r="AZ89" s="87">
        <f>'3a. % by Portfolio'!G124</f>
        <v>0</v>
      </c>
      <c r="BA89" s="87">
        <f>'3a. % by Portfolio'!N124</f>
        <v>0</v>
      </c>
      <c r="BB89" s="87">
        <f>'3a. % by Portfolio'!U124</f>
        <v>0</v>
      </c>
      <c r="BC89" s="87">
        <f>'3a. % by Portfolio'!AB124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194</v>
      </c>
      <c r="W100" s="77" t="s">
        <v>194</v>
      </c>
      <c r="AF100" s="77" t="s">
        <v>194</v>
      </c>
      <c r="AO100" s="77" t="s">
        <v>194</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194</v>
      </c>
      <c r="W116" s="77" t="s">
        <v>194</v>
      </c>
      <c r="AF116" s="77" t="s">
        <v>194</v>
      </c>
      <c r="AO116" s="77" t="s">
        <v>194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C3" sqref="C3"/>
    </sheetView>
  </sheetViews>
  <sheetFormatPr defaultColWidth="9.109375" defaultRowHeight="14.4"/>
  <cols>
    <col min="1" max="1" width="12.88671875" style="107" customWidth="1"/>
    <col min="2" max="2" width="55.33203125" style="107" customWidth="1"/>
    <col min="3" max="3" width="46.5546875" style="130" customWidth="1"/>
    <col min="4" max="10" width="26.109375" style="107" customWidth="1"/>
    <col min="11" max="14" width="9.109375" style="105" customWidth="1"/>
    <col min="15" max="15" width="16.5546875" style="105" hidden="1" customWidth="1"/>
    <col min="16" max="19" width="9.109375" style="105" hidden="1" customWidth="1"/>
    <col min="20" max="20" width="24.88671875" style="105" hidden="1" customWidth="1"/>
    <col min="21" max="25" width="9.109375" style="105" hidden="1" customWidth="1"/>
    <col min="26" max="26" width="0" style="105" hidden="1" customWidth="1"/>
    <col min="27" max="46" width="9.109375" style="105"/>
    <col min="47" max="16384" width="9.109375" style="107"/>
  </cols>
  <sheetData>
    <row r="1" spans="1:46" s="97" customFormat="1" ht="24" customHeight="1">
      <c r="A1" s="96" t="s">
        <v>194</v>
      </c>
      <c r="C1" s="98"/>
    </row>
    <row r="2" spans="1:46" s="100" customFormat="1" ht="63">
      <c r="A2" s="139" t="s">
        <v>222</v>
      </c>
      <c r="B2" s="139" t="s">
        <v>0</v>
      </c>
      <c r="C2" s="139" t="s">
        <v>1</v>
      </c>
      <c r="D2" s="140" t="s">
        <v>223</v>
      </c>
      <c r="E2" s="140" t="s">
        <v>224</v>
      </c>
      <c r="F2" s="140" t="s">
        <v>225</v>
      </c>
      <c r="G2" s="140" t="s">
        <v>226</v>
      </c>
      <c r="H2" s="140" t="s">
        <v>227</v>
      </c>
      <c r="I2" s="140" t="s">
        <v>228</v>
      </c>
      <c r="J2" s="140" t="s">
        <v>229</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231</v>
      </c>
    </row>
    <row r="4" spans="1:46" ht="99.75" customHeight="1" thickTop="1" thickBot="1">
      <c r="A4" s="102" t="str">
        <f>'1. All Data'!B3</f>
        <v>CR02</v>
      </c>
      <c r="B4" s="134" t="str">
        <f>'1. All Data'!C3</f>
        <v>Proactively Supporting the Boundary Review of East Staffordshire</v>
      </c>
      <c r="C4" s="135" t="str">
        <f>'1. All Data'!D3</f>
        <v>Respond to Boundary Review Consultation in line with LGBCE timetable</v>
      </c>
      <c r="D4" s="131" t="str">
        <f>'1. All Data'!H3</f>
        <v>On Track to be Achieved</v>
      </c>
      <c r="E4" s="104"/>
      <c r="F4" s="132" t="str">
        <f>'1. All Data'!M3</f>
        <v>On Track to be Achieved</v>
      </c>
      <c r="G4" s="104"/>
      <c r="H4" s="133" t="str">
        <f>'1. All Data'!R3</f>
        <v>On Track to be Achieved</v>
      </c>
      <c r="I4" s="104"/>
      <c r="J4" s="133" t="str">
        <f>'1. All Data'!V3</f>
        <v>Fully Achieved</v>
      </c>
      <c r="O4" s="106" t="s">
        <v>233</v>
      </c>
      <c r="Y4" s="104" t="s">
        <v>232</v>
      </c>
    </row>
    <row r="5" spans="1:46" ht="99.75" customHeight="1" thickTop="1" thickBot="1">
      <c r="A5" s="102" t="str">
        <f>'1. All Data'!B4</f>
        <v>CR03</v>
      </c>
      <c r="B5" s="134" t="str">
        <f>'1. All Data'!C4</f>
        <v>Proactively Supporting the Boundary Review of East Staffordshire</v>
      </c>
      <c r="C5" s="135" t="str">
        <f>'1. All Data'!D4</f>
        <v>Prepare for Polling Place Review following completion of Boundary Review</v>
      </c>
      <c r="D5" s="131" t="str">
        <f>'1. All Data'!H4</f>
        <v>On Track to be Achieved</v>
      </c>
      <c r="E5" s="104"/>
      <c r="F5" s="132" t="str">
        <f>'1. All Data'!M4</f>
        <v>On Track to be Achieved</v>
      </c>
      <c r="G5" s="104"/>
      <c r="H5" s="133" t="str">
        <f>'1. All Data'!R4</f>
        <v>On Track to be Achieved</v>
      </c>
      <c r="I5" s="104"/>
      <c r="J5" s="133" t="str">
        <f>'1. All Data'!V4</f>
        <v>Fully Achieved</v>
      </c>
      <c r="O5" s="106" t="s">
        <v>234</v>
      </c>
      <c r="T5" s="108"/>
      <c r="Y5" s="109" t="s">
        <v>235</v>
      </c>
    </row>
    <row r="6" spans="1:46" ht="88.8" thickTop="1" thickBot="1">
      <c r="A6" s="102" t="str">
        <f>'1. All Data'!B5</f>
        <v>CR04</v>
      </c>
      <c r="B6" s="134" t="str">
        <f>'1. All Data'!C5</f>
        <v>Increasing Staffing Availability Through Reduced Sickness</v>
      </c>
      <c r="C6" s="135" t="str">
        <f>'1. All Data'!D5</f>
        <v>Short Term Sickness Days Average: 2.98 days</v>
      </c>
      <c r="D6" s="131" t="str">
        <f>'1. All Data'!H5</f>
        <v>On Track to be Achieved</v>
      </c>
      <c r="E6" s="104"/>
      <c r="F6" s="132" t="str">
        <f>'1. All Data'!M5</f>
        <v>On Track to be Achieved</v>
      </c>
      <c r="G6" s="104"/>
      <c r="H6" s="133" t="str">
        <f>'1. All Data'!R5</f>
        <v>On Track to be Achieved</v>
      </c>
      <c r="I6" s="104"/>
      <c r="J6" s="133" t="str">
        <f>'1. All Data'!V5</f>
        <v>Fully Achieved</v>
      </c>
      <c r="O6" s="110" t="s">
        <v>230</v>
      </c>
      <c r="T6" s="111" t="s">
        <v>235</v>
      </c>
    </row>
    <row r="7" spans="1:46" ht="99.75" customHeight="1" thickTop="1">
      <c r="A7" s="102" t="str">
        <f>'1. All Data'!B6</f>
        <v>CR05</v>
      </c>
      <c r="B7" s="134" t="str">
        <f>'1. All Data'!C6</f>
        <v>Improve On The Average Time To Pay Creditors</v>
      </c>
      <c r="C7" s="135" t="str">
        <f>'1. All Data'!D6</f>
        <v>Average Time To Pay Creditors: 
10 days</v>
      </c>
      <c r="D7" s="131" t="str">
        <f>'1. All Data'!H6</f>
        <v>On Track to be Achieved</v>
      </c>
      <c r="E7" s="104"/>
      <c r="F7" s="132" t="str">
        <f>'1. All Data'!M6</f>
        <v>On Track to be Achieved</v>
      </c>
      <c r="G7" s="104"/>
      <c r="H7" s="133" t="str">
        <f>'1. All Data'!R6</f>
        <v>On Track to be Achieved</v>
      </c>
      <c r="I7" s="104"/>
      <c r="J7" s="133" t="str">
        <f>'1. All Data'!V6</f>
        <v>Fully Achieved</v>
      </c>
      <c r="T7" s="111" t="s">
        <v>236</v>
      </c>
    </row>
    <row r="8" spans="1:46" ht="99.75" customHeight="1">
      <c r="A8" s="102" t="str">
        <f>'1. All Data'!B7</f>
        <v>CR06</v>
      </c>
      <c r="B8" s="134" t="str">
        <f>'1. All Data'!C7</f>
        <v>Legal and Assets</v>
      </c>
      <c r="C8" s="135" t="str">
        <f>'1. All Data'!D7</f>
        <v xml:space="preserve">Commission a condition survey of the Council’s industrial units at Centrum 100 Business Park </v>
      </c>
      <c r="D8" s="131" t="str">
        <f>'1. All Data'!H7</f>
        <v>Not Yet Due</v>
      </c>
      <c r="E8" s="104"/>
      <c r="F8" s="132" t="str">
        <f>'1. All Data'!M7</f>
        <v>Fully Achieved</v>
      </c>
      <c r="G8" s="104"/>
      <c r="H8" s="133" t="str">
        <f>'1. All Data'!R7</f>
        <v>Fully Achieved</v>
      </c>
      <c r="I8" s="104"/>
      <c r="J8" s="133" t="str">
        <f>'1. All Data'!V7</f>
        <v>Fully Achieved</v>
      </c>
      <c r="T8" s="111" t="s">
        <v>232</v>
      </c>
    </row>
    <row r="9" spans="1:46" ht="99.75" customHeight="1">
      <c r="A9" s="102" t="str">
        <f>'1. All Data'!B8</f>
        <v>CR07</v>
      </c>
      <c r="B9" s="134" t="str">
        <f>'1. All Data'!C8</f>
        <v>Legal and Assets</v>
      </c>
      <c r="C9" s="135" t="str">
        <f>'1. All Data'!D8</f>
        <v>Carry out works to 8 of the Council’s commercial properties, as identified in the condition survey</v>
      </c>
      <c r="D9" s="131" t="str">
        <f>'1. All Data'!H8</f>
        <v>Not Yet Due</v>
      </c>
      <c r="E9" s="103"/>
      <c r="F9" s="132" t="str">
        <f>'1. All Data'!M8</f>
        <v>Not yet due</v>
      </c>
      <c r="G9" s="104"/>
      <c r="H9" s="133" t="str">
        <f>'1. All Data'!R8</f>
        <v>On Track to be Achieved</v>
      </c>
      <c r="I9" s="104"/>
      <c r="J9" s="133" t="str">
        <f>'1. All Data'!V8</f>
        <v>Target Partially Met</v>
      </c>
    </row>
    <row r="10" spans="1:46" ht="99.75" customHeight="1">
      <c r="A10" s="102" t="str">
        <f>'1. All Data'!B9</f>
        <v>CR08</v>
      </c>
      <c r="B10" s="134" t="str">
        <f>'1. All Data'!C9</f>
        <v>Increase Capacity at Stapenhill Cemetery</v>
      </c>
      <c r="C10" s="135" t="str">
        <f>'1. All Data'!D9</f>
        <v>Commence preparatory works for the expansion of Stapenhill Cemetery.</v>
      </c>
      <c r="D10" s="131" t="str">
        <f>'1. All Data'!H9</f>
        <v>Fully Achieved</v>
      </c>
      <c r="E10" s="103"/>
      <c r="F10" s="132" t="str">
        <f>'1. All Data'!M9</f>
        <v>Fully Achieved</v>
      </c>
      <c r="G10" s="104"/>
      <c r="H10" s="133" t="str">
        <f>'1. All Data'!R9</f>
        <v>Fully Achieved</v>
      </c>
      <c r="I10" s="104"/>
      <c r="J10" s="133" t="str">
        <f>'1. All Data'!V9</f>
        <v>Fully Achieved</v>
      </c>
    </row>
    <row r="11" spans="1:46" ht="99.75" customHeight="1">
      <c r="A11" s="102" t="str">
        <f>'1. All Data'!B10</f>
        <v>CR09</v>
      </c>
      <c r="B11" s="134" t="str">
        <f>'1. All Data'!C10</f>
        <v>Market Hall Development Initiatives</v>
      </c>
      <c r="C11" s="135" t="str">
        <f>'1. All Data'!D10</f>
        <v xml:space="preserve">Implement the outcome of the Market Hall future options review </v>
      </c>
      <c r="D11" s="131" t="str">
        <f>'1. All Data'!H10</f>
        <v>Deferred</v>
      </c>
      <c r="E11" s="103"/>
      <c r="F11" s="132" t="str">
        <f>'1. All Data'!M10</f>
        <v>Deferred</v>
      </c>
      <c r="G11" s="104"/>
      <c r="H11" s="133" t="str">
        <f>'1. All Data'!R10</f>
        <v>Deferred</v>
      </c>
      <c r="I11" s="104"/>
      <c r="J11" s="133" t="str">
        <f>'1. All Data'!V10</f>
        <v>Deferred</v>
      </c>
    </row>
    <row r="12" spans="1:46" ht="99.75" customHeight="1">
      <c r="A12" s="102" t="str">
        <f>'1. All Data'!B11</f>
        <v>CR10</v>
      </c>
      <c r="B12" s="134" t="str">
        <f>'1. All Data'!C11</f>
        <v>Market Development Initiatives</v>
      </c>
      <c r="C12" s="135" t="str">
        <f>'1. All Data'!D11</f>
        <v xml:space="preserve">Hold at least 7 commercial events in the Market Hall/Market Place </v>
      </c>
      <c r="D12" s="131" t="str">
        <f>'1. All Data'!H11</f>
        <v>On Track to be Achieved</v>
      </c>
      <c r="E12" s="104"/>
      <c r="F12" s="132" t="str">
        <f>'1. All Data'!M11</f>
        <v>In Danger of Falling Behind Target</v>
      </c>
      <c r="G12" s="104"/>
      <c r="H12" s="133" t="str">
        <f>'1. All Data'!R11</f>
        <v>Off Target</v>
      </c>
      <c r="I12" s="111"/>
      <c r="J12" s="133" t="str">
        <f>'1. All Data'!V11</f>
        <v>Off Target</v>
      </c>
    </row>
    <row r="13" spans="1:46" ht="99.75" customHeight="1">
      <c r="A13" s="102" t="str">
        <f>'1. All Data'!B12</f>
        <v>CR11</v>
      </c>
      <c r="B13" s="134" t="str">
        <f>'1. All Data'!C12</f>
        <v>Market Hall Development Initiatives</v>
      </c>
      <c r="C13" s="135" t="str">
        <f>'1. All Data'!D12</f>
        <v>Continue to benchmark Market Hall performance through APSE membership</v>
      </c>
      <c r="D13" s="131" t="str">
        <f>'1. All Data'!H12</f>
        <v>On Track to be Achieved</v>
      </c>
      <c r="E13" s="104"/>
      <c r="F13" s="132" t="str">
        <f>'1. All Data'!M12</f>
        <v>Fully Achieved</v>
      </c>
      <c r="G13" s="104"/>
      <c r="H13" s="133" t="str">
        <f>'1. All Data'!R12</f>
        <v>Fully Achieved</v>
      </c>
      <c r="I13" s="104"/>
      <c r="J13" s="133" t="str">
        <f>'1. All Data'!V12</f>
        <v>Fully Achieved</v>
      </c>
    </row>
    <row r="14" spans="1:46" ht="99.75" customHeight="1">
      <c r="A14" s="102" t="str">
        <f>'1. All Data'!B13</f>
        <v>CR12</v>
      </c>
      <c r="B14" s="134" t="str">
        <f>'1. All Data'!C13</f>
        <v>Major Planning Applications Determined Within 13 Weeks</v>
      </c>
      <c r="C14" s="135" t="str">
        <f>'1. All Data'!D13</f>
        <v>Top Quartile as measured against relevant MHCLG figures</v>
      </c>
      <c r="D14" s="131" t="str">
        <f>'1. All Data'!H13</f>
        <v>On Track to be Achieved</v>
      </c>
      <c r="E14" s="104"/>
      <c r="F14" s="132" t="str">
        <f>'1. All Data'!M13</f>
        <v>On Track to be Achieved</v>
      </c>
      <c r="G14" s="104"/>
      <c r="H14" s="133" t="str">
        <f>'1. All Data'!R13</f>
        <v>On Track to be Achieved</v>
      </c>
      <c r="I14" s="104"/>
      <c r="J14" s="133" t="str">
        <f>'1. All Data'!V13</f>
        <v>Fully Achieved</v>
      </c>
    </row>
    <row r="15" spans="1:46" ht="99.75" customHeight="1">
      <c r="A15" s="102" t="str">
        <f>'1. All Data'!B14</f>
        <v>CR13</v>
      </c>
      <c r="B15" s="134" t="str">
        <f>'1. All Data'!C14</f>
        <v>Minor Planning Applications Determined Within 8 Weeks</v>
      </c>
      <c r="C15" s="135" t="str">
        <f>'1. All Data'!D14</f>
        <v>Top Quartile as measured against relevant MHCLG figures</v>
      </c>
      <c r="D15" s="131" t="str">
        <f>'1. All Data'!H14</f>
        <v>On Track to be Achieved</v>
      </c>
      <c r="E15" s="104"/>
      <c r="F15" s="132" t="str">
        <f>'1. All Data'!M14</f>
        <v>On Track to be Achieved</v>
      </c>
      <c r="G15" s="104"/>
      <c r="H15" s="133" t="str">
        <f>'1. All Data'!R14</f>
        <v>On Track to be Achieved</v>
      </c>
      <c r="I15" s="104"/>
      <c r="J15" s="133" t="str">
        <f>'1. All Data'!V14</f>
        <v>Fully Achieved</v>
      </c>
    </row>
    <row r="16" spans="1:46" ht="99.75" customHeight="1">
      <c r="A16" s="102" t="str">
        <f>'1. All Data'!B15</f>
        <v>CR14</v>
      </c>
      <c r="B16" s="134" t="str">
        <f>'1. All Data'!C15</f>
        <v>Other Planning Applications Determined in 8 Weeks</v>
      </c>
      <c r="C16" s="135" t="str">
        <f>'1. All Data'!D15</f>
        <v>Top Quartile as measured against relevant MHCLG figures</v>
      </c>
      <c r="D16" s="131" t="str">
        <f>'1. All Data'!H15</f>
        <v>On Track to be Achieved</v>
      </c>
      <c r="E16" s="104"/>
      <c r="F16" s="132" t="str">
        <f>'1. All Data'!M15</f>
        <v>On Track to be Achieved</v>
      </c>
      <c r="G16" s="104"/>
      <c r="H16" s="133" t="str">
        <f>'1. All Data'!R15</f>
        <v>On Track to be Achieved</v>
      </c>
      <c r="I16" s="104"/>
      <c r="J16" s="133" t="str">
        <f>'1. All Data'!V15</f>
        <v>Fully Achieved</v>
      </c>
    </row>
    <row r="17" spans="1:10" ht="99.75" customHeight="1">
      <c r="A17" s="102" t="str">
        <f>'1. All Data'!B16</f>
        <v>CR15</v>
      </c>
      <c r="B17" s="134" t="str">
        <f>'1. All Data'!C16</f>
        <v>Supporting Neighbourhood Plans</v>
      </c>
      <c r="C17" s="135" t="str">
        <f>'1. All Data'!D16</f>
        <v>Rolleston Neighbourhood Plan Made</v>
      </c>
      <c r="D17" s="131" t="str">
        <f>'1. All Data'!H16</f>
        <v>Deferred</v>
      </c>
      <c r="E17" s="104"/>
      <c r="F17" s="132" t="str">
        <f>'1. All Data'!M16</f>
        <v>Deferred</v>
      </c>
      <c r="G17" s="104"/>
      <c r="H17" s="133" t="str">
        <f>'1. All Data'!R16</f>
        <v>Deferred</v>
      </c>
      <c r="I17" s="104"/>
      <c r="J17" s="133" t="str">
        <f>'1. All Data'!V16</f>
        <v>Deferred</v>
      </c>
    </row>
    <row r="18" spans="1:10" ht="99.75" customHeight="1">
      <c r="A18" s="102" t="str">
        <f>'1. All Data'!B17</f>
        <v>CR16</v>
      </c>
      <c r="B18" s="134" t="str">
        <f>'1. All Data'!C17</f>
        <v>New and Refreshed Planning Policies</v>
      </c>
      <c r="C18" s="135" t="str">
        <f>'1. All Data'!D17</f>
        <v>Finalise and adopt Brewery Building Conversion Design Guidance SPD</v>
      </c>
      <c r="D18" s="131" t="str">
        <f>'1. All Data'!H17</f>
        <v>On Track to be Achieved</v>
      </c>
      <c r="E18" s="104"/>
      <c r="F18" s="132" t="str">
        <f>'1. All Data'!M17</f>
        <v>On Track to be Achieved</v>
      </c>
      <c r="G18" s="104"/>
      <c r="H18" s="133" t="str">
        <f>'1. All Data'!R17</f>
        <v>Fully Achieved</v>
      </c>
      <c r="I18" s="104"/>
      <c r="J18" s="133" t="str">
        <f>'1. All Data'!V17</f>
        <v>Fully Achieved</v>
      </c>
    </row>
    <row r="19" spans="1:10" ht="99.75" customHeight="1">
      <c r="A19" s="102" t="str">
        <f>'1. All Data'!B18</f>
        <v>CR17</v>
      </c>
      <c r="B19" s="134" t="str">
        <f>'1. All Data'!C18</f>
        <v>New and Refreshed Planning Policies</v>
      </c>
      <c r="C19" s="135" t="str">
        <f>'1. All Data'!D18</f>
        <v>Publish Revised Statement of Community Involvement</v>
      </c>
      <c r="D19" s="131" t="str">
        <f>'1. All Data'!H18</f>
        <v>On Track to be Achieved</v>
      </c>
      <c r="E19" s="103"/>
      <c r="F19" s="132" t="str">
        <f>'1. All Data'!M18</f>
        <v>On Track to be Achieved</v>
      </c>
      <c r="G19" s="104"/>
      <c r="H19" s="133" t="str">
        <f>'1. All Data'!R18</f>
        <v>Fully Achieved</v>
      </c>
      <c r="I19" s="104"/>
      <c r="J19" s="133" t="str">
        <f>'1. All Data'!V18</f>
        <v>Fully Achieved</v>
      </c>
    </row>
    <row r="20" spans="1:10" ht="99.75" customHeight="1">
      <c r="A20" s="102" t="str">
        <f>'1. All Data'!B19</f>
        <v>CR18</v>
      </c>
      <c r="B20" s="134" t="str">
        <f>'1. All Data'!C19</f>
        <v>New and Refreshed Planning Policies</v>
      </c>
      <c r="C20" s="135" t="str">
        <f>'1. All Data'!D19</f>
        <v xml:space="preserve">Produce report and approach regarding Brownfield Register Part 2  </v>
      </c>
      <c r="D20" s="131" t="str">
        <f>'1. All Data'!H19</f>
        <v>On Track to be Achieved</v>
      </c>
      <c r="E20" s="103"/>
      <c r="F20" s="132" t="str">
        <f>'1. All Data'!M19</f>
        <v>On Track to be Achieved</v>
      </c>
      <c r="G20" s="104"/>
      <c r="H20" s="133" t="str">
        <f>'1. All Data'!R19</f>
        <v>Fully Achieved</v>
      </c>
      <c r="I20" s="104"/>
      <c r="J20" s="133" t="str">
        <f>'1. All Data'!V19</f>
        <v>Fully Achieved</v>
      </c>
    </row>
    <row r="21" spans="1:10" ht="99.75" customHeight="1">
      <c r="A21" s="102" t="str">
        <f>'1. All Data'!B20</f>
        <v>CR19</v>
      </c>
      <c r="B21" s="134" t="str">
        <f>'1. All Data'!C20</f>
        <v>New and Refreshed Planning Policies</v>
      </c>
      <c r="C21" s="135" t="str">
        <f>'1. All Data'!D20</f>
        <v xml:space="preserve">Revise and adopt Car parking SPD </v>
      </c>
      <c r="D21" s="131" t="str">
        <f>'1. All Data'!H20</f>
        <v>On Track to be Achieved</v>
      </c>
      <c r="E21" s="104"/>
      <c r="F21" s="132" t="str">
        <f>'1. All Data'!M20</f>
        <v>On Track to be Achieved</v>
      </c>
      <c r="G21" s="104"/>
      <c r="H21" s="133" t="str">
        <f>'1. All Data'!R20</f>
        <v>Fully Achieved</v>
      </c>
      <c r="I21" s="104"/>
      <c r="J21" s="133" t="str">
        <f>'1. All Data'!V20</f>
        <v>Fully Achieved</v>
      </c>
    </row>
    <row r="22" spans="1:10" ht="99.75" customHeight="1">
      <c r="A22" s="102" t="str">
        <f>'1. All Data'!B21</f>
        <v>CR20</v>
      </c>
      <c r="B22" s="134" t="str">
        <f>'1. All Data'!C21</f>
        <v>Improve Burton town centre through significant environmental regeneration</v>
      </c>
      <c r="C22" s="135" t="str">
        <f>'1. All Data'!D21</f>
        <v>Practical completion of the Station Street works via Amey</v>
      </c>
      <c r="D22" s="131" t="str">
        <f>'1. All Data'!H21</f>
        <v>On Track to be Achieved</v>
      </c>
      <c r="E22" s="104"/>
      <c r="F22" s="132" t="str">
        <f>'1. All Data'!M21</f>
        <v>On Track to be Achieved</v>
      </c>
      <c r="G22" s="104"/>
      <c r="H22" s="133" t="str">
        <f>'1. All Data'!R21</f>
        <v>Fully Achieved</v>
      </c>
      <c r="I22" s="104"/>
      <c r="J22" s="133" t="str">
        <f>'1. All Data'!V21</f>
        <v>Fully Achieved</v>
      </c>
    </row>
    <row r="23" spans="1:10" ht="99.75" customHeight="1">
      <c r="A23" s="102" t="str">
        <f>'1. All Data'!B22</f>
        <v>CR21</v>
      </c>
      <c r="B23" s="134" t="str">
        <f>'1. All Data'!C22</f>
        <v xml:space="preserve">Improve Burton town centre through significant environmental regeneration </v>
      </c>
      <c r="C23" s="135" t="str">
        <f>'1. All Data'!D22</f>
        <v>Deliver phase 1 of the Washlands Enhancement Project, fully utilising the GBSLEP Local Growth Fund monies</v>
      </c>
      <c r="D23" s="131" t="str">
        <f>'1. All Data'!H22</f>
        <v>On Track to be Achieved</v>
      </c>
      <c r="E23" s="104"/>
      <c r="F23" s="132" t="str">
        <f>'1. All Data'!M22</f>
        <v>On Track to be Achieved</v>
      </c>
      <c r="G23" s="104"/>
      <c r="H23" s="133" t="str">
        <f>'1. All Data'!R22</f>
        <v>On Track to be Achieved</v>
      </c>
      <c r="I23" s="104"/>
      <c r="J23" s="133" t="str">
        <f>'1. All Data'!V22</f>
        <v>Target Partially Met</v>
      </c>
    </row>
    <row r="24" spans="1:10" ht="99.75" customHeight="1">
      <c r="A24" s="102" t="str">
        <f>'1. All Data'!B23</f>
        <v>CR22</v>
      </c>
      <c r="B24" s="134" t="str">
        <f>'1. All Data'!C23</f>
        <v>Work towards achieving transformation regeneration for Burton upon Trent of up to £25m through the Towns Fund</v>
      </c>
      <c r="C24" s="135" t="str">
        <f>'1. All Data'!D23</f>
        <v>Working with the Town Deal Board, develop a Town Investment Plan for Burton and create a business case for funding</v>
      </c>
      <c r="D24" s="131" t="str">
        <f>'1. All Data'!H23</f>
        <v>On Track to be Achieved</v>
      </c>
      <c r="E24" s="104"/>
      <c r="F24" s="132" t="str">
        <f>'1. All Data'!M23</f>
        <v>On Track to be Achieved</v>
      </c>
      <c r="G24" s="104"/>
      <c r="H24" s="133" t="str">
        <f>'1. All Data'!R23</f>
        <v>On Track to be Achieved</v>
      </c>
      <c r="I24" s="104"/>
      <c r="J24" s="133" t="str">
        <f>'1. All Data'!V23</f>
        <v>Fully Achieved</v>
      </c>
    </row>
    <row r="25" spans="1:10" ht="99.75" customHeight="1">
      <c r="A25" s="102" t="str">
        <f>'1. All Data'!B24</f>
        <v>CR23</v>
      </c>
      <c r="B25" s="134" t="str">
        <f>'1. All Data'!C24</f>
        <v>Support the delivery of affordable housing on brownfield land through the utilisation of S106 commuted sums</v>
      </c>
      <c r="C25" s="135" t="str">
        <f>'1. All Data'!D24</f>
        <v>Review the progress of existing S106 commuted sums and identify new projects for potential funding</v>
      </c>
      <c r="D25" s="131" t="str">
        <f>'1. All Data'!H24</f>
        <v>Not Yet Due</v>
      </c>
      <c r="E25" s="104"/>
      <c r="F25" s="132" t="str">
        <f>'1. All Data'!M24</f>
        <v>On Track to be Achieved</v>
      </c>
      <c r="G25" s="104"/>
      <c r="H25" s="133" t="str">
        <f>'1. All Data'!R24</f>
        <v>Fully Achieved</v>
      </c>
      <c r="I25" s="104"/>
      <c r="J25" s="133" t="str">
        <f>'1. All Data'!V24</f>
        <v>Fully Achieved</v>
      </c>
    </row>
    <row r="26" spans="1:10" ht="99.75" customHeight="1">
      <c r="A26" s="102" t="str">
        <f>'1. All Data'!B25</f>
        <v>CR24</v>
      </c>
      <c r="B26" s="134" t="str">
        <f>'1. All Data'!C25</f>
        <v>Identify a vision for the future regeneration of Uttoxeter</v>
      </c>
      <c r="C26" s="135" t="str">
        <f>'1. All Data'!D25</f>
        <v>Member approval of the final Uttoxeter Masterplan</v>
      </c>
      <c r="D26" s="131" t="str">
        <f>'1. All Data'!H25</f>
        <v>On Track to be Achieved</v>
      </c>
      <c r="E26" s="104"/>
      <c r="F26" s="132" t="str">
        <f>'1. All Data'!M25</f>
        <v>On Track to be Achieved</v>
      </c>
      <c r="G26" s="111"/>
      <c r="H26" s="133" t="str">
        <f>'1. All Data'!R25</f>
        <v>Fully Achieved</v>
      </c>
      <c r="I26" s="104"/>
      <c r="J26" s="133" t="str">
        <f>'1. All Data'!V25</f>
        <v>Fully Achieved</v>
      </c>
    </row>
    <row r="27" spans="1:10" ht="99.75" customHeight="1">
      <c r="A27" s="102" t="str">
        <f>'1. All Data'!B26</f>
        <v>CR25</v>
      </c>
      <c r="B27" s="134" t="str">
        <f>'1. All Data'!C26</f>
        <v>Promote local employment opportunities</v>
      </c>
      <c r="C27" s="135" t="str">
        <f>'1. All Data'!D26</f>
        <v>Working with the Worklessness Action Group and local MP, support the delivery of three job fairs</v>
      </c>
      <c r="D27" s="131" t="str">
        <f>'1. All Data'!H26</f>
        <v>In Danger of Falling Behind Target</v>
      </c>
      <c r="E27" s="104"/>
      <c r="F27" s="132" t="str">
        <f>'1. All Data'!M26</f>
        <v>On Track to be Achieved</v>
      </c>
      <c r="G27" s="104"/>
      <c r="H27" s="133" t="str">
        <f>'1. All Data'!R26</f>
        <v>On Track to be Achieved</v>
      </c>
      <c r="I27" s="104"/>
      <c r="J27" s="133" t="str">
        <f>'1. All Data'!V26</f>
        <v>Fully Achieved</v>
      </c>
    </row>
    <row r="28" spans="1:10" ht="99.75" customHeight="1">
      <c r="A28" s="102" t="str">
        <f>'1. All Data'!B27</f>
        <v>CR26</v>
      </c>
      <c r="B28" s="134" t="str">
        <f>'1. All Data'!C27</f>
        <v>Continue to support local businesses to grow and innovate</v>
      </c>
      <c r="C28" s="135" t="str">
        <f>'1. All Data'!D27</f>
        <v>Create a grant fund to support small businesses and deliver throughout the year</v>
      </c>
      <c r="D28" s="131" t="str">
        <f>'1. All Data'!H27</f>
        <v>Not Yet Due</v>
      </c>
      <c r="E28" s="103"/>
      <c r="F28" s="132" t="str">
        <f>'1. All Data'!M27</f>
        <v>On Track to be Achieved</v>
      </c>
      <c r="G28" s="104"/>
      <c r="H28" s="133" t="str">
        <f>'1. All Data'!R27</f>
        <v>Deferred</v>
      </c>
      <c r="I28" s="104"/>
      <c r="J28" s="133" t="str">
        <f>'1. All Data'!V27</f>
        <v>Deferred</v>
      </c>
    </row>
    <row r="29" spans="1:10" ht="99.75" customHeight="1">
      <c r="A29" s="102" t="str">
        <f>'1. All Data'!B28</f>
        <v>CR27</v>
      </c>
      <c r="B29" s="134" t="str">
        <f>'1. All Data'!C28</f>
        <v>Continue to support local businesses to grow and innovate</v>
      </c>
      <c r="C29" s="135" t="str">
        <f>'1. All Data'!D28</f>
        <v>Provide direct support to 20 businesses through the Growth Hub Advisor contract</v>
      </c>
      <c r="D29" s="131" t="str">
        <f>'1. All Data'!H28</f>
        <v>On Track to be Achieved</v>
      </c>
      <c r="E29" s="104"/>
      <c r="F29" s="132" t="str">
        <f>'1. All Data'!M28</f>
        <v>On Track to be Achieved</v>
      </c>
      <c r="G29" s="112"/>
      <c r="H29" s="133" t="str">
        <f>'1. All Data'!R28</f>
        <v>Fully Achieved</v>
      </c>
      <c r="I29" s="104"/>
      <c r="J29" s="133" t="str">
        <f>'1. All Data'!V28</f>
        <v>Fully Achieved</v>
      </c>
    </row>
    <row r="30" spans="1:10" ht="99.75" customHeight="1">
      <c r="A30" s="102" t="str">
        <f>'1. All Data'!B29</f>
        <v>CR28</v>
      </c>
      <c r="B30" s="134" t="str">
        <f>'1. All Data'!C29</f>
        <v>Continue to work effectively with regeneration partners</v>
      </c>
      <c r="C30" s="135" t="str">
        <f>'1. All Data'!D29</f>
        <v>Continue to work with strategic tourism partners, such as the National Forest, the Campaign to Reopen the Ivanhoe Line and the TTTV, on the regeneration of the borough</v>
      </c>
      <c r="D30" s="131" t="str">
        <f>'1. All Data'!H29</f>
        <v>On Track to be Achieved</v>
      </c>
      <c r="E30" s="104"/>
      <c r="F30" s="132" t="str">
        <f>'1. All Data'!M29</f>
        <v>On Track to be Achieved</v>
      </c>
      <c r="G30" s="104"/>
      <c r="H30" s="133" t="str">
        <f>'1. All Data'!R29</f>
        <v>On Track to be Achieved</v>
      </c>
      <c r="I30" s="104"/>
      <c r="J30" s="133" t="str">
        <f>'1. All Data'!V29</f>
        <v>Fully Achieved</v>
      </c>
    </row>
    <row r="31" spans="1:10" ht="99.75" customHeight="1">
      <c r="A31" s="102" t="str">
        <f>'1. All Data'!B30</f>
        <v>EHW01</v>
      </c>
      <c r="B31" s="134" t="str">
        <f>'1. All Data'!C30</f>
        <v>Delivering Better Services to Support Homelessness</v>
      </c>
      <c r="C31" s="135" t="str">
        <f>'1. All Data'!D30</f>
        <v>Promote, monitor and report on the Burton and East Staffordshire Partnership, produce two activity reports during the year</v>
      </c>
      <c r="D31" s="131" t="str">
        <f>'1. All Data'!H30</f>
        <v>On Track to be Achieved</v>
      </c>
      <c r="E31" s="104"/>
      <c r="F31" s="132" t="str">
        <f>'1. All Data'!M30</f>
        <v>On Track to be Achieved</v>
      </c>
      <c r="G31" s="104"/>
      <c r="H31" s="133" t="str">
        <f>'1. All Data'!R30</f>
        <v>On Track to be Achieved</v>
      </c>
      <c r="I31" s="104"/>
      <c r="J31" s="133" t="str">
        <f>'1. All Data'!V30</f>
        <v>Fully Achieved</v>
      </c>
    </row>
    <row r="32" spans="1:10" ht="99.75" customHeight="1">
      <c r="A32" s="102" t="str">
        <f>'1. All Data'!B31</f>
        <v>EHW02</v>
      </c>
      <c r="B32" s="134" t="str">
        <f>'1. All Data'!C31</f>
        <v>Delivering Better Services to Support Homelessness</v>
      </c>
      <c r="C32" s="135" t="str">
        <f>'1. All Data'!D31</f>
        <v xml:space="preserve">Evaluate and build on the existing MHCLG/ESBC projects to target entrenched rough sleepers with two activity reports during the year
Prepare and submit new applications to MHCLG as and when appropriate during the year </v>
      </c>
      <c r="D32" s="131" t="str">
        <f>'1. All Data'!H31</f>
        <v>On Track to be Achieved</v>
      </c>
      <c r="E32" s="103"/>
      <c r="F32" s="132" t="str">
        <f>'1. All Data'!M31</f>
        <v>On Track to be Achieved</v>
      </c>
      <c r="G32" s="104"/>
      <c r="H32" s="133" t="str">
        <f>'1. All Data'!R31</f>
        <v>On Track to be Achieved</v>
      </c>
      <c r="I32" s="104"/>
      <c r="J32" s="133" t="str">
        <f>'1. All Data'!V31</f>
        <v>Fully Achieved</v>
      </c>
    </row>
    <row r="33" spans="1:10" ht="99.75" customHeight="1">
      <c r="A33" s="102" t="str">
        <f>'1. All Data'!B32</f>
        <v>EHW03</v>
      </c>
      <c r="B33" s="134" t="str">
        <f>'1. All Data'!C32</f>
        <v>Proactively reducing the number of empty homes in the borough</v>
      </c>
      <c r="C33" s="135" t="str">
        <f>'1. All Data'!D32</f>
        <v>Produce annual contract performance report</v>
      </c>
      <c r="D33" s="131" t="str">
        <f>'1. All Data'!H32</f>
        <v>On Track to be Achieved</v>
      </c>
      <c r="E33" s="104"/>
      <c r="F33" s="132" t="str">
        <f>'1. All Data'!M32</f>
        <v>On Track to be Achieved</v>
      </c>
      <c r="G33" s="104"/>
      <c r="H33" s="133" t="str">
        <f>'1. All Data'!R32</f>
        <v>On Track to be Achieved</v>
      </c>
      <c r="I33" s="104"/>
      <c r="J33" s="133" t="str">
        <f>'1. All Data'!V32</f>
        <v>Fully Achieved</v>
      </c>
    </row>
    <row r="34" spans="1:10" ht="99.75" customHeight="1">
      <c r="A34" s="102" t="str">
        <f>'1. All Data'!B33</f>
        <v>EHW04</v>
      </c>
      <c r="B34" s="134" t="str">
        <f>'1. All Data'!C33</f>
        <v>Delivering Better Services to Support Homelessness</v>
      </c>
      <c r="C34" s="135" t="str">
        <f>'1. All Data'!D33</f>
        <v>Average time from appointment to initial decision for homeless applicants of 3 days</v>
      </c>
      <c r="D34" s="131" t="str">
        <f>'1. All Data'!H33</f>
        <v>On Track to be Achieved</v>
      </c>
      <c r="E34" s="104"/>
      <c r="F34" s="132" t="str">
        <f>'1. All Data'!M33</f>
        <v>On Track to be Achieved</v>
      </c>
      <c r="G34" s="104"/>
      <c r="H34" s="133" t="str">
        <f>'1. All Data'!R33</f>
        <v>On Track to be Achieved</v>
      </c>
      <c r="I34" s="104"/>
      <c r="J34" s="133" t="str">
        <f>'1. All Data'!V33</f>
        <v>Fully Achieved</v>
      </c>
    </row>
    <row r="35" spans="1:10" ht="99.75" customHeight="1">
      <c r="A35" s="102" t="str">
        <f>'1. All Data'!B34</f>
        <v>EHW05</v>
      </c>
      <c r="B35" s="134" t="str">
        <f>'1. All Data'!C34</f>
        <v>Continue to Maximise Utilisation of Self Contained Temporary Accommodation for Homeless Applicants</v>
      </c>
      <c r="C35" s="135" t="str">
        <f>'1. All Data'!D34</f>
        <v>Reduce ‘Key to Key’ Void Turnaround to an average of 6 working days</v>
      </c>
      <c r="D35" s="131" t="str">
        <f>'1. All Data'!H34</f>
        <v>On Track to be Achieved</v>
      </c>
      <c r="E35" s="103"/>
      <c r="F35" s="132" t="str">
        <f>'1. All Data'!M34</f>
        <v>On Track to be Achieved</v>
      </c>
      <c r="G35" s="104"/>
      <c r="H35" s="133" t="str">
        <f>'1. All Data'!R34</f>
        <v>On Track to be Achieved</v>
      </c>
      <c r="I35" s="104"/>
      <c r="J35" s="133" t="str">
        <f>'1. All Data'!V34</f>
        <v>Fully Achieved</v>
      </c>
    </row>
    <row r="36" spans="1:10" ht="99.75" customHeight="1">
      <c r="A36" s="102" t="str">
        <f>'1. All Data'!B35</f>
        <v>EHW06</v>
      </c>
      <c r="B36" s="134" t="str">
        <f>'1. All Data'!C35</f>
        <v xml:space="preserve">Improving our Housing Strategy Initiatives </v>
      </c>
      <c r="C36" s="135" t="str">
        <f>'1. All Data'!D35</f>
        <v>Refreshed Housing Strategy</v>
      </c>
      <c r="D36" s="131" t="str">
        <f>'1. All Data'!H35</f>
        <v>On Track to be Achieved</v>
      </c>
      <c r="E36" s="104"/>
      <c r="F36" s="132" t="str">
        <f>'1. All Data'!M35</f>
        <v>On Track to be Achieved</v>
      </c>
      <c r="G36" s="104"/>
      <c r="H36" s="133" t="str">
        <f>'1. All Data'!R35</f>
        <v>Fully Achieved</v>
      </c>
      <c r="I36" s="104"/>
      <c r="J36" s="133" t="str">
        <f>'1. All Data'!V35</f>
        <v>Fully Achieved</v>
      </c>
    </row>
    <row r="37" spans="1:10" ht="99.75" customHeight="1">
      <c r="A37" s="102" t="str">
        <f>'1. All Data'!B36</f>
        <v>EHW07</v>
      </c>
      <c r="B37" s="134" t="str">
        <f>'1. All Data'!C36</f>
        <v>Improving our Housing Strategy Initiatives</v>
      </c>
      <c r="C37" s="135" t="str">
        <f>'1. All Data'!D36</f>
        <v>Report opportunities for improving Housing Register Service</v>
      </c>
      <c r="D37" s="131" t="str">
        <f>'1. All Data'!H36</f>
        <v>On Track to be Achieved</v>
      </c>
      <c r="E37" s="103"/>
      <c r="F37" s="132" t="str">
        <f>'1. All Data'!M36</f>
        <v>On Track to be Achieved</v>
      </c>
      <c r="G37" s="104"/>
      <c r="H37" s="133" t="str">
        <f>'1. All Data'!R36</f>
        <v>Fully Achieved</v>
      </c>
      <c r="I37" s="104"/>
      <c r="J37" s="133" t="str">
        <f>'1. All Data'!V36</f>
        <v>Fully Achieved</v>
      </c>
    </row>
    <row r="38" spans="1:10" ht="99.75" customHeight="1">
      <c r="A38" s="102" t="str">
        <f>'1. All Data'!B37</f>
        <v>EHW08</v>
      </c>
      <c r="B38" s="134" t="str">
        <f>'1. All Data'!C37</f>
        <v>Maintain Top Quartile Performance For Street Cleansing - Litter</v>
      </c>
      <c r="C38" s="135" t="str">
        <f>'1. All Data'!D37</f>
        <v>Maintain Top Quartile Performance</v>
      </c>
      <c r="D38" s="131" t="str">
        <f>'1. All Data'!H37</f>
        <v>Not Yet Due</v>
      </c>
      <c r="E38" s="104"/>
      <c r="F38" s="132" t="str">
        <f>'1. All Data'!M37</f>
        <v>On Track to be Achieved</v>
      </c>
      <c r="G38" s="112"/>
      <c r="H38" s="133" t="str">
        <f>'1. All Data'!R37</f>
        <v>On Track to be Achieved</v>
      </c>
      <c r="I38" s="104"/>
      <c r="J38" s="133" t="str">
        <f>'1. All Data'!V37</f>
        <v>Fully Achieved</v>
      </c>
    </row>
    <row r="39" spans="1:10" ht="99.75" customHeight="1">
      <c r="A39" s="102" t="str">
        <f>'1. All Data'!B38</f>
        <v>EHW09</v>
      </c>
      <c r="B39" s="134" t="str">
        <f>'1. All Data'!C38</f>
        <v>Maintain Top Quartile Performance For Street Cleansing - Detritus</v>
      </c>
      <c r="C39" s="135" t="str">
        <f>'1. All Data'!D38</f>
        <v>Maintain Top Quartile Performance</v>
      </c>
      <c r="D39" s="131" t="str">
        <f>'1. All Data'!H38</f>
        <v>Not Yet Due</v>
      </c>
      <c r="E39" s="103"/>
      <c r="F39" s="132" t="str">
        <f>'1. All Data'!M38</f>
        <v>On Track to be Achieved</v>
      </c>
      <c r="G39" s="112"/>
      <c r="H39" s="133" t="str">
        <f>'1. All Data'!R38</f>
        <v>On Track to be Achieved</v>
      </c>
      <c r="I39" s="104"/>
      <c r="J39" s="133" t="str">
        <f>'1. All Data'!V38</f>
        <v>Fully Achieved</v>
      </c>
    </row>
    <row r="40" spans="1:10" ht="99.75" customHeight="1">
      <c r="A40" s="102" t="str">
        <f>'1. All Data'!B39</f>
        <v>EHW10</v>
      </c>
      <c r="B40" s="134" t="str">
        <f>'1. All Data'!C39</f>
        <v>Maintain Top Quartile Performance For Street Cleansing - Graffiti</v>
      </c>
      <c r="C40" s="135" t="str">
        <f>'1. All Data'!D39</f>
        <v>Maintain Top Quartile Performance</v>
      </c>
      <c r="D40" s="131" t="str">
        <f>'1. All Data'!H39</f>
        <v>Not Yet Due</v>
      </c>
      <c r="E40" s="104"/>
      <c r="F40" s="132" t="str">
        <f>'1. All Data'!M39</f>
        <v>On Track to be Achieved</v>
      </c>
      <c r="G40" s="104"/>
      <c r="H40" s="133" t="str">
        <f>'1. All Data'!R39</f>
        <v>On Track to be Achieved</v>
      </c>
      <c r="I40" s="104"/>
      <c r="J40" s="133" t="str">
        <f>'1. All Data'!V39</f>
        <v>Fully Achieved</v>
      </c>
    </row>
    <row r="41" spans="1:10" ht="99.75" customHeight="1">
      <c r="A41" s="102" t="str">
        <f>'1. All Data'!B40</f>
        <v>EHW11</v>
      </c>
      <c r="B41" s="134" t="str">
        <f>'1. All Data'!C40</f>
        <v>Maintain Top Quartile Performance For Street Cleansing – Fly-Posting</v>
      </c>
      <c r="C41" s="135" t="str">
        <f>'1. All Data'!D40</f>
        <v>Maintain Top Quartile Performance</v>
      </c>
      <c r="D41" s="131" t="str">
        <f>'1. All Data'!H40</f>
        <v>Not Yet Due</v>
      </c>
      <c r="E41" s="104"/>
      <c r="F41" s="132" t="str">
        <f>'1. All Data'!M40</f>
        <v>On Track to be Achieved</v>
      </c>
      <c r="G41" s="104"/>
      <c r="H41" s="133" t="str">
        <f>'1. All Data'!R40</f>
        <v>On Track to be Achieved</v>
      </c>
      <c r="I41" s="104"/>
      <c r="J41" s="133" t="str">
        <f>'1. All Data'!V40</f>
        <v>Fully Achieved</v>
      </c>
    </row>
    <row r="42" spans="1:10" ht="99.75" customHeight="1">
      <c r="A42" s="102" t="str">
        <f>'1. All Data'!B41</f>
        <v>EHW12</v>
      </c>
      <c r="B42" s="134" t="str">
        <f>'1. All Data'!C41</f>
        <v xml:space="preserve">Maintain Top Quartile Performance On Recycling </v>
      </c>
      <c r="C42" s="135" t="str">
        <f>'1. All Data'!D41</f>
        <v>Household Waste Recycled and Composted:
Maintain Top Quartile Performance</v>
      </c>
      <c r="D42" s="131" t="str">
        <f>'1. All Data'!H41</f>
        <v>On Track to be Achieved</v>
      </c>
      <c r="E42" s="103"/>
      <c r="F42" s="132" t="str">
        <f>'1. All Data'!M41</f>
        <v>On Track to be Achieved</v>
      </c>
      <c r="G42" s="112"/>
      <c r="H42" s="133" t="str">
        <f>'1. All Data'!R41</f>
        <v>On Track to be Achieved</v>
      </c>
      <c r="I42" s="112"/>
      <c r="J42" s="133" t="str">
        <f>'1. All Data'!V41</f>
        <v>Fully Achieved</v>
      </c>
    </row>
    <row r="43" spans="1:10" ht="99.75" customHeight="1">
      <c r="A43" s="102" t="str">
        <f>'1. All Data'!B42</f>
        <v>EHW13</v>
      </c>
      <c r="B43" s="134" t="str">
        <f>'1. All Data'!C42</f>
        <v xml:space="preserve">Maintain Top Quartile Performance On Waste Reduction </v>
      </c>
      <c r="C43" s="135" t="str">
        <f>'1. All Data'!D42</f>
        <v>Residual Household Waste Per Household: 
Maintain Top Quartile Performance</v>
      </c>
      <c r="D43" s="131" t="str">
        <f>'1. All Data'!H42</f>
        <v>On Track to be Achieved</v>
      </c>
      <c r="E43" s="103"/>
      <c r="F43" s="132" t="str">
        <f>'1. All Data'!M42</f>
        <v>On Track to be Achieved</v>
      </c>
      <c r="G43" s="104"/>
      <c r="H43" s="133" t="str">
        <f>'1. All Data'!R42</f>
        <v>On Track to be Achieved</v>
      </c>
      <c r="I43" s="104"/>
      <c r="J43" s="133" t="str">
        <f>'1. All Data'!V42</f>
        <v>Fully Achieved</v>
      </c>
    </row>
    <row r="44" spans="1:10" ht="99.75" customHeight="1">
      <c r="A44" s="102" t="str">
        <f>'1. All Data'!B43</f>
        <v>EHW14</v>
      </c>
      <c r="B44" s="134" t="str">
        <f>'1. All Data'!C43</f>
        <v xml:space="preserve">Open Spaces Initiatives </v>
      </c>
      <c r="C44" s="135" t="str">
        <f>'1. All Data'!D43</f>
        <v>Develop a Borough wide parks development plan</v>
      </c>
      <c r="D44" s="131" t="str">
        <f>'1. All Data'!H43</f>
        <v>Not Yet Due</v>
      </c>
      <c r="E44" s="103"/>
      <c r="F44" s="132" t="str">
        <f>'1. All Data'!M43</f>
        <v>Not Yet Due</v>
      </c>
      <c r="G44" s="104"/>
      <c r="H44" s="133" t="str">
        <f>'1. All Data'!R43</f>
        <v>Fully Achieved</v>
      </c>
      <c r="I44" s="104"/>
      <c r="J44" s="133" t="str">
        <f>'1. All Data'!V43</f>
        <v>Fully Achieved</v>
      </c>
    </row>
    <row r="45" spans="1:10" ht="99.75" customHeight="1">
      <c r="A45" s="102" t="str">
        <f>'1. All Data'!B44</f>
        <v>EHW15</v>
      </c>
      <c r="B45" s="134" t="str">
        <f>'1. All Data'!C44</f>
        <v xml:space="preserve">Open Spaces Initiatives </v>
      </c>
      <c r="C45" s="135" t="str">
        <f>'1. All Data'!D44</f>
        <v>Achieve 2 in bloom gold awards and support Uttoxeter in the 2020 National In bloom awards</v>
      </c>
      <c r="D45" s="131" t="str">
        <f>'1. All Data'!H44</f>
        <v>Deferred</v>
      </c>
      <c r="E45" s="104"/>
      <c r="F45" s="132" t="str">
        <f>'1. All Data'!M44</f>
        <v>Deferred</v>
      </c>
      <c r="G45" s="104"/>
      <c r="H45" s="133" t="str">
        <f>'1. All Data'!R44</f>
        <v>Deferred</v>
      </c>
      <c r="I45" s="104"/>
      <c r="J45" s="133" t="str">
        <f>'1. All Data'!V44</f>
        <v>Deferred</v>
      </c>
    </row>
    <row r="46" spans="1:10" ht="99.75" customHeight="1">
      <c r="A46" s="102" t="str">
        <f>'1. All Data'!B46</f>
        <v>EHW17</v>
      </c>
      <c r="B46" s="134" t="str">
        <f>'1. All Data'!C46</f>
        <v>Open Spaces Initiatives</v>
      </c>
      <c r="C46" s="135" t="str">
        <f>'1. All Data'!D46</f>
        <v>Increase the marks awarded to the 9 parks  in  the “It’s Your Neighbourhood” Parks category by an average of 10%</v>
      </c>
      <c r="D46" s="131" t="str">
        <f>'1. All Data'!H46</f>
        <v>Deferred</v>
      </c>
      <c r="E46" s="104"/>
      <c r="F46" s="132" t="str">
        <f>'1. All Data'!M46</f>
        <v>Deferred</v>
      </c>
      <c r="G46" s="104"/>
      <c r="H46" s="133" t="str">
        <f>'1. All Data'!R46</f>
        <v>Deferred</v>
      </c>
      <c r="I46" s="104"/>
      <c r="J46" s="133" t="str">
        <f>'1. All Data'!V46</f>
        <v>Deferred</v>
      </c>
    </row>
    <row r="47" spans="1:10" ht="99.75" customHeight="1">
      <c r="A47" s="102" t="str">
        <f>'1. All Data'!B47</f>
        <v>EHW18</v>
      </c>
      <c r="B47" s="134" t="str">
        <f>'1. All Data'!C47</f>
        <v>Develop Tourism within the Borough</v>
      </c>
      <c r="C47" s="135" t="str">
        <f>'1. All Data'!D47</f>
        <v>Develop a tactical approach and plan for tourism in East Staffordshire</v>
      </c>
      <c r="D47" s="131" t="str">
        <f>'1. All Data'!H47</f>
        <v>On Track to be Achieved</v>
      </c>
      <c r="E47" s="104"/>
      <c r="F47" s="132" t="str">
        <f>'1. All Data'!M47</f>
        <v>On Track to be Achieved</v>
      </c>
      <c r="G47" s="104"/>
      <c r="H47" s="133" t="str">
        <f>'1. All Data'!R47</f>
        <v>Fully Achieved</v>
      </c>
      <c r="I47" s="104"/>
      <c r="J47" s="133" t="str">
        <f>'1. All Data'!V47</f>
        <v>Fully Achieved</v>
      </c>
    </row>
    <row r="48" spans="1:10" ht="99.75" customHeight="1">
      <c r="A48" s="102" t="str">
        <f>'1. All Data'!B48</f>
        <v>EHW19</v>
      </c>
      <c r="B48" s="134" t="str">
        <f>'1. All Data'!C48</f>
        <v>Compliance Inspections in support of Public Protection</v>
      </c>
      <c r="C48" s="135" t="str">
        <f>'1. All Data'!D48</f>
        <v>Undertake two high profile initiatives aimed at monitoring compliance and ensuring public protection</v>
      </c>
      <c r="D48" s="131" t="str">
        <f>'1. All Data'!H48</f>
        <v>On Track to be Achieved</v>
      </c>
      <c r="E48" s="104"/>
      <c r="F48" s="132" t="str">
        <f>'1. All Data'!M48</f>
        <v>On Track to be Achieved</v>
      </c>
      <c r="G48" s="104"/>
      <c r="H48" s="133" t="str">
        <f>'1. All Data'!R48</f>
        <v>On Track to be Achieved</v>
      </c>
      <c r="I48" s="104"/>
      <c r="J48" s="133" t="str">
        <f>'1. All Data'!V48</f>
        <v>Fully Achieved</v>
      </c>
    </row>
    <row r="49" spans="1:47" ht="99.75" customHeight="1">
      <c r="A49" s="102" t="str">
        <f>'1. All Data'!B49</f>
        <v>EHW20</v>
      </c>
      <c r="B49" s="134" t="str">
        <f>'1. All Data'!C49</f>
        <v>Community &amp; Civil Enforcement Initiatives</v>
      </c>
      <c r="C49" s="135" t="str">
        <f>'1. All Data'!D49</f>
        <v xml:space="preserve">Undertake 8 focused initiatives (including fly tipping) across the Borough and deliver at least 6 education programs in local schools. </v>
      </c>
      <c r="D49" s="131" t="str">
        <f>'1. All Data'!H49</f>
        <v>In Danger of Falling Behind Target</v>
      </c>
      <c r="E49" s="104"/>
      <c r="F49" s="132" t="str">
        <f>'1. All Data'!M49</f>
        <v>In Danger of Falling Behind Target</v>
      </c>
      <c r="G49" s="104"/>
      <c r="H49" s="133" t="str">
        <f>'1. All Data'!R49</f>
        <v>On Track to be Achieved</v>
      </c>
      <c r="I49" s="104"/>
      <c r="J49" s="133" t="str">
        <f>'1. All Data'!V49</f>
        <v>Fully Achieved</v>
      </c>
    </row>
    <row r="50" spans="1:47" ht="99.75" customHeight="1">
      <c r="A50" s="102" t="str">
        <f>'1. All Data'!B50</f>
        <v>EHW21</v>
      </c>
      <c r="B50" s="134" t="str">
        <f>'1. All Data'!C50</f>
        <v>Development of the Selective Licensing Scheme</v>
      </c>
      <c r="C50" s="135" t="str">
        <f>'1. All Data'!D50</f>
        <v>Selective Licensing Designation Approved</v>
      </c>
      <c r="D50" s="131" t="str">
        <f>'1. All Data'!H50</f>
        <v>Deferred</v>
      </c>
      <c r="E50" s="104"/>
      <c r="F50" s="132" t="str">
        <f>'1. All Data'!M50</f>
        <v>Deferred</v>
      </c>
      <c r="G50" s="112"/>
      <c r="H50" s="133" t="str">
        <f>'1. All Data'!R50</f>
        <v>Deferred</v>
      </c>
      <c r="I50" s="112"/>
      <c r="J50" s="133" t="str">
        <f>'1. All Data'!V50</f>
        <v>Deferred</v>
      </c>
    </row>
    <row r="51" spans="1:47" ht="99.75" customHeight="1">
      <c r="A51" s="102" t="str">
        <f>'1. All Data'!B51</f>
        <v>EHW22</v>
      </c>
      <c r="B51" s="134" t="str">
        <f>'1. All Data'!C51</f>
        <v>Development of the Selective Licensing Scheme</v>
      </c>
      <c r="C51" s="135" t="str">
        <f>'1. All Data'!D51</f>
        <v>Selective Licensing Third Year Review Complete</v>
      </c>
      <c r="D51" s="131" t="str">
        <f>'1. All Data'!H51</f>
        <v>On Track to be Achieved</v>
      </c>
      <c r="E51" s="103"/>
      <c r="F51" s="132" t="str">
        <f>'1. All Data'!M51</f>
        <v>On Track to be Achieved</v>
      </c>
      <c r="G51" s="104"/>
      <c r="H51" s="133" t="str">
        <f>'1. All Data'!R51</f>
        <v>Fully Achieved</v>
      </c>
      <c r="I51" s="104"/>
      <c r="J51" s="133" t="str">
        <f>'1. All Data'!V51</f>
        <v>Fully Achieved</v>
      </c>
    </row>
    <row r="52" spans="1:47" ht="99.75" customHeight="1">
      <c r="A52" s="102" t="str">
        <f>'1. All Data'!B52</f>
        <v>EHW23</v>
      </c>
      <c r="B52" s="134" t="str">
        <f>'1. All Data'!C52</f>
        <v>Partnership working with Trading Standards Regarding Tenant Fees</v>
      </c>
      <c r="C52" s="135" t="str">
        <f>'1. All Data'!D52</f>
        <v>Undertake a Targeted Initiative to Investigate and Enforce Compliance with Tenant Fees Legislation</v>
      </c>
      <c r="D52" s="131" t="str">
        <f>'1. All Data'!H52</f>
        <v>On Track to be Achieved</v>
      </c>
      <c r="E52" s="103"/>
      <c r="F52" s="132" t="str">
        <f>'1. All Data'!M52</f>
        <v>Not Yet Due</v>
      </c>
      <c r="G52" s="104"/>
      <c r="H52" s="133" t="str">
        <f>'1. All Data'!R52</f>
        <v>On Track to be Achieved</v>
      </c>
      <c r="I52" s="104"/>
      <c r="J52" s="133" t="str">
        <f>'1. All Data'!V52</f>
        <v>Target Partially Met</v>
      </c>
    </row>
    <row r="53" spans="1:47" ht="99.75" customHeight="1">
      <c r="A53" s="102" t="str">
        <f>'1. All Data'!B53</f>
        <v>EHW24</v>
      </c>
      <c r="B53" s="134" t="str">
        <f>'1. All Data'!C53</f>
        <v>Disabled Facilities Grant Review</v>
      </c>
      <c r="C53" s="135" t="str">
        <f>'1. All Data'!D53</f>
        <v>Complete Annual Review of Disabled Facilities Grant Service</v>
      </c>
      <c r="D53" s="131" t="str">
        <f>'1. All Data'!H53</f>
        <v>On Track to be Achieved</v>
      </c>
      <c r="E53" s="104"/>
      <c r="F53" s="132" t="str">
        <f>'1. All Data'!M53</f>
        <v>On Track to be Achieved</v>
      </c>
      <c r="G53" s="104"/>
      <c r="H53" s="133" t="str">
        <f>'1. All Data'!R53</f>
        <v>Fully Achieved</v>
      </c>
      <c r="I53" s="104"/>
      <c r="J53" s="133" t="str">
        <f>'1. All Data'!V53</f>
        <v>Fully Achieved</v>
      </c>
    </row>
    <row r="54" spans="1:47" ht="105">
      <c r="A54" s="102" t="str">
        <f>'1. All Data'!B54</f>
        <v>EHW25</v>
      </c>
      <c r="B54" s="134" t="str">
        <f>'1. All Data'!C54</f>
        <v>Climate Change &amp; Air Quality Policy</v>
      </c>
      <c r="C54" s="135" t="str">
        <f>'1. All Data'!D54</f>
        <v>Consider the declaration of a Climate Emergency and implement and monitor a Climate Change action plan-including an annual update</v>
      </c>
      <c r="D54" s="131" t="str">
        <f>'1. All Data'!H54</f>
        <v>On Track to be Achieved</v>
      </c>
      <c r="E54" s="103"/>
      <c r="F54" s="132" t="str">
        <f>'1. All Data'!M54</f>
        <v>Fully Achieved</v>
      </c>
      <c r="G54" s="112"/>
      <c r="H54" s="133" t="str">
        <f>'1. All Data'!R54</f>
        <v>Fully Achieved</v>
      </c>
      <c r="I54" s="104"/>
      <c r="J54" s="133" t="str">
        <f>'1. All Data'!V54</f>
        <v>Fully Achieved</v>
      </c>
    </row>
    <row r="55" spans="1:47" ht="99.75" customHeight="1">
      <c r="A55" s="102" t="str">
        <f>'1. All Data'!B55</f>
        <v>EHW26</v>
      </c>
      <c r="B55" s="134" t="str">
        <f>'1. All Data'!C55</f>
        <v>Multi-agency Initiatives to Combat Modern Slavery</v>
      </c>
      <c r="C55" s="135" t="str">
        <f>'1. All Data'!D55</f>
        <v>Carry out Covid-19 compliance checks across the Borough and report progress on a quarterly basis</v>
      </c>
      <c r="D55" s="131" t="str">
        <f>'1. All Data'!H55</f>
        <v>On Track to be Achieved</v>
      </c>
      <c r="E55" s="104"/>
      <c r="F55" s="132" t="str">
        <f>'1. All Data'!M55</f>
        <v>On Track to be Achieved</v>
      </c>
      <c r="G55" s="104"/>
      <c r="H55" s="133" t="str">
        <f>'1. All Data'!R55</f>
        <v>On Track to be Achieved</v>
      </c>
      <c r="I55" s="104"/>
      <c r="J55" s="133" t="str">
        <f>'1. All Data'!V55</f>
        <v>Fully Achieved</v>
      </c>
    </row>
    <row r="56" spans="1:47" ht="99.75" customHeight="1">
      <c r="A56" s="102" t="str">
        <f>'1. All Data'!B56</f>
        <v>VFM01</v>
      </c>
      <c r="B56" s="134" t="str">
        <f>'1. All Data'!C56</f>
        <v>Continue to Improve Financial Resilience</v>
      </c>
      <c r="C56" s="135" t="str">
        <f>'1. All Data'!D56</f>
        <v xml:space="preserve">Compliance with HMRC VAT Digitalisation Requirements </v>
      </c>
      <c r="D56" s="131" t="str">
        <f>'1. All Data'!H56</f>
        <v>On Track to be Achieved</v>
      </c>
      <c r="E56" s="104"/>
      <c r="F56" s="132" t="str">
        <f>'1. All Data'!M56</f>
        <v>On Track to be Achieved</v>
      </c>
      <c r="G56" s="104"/>
      <c r="H56" s="133" t="str">
        <f>'1. All Data'!R56</f>
        <v>Fully Achieved</v>
      </c>
      <c r="I56" s="104"/>
      <c r="J56" s="133" t="str">
        <f>'1. All Data'!V56</f>
        <v>Fully Achieved</v>
      </c>
      <c r="AU56" s="105"/>
    </row>
    <row r="57" spans="1:47" s="118" customFormat="1" ht="87.6">
      <c r="A57" s="102" t="str">
        <f>'1. All Data'!B57</f>
        <v>VFM02</v>
      </c>
      <c r="B57" s="134" t="str">
        <f>'1. All Data'!C57</f>
        <v>Continue to Improve Financial Resilience</v>
      </c>
      <c r="C57" s="135" t="str">
        <f>'1. All Data'!D57</f>
        <v>Review compliance against CIPFA FM Code of Practice</v>
      </c>
      <c r="D57" s="131" t="str">
        <f>'1. All Data'!H57</f>
        <v>Not Yet Due</v>
      </c>
      <c r="E57" s="103"/>
      <c r="F57" s="132" t="str">
        <f>'1. All Data'!M57</f>
        <v>Not Yet Due</v>
      </c>
      <c r="G57" s="104"/>
      <c r="H57" s="133" t="str">
        <f>'1. All Data'!R57</f>
        <v>Off Target</v>
      </c>
      <c r="I57" s="104"/>
      <c r="J57" s="133" t="str">
        <f>'1. All Data'!V57</f>
        <v>Off Target</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customHeight="1">
      <c r="A58" s="102" t="str">
        <f>'1. All Data'!B58</f>
        <v>VFM03</v>
      </c>
      <c r="B58" s="134" t="str">
        <f>'1. All Data'!C58</f>
        <v>Continue to Improve Financial Resilience</v>
      </c>
      <c r="C58" s="135" t="str">
        <f>'1. All Data'!D58</f>
        <v>Review and Refresh Financial Regulations</v>
      </c>
      <c r="D58" s="131" t="str">
        <f>'1. All Data'!H58</f>
        <v>Not Yet Due</v>
      </c>
      <c r="E58" s="104"/>
      <c r="F58" s="132" t="str">
        <f>'1. All Data'!M58</f>
        <v>Not Yet Due</v>
      </c>
      <c r="G58" s="104"/>
      <c r="H58" s="133" t="str">
        <f>'1. All Data'!R58</f>
        <v>Not Yet Due</v>
      </c>
      <c r="I58" s="104"/>
      <c r="J58" s="133" t="str">
        <f>'1. All Data'!V58</f>
        <v>Deferred</v>
      </c>
    </row>
    <row r="59" spans="1:47" ht="99.75" customHeight="1">
      <c r="A59" s="102" t="str">
        <f>'1. All Data'!B59</f>
        <v>VFM04</v>
      </c>
      <c r="B59" s="134" t="str">
        <f>'1. All Data'!C59</f>
        <v>Continue to Improve Financial Resilience</v>
      </c>
      <c r="C59" s="135" t="str">
        <f>'1. All Data'!D59</f>
        <v>Review and Refresh Contract Procedure Rules</v>
      </c>
      <c r="D59" s="131" t="str">
        <f>'1. All Data'!H59</f>
        <v>Not Yet Due</v>
      </c>
      <c r="E59" s="103"/>
      <c r="F59" s="132" t="str">
        <f>'1. All Data'!M59</f>
        <v>Not Yet Due</v>
      </c>
      <c r="G59" s="104"/>
      <c r="H59" s="133" t="str">
        <f>'1. All Data'!R59</f>
        <v>Not Yet Due</v>
      </c>
      <c r="I59" s="104"/>
      <c r="J59" s="133" t="str">
        <f>'1. All Data'!V59</f>
        <v>Deferred</v>
      </c>
    </row>
    <row r="60" spans="1:47" ht="99.75" customHeight="1">
      <c r="A60" s="102" t="str">
        <f>'1. All Data'!B60</f>
        <v>VFM05</v>
      </c>
      <c r="B60" s="134" t="str">
        <f>'1. All Data'!C60</f>
        <v>Continue to Improve Financial Resilience</v>
      </c>
      <c r="C60" s="135" t="str">
        <f>'1. All Data'!D60</f>
        <v>Undertake a Procurement Exercise for the Council’s Insurance and related support</v>
      </c>
      <c r="D60" s="131" t="str">
        <f>'1. All Data'!H60</f>
        <v>On Track to be Achieved</v>
      </c>
      <c r="E60" s="104"/>
      <c r="F60" s="132" t="str">
        <f>'1. All Data'!M60</f>
        <v>Fully Achieved</v>
      </c>
      <c r="G60" s="119"/>
      <c r="H60" s="133" t="str">
        <f>'1. All Data'!R60</f>
        <v>Fully Achieved</v>
      </c>
      <c r="I60" s="119"/>
      <c r="J60" s="133" t="str">
        <f>'1. All Data'!V60</f>
        <v>Fully Achieved</v>
      </c>
    </row>
    <row r="61" spans="1:47" s="123" customFormat="1" ht="69.75" customHeight="1">
      <c r="A61" s="102" t="str">
        <f>'1. All Data'!B61</f>
        <v>VFM06</v>
      </c>
      <c r="B61" s="134" t="str">
        <f>'1. All Data'!C61</f>
        <v>Continue to Improve Financial Resilience</v>
      </c>
      <c r="C61" s="135" t="str">
        <f>'1. All Data'!D61</f>
        <v xml:space="preserve">Develop Procurement Policy  </v>
      </c>
      <c r="D61" s="131" t="str">
        <f>'1. All Data'!H61</f>
        <v>Off Target</v>
      </c>
      <c r="E61" s="103"/>
      <c r="F61" s="132" t="str">
        <f>'1. All Data'!M61</f>
        <v>Completed Behind Schedule</v>
      </c>
      <c r="G61" s="121"/>
      <c r="H61" s="133" t="str">
        <f>'1. All Data'!R61</f>
        <v>Completed Behind Schedule</v>
      </c>
      <c r="I61" s="121"/>
      <c r="J61" s="133" t="str">
        <f>'1. All Data'!V61</f>
        <v>Completed Significantly After Target Deadline</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customHeight="1">
      <c r="A62" s="102" t="str">
        <f>'1. All Data'!B62</f>
        <v>VFM07</v>
      </c>
      <c r="B62" s="134" t="str">
        <f>'1. All Data'!C62</f>
        <v>Responding to Significant Local Government Finance Changes and Assessing the Impact on the Council’s Financial Position</v>
      </c>
      <c r="C62" s="135" t="str">
        <f>'1. All Data'!D62</f>
        <v xml:space="preserve">Activities Throughout the Year Reported in Line with the Timed Responses </v>
      </c>
      <c r="D62" s="131" t="str">
        <f>'1. All Data'!H62</f>
        <v>On Track to be Achieved</v>
      </c>
      <c r="E62" s="104"/>
      <c r="F62" s="132" t="str">
        <f>'1. All Data'!M62</f>
        <v>On Track to be Achieved</v>
      </c>
      <c r="G62" s="104"/>
      <c r="H62" s="133" t="str">
        <f>'1. All Data'!R62</f>
        <v>On Track to be Achieved</v>
      </c>
      <c r="I62" s="104"/>
      <c r="J62" s="133" t="str">
        <f>'1. All Data'!V62</f>
        <v>Fully Achieved</v>
      </c>
    </row>
    <row r="63" spans="1:47" ht="99.75" customHeight="1">
      <c r="A63" s="102" t="str">
        <f>'1. All Data'!B63</f>
        <v>VFM08</v>
      </c>
      <c r="B63" s="134" t="str">
        <f>'1. All Data'!C63</f>
        <v>Set the MTFS for 2021/22 onwards</v>
      </c>
      <c r="C63" s="135" t="str">
        <f>'1. All Data'!D63</f>
        <v xml:space="preserve">Set Budget for Council Approval  </v>
      </c>
      <c r="D63" s="131" t="str">
        <f>'1. All Data'!H63</f>
        <v>Not Yet Due</v>
      </c>
      <c r="E63" s="104"/>
      <c r="F63" s="132" t="str">
        <f>'1. All Data'!M63</f>
        <v>On Track to be Achieved</v>
      </c>
      <c r="G63" s="104"/>
      <c r="H63" s="133" t="str">
        <f>'1. All Data'!R63</f>
        <v>On Track to be Achieved</v>
      </c>
      <c r="I63" s="104"/>
      <c r="J63" s="133" t="str">
        <f>'1. All Data'!V63</f>
        <v>Fully Achieved</v>
      </c>
    </row>
    <row r="64" spans="1:47" ht="99.75" customHeight="1">
      <c r="A64" s="102" t="str">
        <f>'1. All Data'!B64</f>
        <v>VFM09</v>
      </c>
      <c r="B64" s="134" t="str">
        <f>'1. All Data'!C64</f>
        <v>Savings targets for 2020/21</v>
      </c>
      <c r="C64" s="135" t="str">
        <f>'1. All Data'!D64</f>
        <v xml:space="preserve">Achieve Savings Targets as Stated in the Medium Term Financial Strategy </v>
      </c>
      <c r="D64" s="131" t="str">
        <f>'1. All Data'!H64</f>
        <v>Deleted</v>
      </c>
      <c r="E64" s="104"/>
      <c r="F64" s="132" t="str">
        <f>'1. All Data'!M64</f>
        <v>Deleted</v>
      </c>
      <c r="G64" s="104"/>
      <c r="H64" s="133" t="str">
        <f>'1. All Data'!R64</f>
        <v>Deleted</v>
      </c>
      <c r="I64" s="104"/>
      <c r="J64" s="133" t="str">
        <f>'1. All Data'!V64</f>
        <v>Deleted</v>
      </c>
    </row>
    <row r="65" spans="1:10" ht="99.75" customHeight="1">
      <c r="A65" s="102" t="str">
        <f>'1. All Data'!B65</f>
        <v>VFM10</v>
      </c>
      <c r="B65" s="134" t="str">
        <f>'1. All Data'!C65</f>
        <v xml:space="preserve">Having an approved Statement of Accounts </v>
      </c>
      <c r="C65" s="135" t="str">
        <f>'1. All Data'!D65</f>
        <v xml:space="preserve">Submit Statement of Accounts to Audit Committee by the earlier Statutory Deadline </v>
      </c>
      <c r="D65" s="131" t="str">
        <f>'1. All Data'!H65</f>
        <v>On Track to be Achieved</v>
      </c>
      <c r="E65" s="104"/>
      <c r="F65" s="132" t="str">
        <f>'1. All Data'!M65</f>
        <v>On Track to be Achieved</v>
      </c>
      <c r="G65" s="104"/>
      <c r="H65" s="133" t="str">
        <f>'1. All Data'!R65</f>
        <v>Fully Achieved</v>
      </c>
      <c r="I65" s="104"/>
      <c r="J65" s="133" t="str">
        <f>'1. All Data'!V65</f>
        <v>Fully Achieved</v>
      </c>
    </row>
    <row r="66" spans="1:10" ht="99.75" customHeight="1">
      <c r="A66" s="102" t="str">
        <f>'1. All Data'!B66</f>
        <v>VFM11</v>
      </c>
      <c r="B66" s="134" t="str">
        <f>'1. All Data'!C66</f>
        <v>Prepare for a Corporate ICT refresh</v>
      </c>
      <c r="C66" s="135" t="str">
        <f>'1. All Data'!D66</f>
        <v>Commence Desktop Hardware Renewal</v>
      </c>
      <c r="D66" s="131" t="str">
        <f>'1. All Data'!H66</f>
        <v>Fully Achieved</v>
      </c>
      <c r="E66" s="104"/>
      <c r="F66" s="132" t="str">
        <f>'1. All Data'!M66</f>
        <v>Fully Achieved</v>
      </c>
      <c r="G66" s="104"/>
      <c r="H66" s="133" t="str">
        <f>'1. All Data'!R66</f>
        <v>Fully Achieved</v>
      </c>
      <c r="I66" s="104"/>
      <c r="J66" s="133" t="str">
        <f>'1. All Data'!V66</f>
        <v>Fully Achieved</v>
      </c>
    </row>
    <row r="67" spans="1:10" ht="99.75" customHeight="1">
      <c r="A67" s="102" t="str">
        <f>'1. All Data'!B67</f>
        <v>VFM12</v>
      </c>
      <c r="B67" s="134" t="str">
        <f>'1. All Data'!C67</f>
        <v>Explore opportunities for shared service/income generation</v>
      </c>
      <c r="C67" s="135" t="str">
        <f>'1. All Data'!D67</f>
        <v>Report on ICT income generation</v>
      </c>
      <c r="D67" s="131" t="str">
        <f>'1. All Data'!H67</f>
        <v>Off Target</v>
      </c>
      <c r="E67" s="104"/>
      <c r="F67" s="132" t="str">
        <f>'1. All Data'!M67</f>
        <v>Off Target</v>
      </c>
      <c r="G67" s="104"/>
      <c r="H67" s="133" t="str">
        <f>'1. All Data'!R67</f>
        <v>Off Target</v>
      </c>
      <c r="I67" s="104"/>
      <c r="J67" s="133" t="str">
        <f>'1. All Data'!V67</f>
        <v>Off Target</v>
      </c>
    </row>
    <row r="68" spans="1:10" ht="99.75" customHeight="1">
      <c r="A68" s="102" t="str">
        <f>'1. All Data'!B68</f>
        <v>VFM13</v>
      </c>
      <c r="B68" s="134" t="str">
        <f>'1. All Data'!C68</f>
        <v>Continuing to digitise SMARTER services</v>
      </c>
      <c r="C68" s="135" t="str">
        <f>'1. All Data'!D68</f>
        <v>Digital Strategy Refreshed and approved</v>
      </c>
      <c r="D68" s="131" t="str">
        <f>'1. All Data'!H68</f>
        <v>On Track to be Achieved</v>
      </c>
      <c r="E68" s="104"/>
      <c r="F68" s="132" t="str">
        <f>'1. All Data'!M68</f>
        <v>On Track to be Achieved</v>
      </c>
      <c r="G68" s="104"/>
      <c r="H68" s="133" t="str">
        <f>'1. All Data'!R68</f>
        <v>Fully Achieved</v>
      </c>
      <c r="I68" s="104"/>
      <c r="J68" s="133" t="str">
        <f>'1. All Data'!V68</f>
        <v>Fully Achieved</v>
      </c>
    </row>
    <row r="69" spans="1:10" ht="99.75" customHeight="1">
      <c r="A69" s="102" t="str">
        <f>'1. All Data'!B69</f>
        <v>VFM14</v>
      </c>
      <c r="B69" s="134" t="str">
        <f>'1. All Data'!C69</f>
        <v>Continuing to digitise SMARTER services</v>
      </c>
      <c r="C69" s="135" t="str">
        <f>'1. All Data'!D69</f>
        <v xml:space="preserve">80% of revised Digital Strategy targets achieved </v>
      </c>
      <c r="D69" s="131" t="str">
        <f>'1. All Data'!H69</f>
        <v>Not Yet Due</v>
      </c>
      <c r="E69" s="104"/>
      <c r="F69" s="132" t="str">
        <f>'1. All Data'!M69</f>
        <v>Not Yet Due</v>
      </c>
      <c r="G69" s="112"/>
      <c r="H69" s="133" t="str">
        <f>'1. All Data'!R69</f>
        <v>On Track to be Achieved</v>
      </c>
      <c r="I69" s="112"/>
      <c r="J69" s="133" t="str">
        <f>'1. All Data'!V69</f>
        <v>Fully Achieved</v>
      </c>
    </row>
    <row r="70" spans="1:10" ht="99.75" customHeight="1">
      <c r="A70" s="102" t="str">
        <f>'1. All Data'!B70</f>
        <v>VFM15</v>
      </c>
      <c r="B70" s="134" t="str">
        <f>'1. All Data'!C70</f>
        <v>Continuing to digitise SMARTER services</v>
      </c>
      <c r="C70" s="135" t="str">
        <f>'1. All Data'!D70</f>
        <v>GeoPlaces Gold Standard in ESBC related categories</v>
      </c>
      <c r="D70" s="131" t="str">
        <f>'1. All Data'!H70</f>
        <v>On Track to be Achieved</v>
      </c>
      <c r="E70" s="104"/>
      <c r="F70" s="132" t="str">
        <f>'1. All Data'!M70</f>
        <v>On Track to be Achieved</v>
      </c>
      <c r="G70" s="112"/>
      <c r="H70" s="133" t="str">
        <f>'1. All Data'!R70</f>
        <v>On Track to be Achieved</v>
      </c>
      <c r="I70" s="112"/>
      <c r="J70" s="133" t="str">
        <f>'1. All Data'!V70</f>
        <v>Fully Achieved</v>
      </c>
    </row>
    <row r="71" spans="1:10" ht="99.75" customHeight="1">
      <c r="A71" s="102" t="str">
        <f>'1. All Data'!B71</f>
        <v>VFM16</v>
      </c>
      <c r="B71" s="134" t="str">
        <f>'1. All Data'!C71</f>
        <v>Improved Resilience Planning</v>
      </c>
      <c r="C71" s="135" t="str">
        <f>'1. All Data'!D71</f>
        <v>Review of Rest Centres Complete</v>
      </c>
      <c r="D71" s="131" t="str">
        <f>'1. All Data'!H71</f>
        <v>Not Yet Due</v>
      </c>
      <c r="E71" s="104"/>
      <c r="F71" s="132" t="str">
        <f>'1. All Data'!M71</f>
        <v>Not Yet Due</v>
      </c>
      <c r="G71" s="112"/>
      <c r="H71" s="133" t="str">
        <f>'1. All Data'!R71</f>
        <v>On Track to be Achieved</v>
      </c>
      <c r="I71" s="112"/>
      <c r="J71" s="133" t="str">
        <f>'1. All Data'!V71</f>
        <v>Fully Achieved</v>
      </c>
    </row>
    <row r="72" spans="1:10" ht="99.75" customHeight="1">
      <c r="A72" s="102" t="str">
        <f>'1. All Data'!B72</f>
        <v>VFM17</v>
      </c>
      <c r="B72" s="134" t="str">
        <f>'1. All Data'!C72</f>
        <v>LGA Peer Review</v>
      </c>
      <c r="C72" s="135" t="str">
        <f>'1. All Data'!D72</f>
        <v>Work with the LGA to deliver a peer review to another council/s to build up to hosting one in East Staffordshire</v>
      </c>
      <c r="D72" s="131" t="str">
        <f>'1. All Data'!H72</f>
        <v>Deleted</v>
      </c>
      <c r="E72" s="103"/>
      <c r="F72" s="132" t="str">
        <f>'1. All Data'!M72</f>
        <v>Deleted</v>
      </c>
      <c r="G72" s="104"/>
      <c r="H72" s="133" t="str">
        <f>'1. All Data'!R72</f>
        <v>Deleted</v>
      </c>
      <c r="I72" s="104"/>
      <c r="J72" s="133" t="str">
        <f>'1. All Data'!V72</f>
        <v>Deleted</v>
      </c>
    </row>
    <row r="73" spans="1:10" ht="99.75" customHeight="1">
      <c r="A73" s="102" t="str">
        <f>'1. All Data'!B73</f>
        <v>VFM18a</v>
      </c>
      <c r="B73" s="134" t="str">
        <f>'1. All Data'!C73</f>
        <v xml:space="preserve">Continue to Maximise Income Through Effective Collection Processes (Previously BVPI9) </v>
      </c>
      <c r="C73" s="135" t="str">
        <f>'1. All Data'!D73</f>
        <v xml:space="preserve">Collection Rates of 
         Council Tax : 98% </v>
      </c>
      <c r="D73" s="131" t="str">
        <f>'1. All Data'!H73</f>
        <v>On Track to be Achieved</v>
      </c>
      <c r="E73" s="104"/>
      <c r="F73" s="132" t="str">
        <f>'1. All Data'!M73</f>
        <v>In Danger of Falling Behind Target</v>
      </c>
      <c r="G73" s="104"/>
      <c r="H73" s="133" t="str">
        <f>'1. All Data'!R73</f>
        <v>On Track to be Achieved</v>
      </c>
      <c r="I73" s="104"/>
      <c r="J73" s="133" t="str">
        <f>'1. All Data'!V73</f>
        <v>Fully Achieved</v>
      </c>
    </row>
    <row r="74" spans="1:10" ht="99.75" customHeight="1">
      <c r="A74" s="102" t="str">
        <f>'1. All Data'!B75</f>
        <v>VFM19a</v>
      </c>
      <c r="B74" s="134" t="str">
        <f>'1. All Data'!C75</f>
        <v>Continue to Maximise Income Through Effective Collection Processes: Reduce Former Years Arrears for Council Tax; NNDR; Sundry Debts</v>
      </c>
      <c r="C74" s="135" t="str">
        <f>'1. All Data'!D75</f>
        <v>Former Years Arrears for Council Tax
£2,500,000 (net of credits, amounts on arrangement and identified write offs)</v>
      </c>
      <c r="D74" s="131" t="str">
        <f>'1. All Data'!H75</f>
        <v>On Track to be Achieved</v>
      </c>
      <c r="E74" s="104"/>
      <c r="F74" s="132" t="str">
        <f>'1. All Data'!M75</f>
        <v>On Track to be Achieved</v>
      </c>
      <c r="G74" s="112"/>
      <c r="H74" s="133" t="str">
        <f>'1. All Data'!R75</f>
        <v>On Track to be Achieved</v>
      </c>
      <c r="I74" s="104"/>
      <c r="J74" s="133" t="str">
        <f>'1. All Data'!V75</f>
        <v>Fully Achieved</v>
      </c>
    </row>
    <row r="75" spans="1:10" ht="99.75" customHeight="1">
      <c r="A75" s="102" t="str">
        <f>'1. All Data'!B78</f>
        <v>VFM20a</v>
      </c>
      <c r="B75" s="134" t="str">
        <f>'1. All Data'!C78</f>
        <v>Maintaining excellent customer access to services with face-to-face and telephony enquiries</v>
      </c>
      <c r="C75" s="135" t="str">
        <f>'1. All Data'!D78</f>
        <v>99% of CSC and Telephony Team Enquiries Resolved at First Point of Contact</v>
      </c>
      <c r="D75" s="131" t="str">
        <f>'1. All Data'!H78</f>
        <v>Not Yet Due</v>
      </c>
      <c r="E75" s="104"/>
      <c r="F75" s="132" t="str">
        <f>'1. All Data'!M78</f>
        <v>On Track to be Achieved</v>
      </c>
      <c r="G75" s="104"/>
      <c r="H75" s="133" t="str">
        <f>'1. All Data'!R78</f>
        <v>On Track to be Achieved</v>
      </c>
      <c r="I75" s="104"/>
      <c r="J75" s="133" t="str">
        <f>'1. All Data'!V78</f>
        <v>Fully Achieved</v>
      </c>
    </row>
    <row r="76" spans="1:10" ht="99.75" customHeight="1">
      <c r="A76" s="102" t="str">
        <f>'1. All Data'!B80</f>
        <v>VFM21</v>
      </c>
      <c r="B76" s="134" t="str">
        <f>'1. All Data'!C80</f>
        <v>Continue to Improve the Ways We Provide Benefits to Those Most in Need:</v>
      </c>
      <c r="C76" s="135" t="str">
        <f>'1. All Data'!D80</f>
        <v>Time Taken to Process Benefit New Claims and Change Events (Previously NI 181)
5 days</v>
      </c>
      <c r="D76" s="131" t="str">
        <f>'1. All Data'!H80</f>
        <v>On Track to be Achieved</v>
      </c>
      <c r="E76" s="104"/>
      <c r="F76" s="132" t="str">
        <f>'1. All Data'!M80</f>
        <v>On Track to be Achieved</v>
      </c>
      <c r="G76" s="104"/>
      <c r="H76" s="133" t="str">
        <f>'1. All Data'!R80</f>
        <v>On Track to be Achieved</v>
      </c>
      <c r="I76" s="104"/>
      <c r="J76" s="133" t="str">
        <f>'1. All Data'!V80</f>
        <v>Fully Achieved</v>
      </c>
    </row>
    <row r="77" spans="1:10" ht="87.6">
      <c r="A77" s="102" t="str">
        <f>'1. All Data'!B81</f>
        <v>VFM22ai</v>
      </c>
      <c r="B77" s="134" t="str">
        <f>'1. All Data'!C81</f>
        <v>Working Towards the Reduction of Claimant Error Housing Benefit Overpayments (HBOPs)</v>
      </c>
      <c r="C77" s="135" t="str">
        <f>'1. All Data'!D81</f>
        <v>% HBOPs recovered during the year; 
90%</v>
      </c>
      <c r="D77" s="131" t="str">
        <f>'1. All Data'!H81</f>
        <v>On Track to be Achieved</v>
      </c>
      <c r="E77" s="103"/>
      <c r="F77" s="132" t="str">
        <f>'1. All Data'!M81</f>
        <v>On Track to be Achieved</v>
      </c>
      <c r="G77" s="104"/>
      <c r="H77" s="133" t="str">
        <f>'1. All Data'!R81</f>
        <v>On Track to be Achieved</v>
      </c>
      <c r="I77" s="104"/>
      <c r="J77" s="133" t="str">
        <f>'1. All Data'!V81</f>
        <v>Fully Achieved</v>
      </c>
    </row>
    <row r="78" spans="1:10" ht="99.75" customHeight="1">
      <c r="A78" s="102" t="str">
        <f>'1. All Data'!B84</f>
        <v>VFM23</v>
      </c>
      <c r="B78" s="134" t="str">
        <f>'1. All Data'!C84</f>
        <v>Implement the new Business Rates Rate Relief policy</v>
      </c>
      <c r="C78" s="135" t="str">
        <f>'1. All Data'!D84</f>
        <v xml:space="preserve">Revised Policy implemented </v>
      </c>
      <c r="D78" s="131" t="str">
        <f>'1. All Data'!H84</f>
        <v>Fully Achieved</v>
      </c>
      <c r="E78" s="103"/>
      <c r="F78" s="132" t="str">
        <f>'1. All Data'!M84</f>
        <v>Fully Achieved</v>
      </c>
      <c r="G78" s="111"/>
      <c r="H78" s="133" t="str">
        <f>'1. All Data'!R84</f>
        <v>Fully Achieved</v>
      </c>
      <c r="I78" s="111"/>
      <c r="J78" s="133" t="str">
        <f>'1. All Data'!V84</f>
        <v>Fully Achieved</v>
      </c>
    </row>
    <row r="79" spans="1:10" ht="99.75" customHeight="1">
      <c r="A79" s="102" t="str">
        <f>'1. All Data'!B85</f>
        <v>VFM24</v>
      </c>
      <c r="B79" s="134" t="str">
        <f>'1. All Data'!C85</f>
        <v xml:space="preserve">Prepare for Universal Credit Managed Migration  </v>
      </c>
      <c r="C79" s="135" t="str">
        <f>'1. All Data'!D85</f>
        <v>Two Member Briefings</v>
      </c>
      <c r="D79" s="131" t="str">
        <f>'1. All Data'!H85</f>
        <v>Deferred</v>
      </c>
      <c r="E79" s="103"/>
      <c r="F79" s="132" t="str">
        <f>'1. All Data'!M85</f>
        <v>Deferred</v>
      </c>
      <c r="G79" s="104"/>
      <c r="H79" s="133" t="str">
        <f>'1. All Data'!R85</f>
        <v>Deferred</v>
      </c>
      <c r="I79" s="104"/>
      <c r="J79" s="133" t="str">
        <f>'1. All Data'!V85</f>
        <v>Deferred</v>
      </c>
    </row>
    <row r="80" spans="1:10" ht="99.75" customHeight="1">
      <c r="A80" s="102" t="str">
        <f>'1. All Data'!B86</f>
        <v>VFM25</v>
      </c>
      <c r="B80" s="134" t="str">
        <f>'1. All Data'!C86</f>
        <v>Further Development of SMARTER working (Waste Collection)</v>
      </c>
      <c r="C80" s="135" t="str">
        <f>'1. All Data'!D86</f>
        <v>Continue with SMARTER Waste Review Service 
Two Update Reports with next steps</v>
      </c>
      <c r="D80" s="131" t="str">
        <f>'1. All Data'!H86</f>
        <v>On Track to be Achieved</v>
      </c>
      <c r="E80" s="104"/>
      <c r="F80" s="132" t="str">
        <f>'1. All Data'!M86</f>
        <v>On Track to be Achieved</v>
      </c>
      <c r="G80" s="104"/>
      <c r="H80" s="133" t="str">
        <f>'1. All Data'!R86</f>
        <v>On Track to be Achieved</v>
      </c>
      <c r="I80" s="104"/>
      <c r="J80" s="133" t="str">
        <f>'1. All Data'!V86</f>
        <v>Fully Achieved</v>
      </c>
    </row>
    <row r="81" spans="1:46" ht="99.75" customHeight="1">
      <c r="A81" s="102" t="str">
        <f>'1. All Data'!B87</f>
        <v>VFM26</v>
      </c>
      <c r="B81" s="134" t="str">
        <f>'1. All Data'!C87</f>
        <v>Further Development of SMARTER working  (Street Cleaning)</v>
      </c>
      <c r="C81" s="135" t="str">
        <f>'1. All Data'!D87</f>
        <v xml:space="preserve">Implement the SMARTER Street Cleaning Programme
Update report on IT Management System </v>
      </c>
      <c r="D81" s="131" t="str">
        <f>'1. All Data'!H87</f>
        <v>Not Yet Due</v>
      </c>
      <c r="E81" s="104"/>
      <c r="F81" s="132" t="str">
        <f>'1. All Data'!M87</f>
        <v>On Track to be Achieved</v>
      </c>
      <c r="G81" s="104"/>
      <c r="H81" s="133" t="str">
        <f>'1. All Data'!R87</f>
        <v>On Track to be Achieved</v>
      </c>
      <c r="I81" s="104"/>
      <c r="J81" s="133" t="str">
        <f>'1. All Data'!V87</f>
        <v>Fully Achieved</v>
      </c>
    </row>
    <row r="82" spans="1:46" s="118" customFormat="1" ht="87.6">
      <c r="A82" s="102" t="str">
        <f>'1. All Data'!B88</f>
        <v>VFM27</v>
      </c>
      <c r="B82" s="134" t="str">
        <f>'1. All Data'!C88</f>
        <v>Essential Procurement Activities</v>
      </c>
      <c r="C82" s="135" t="str">
        <f>'1. All Data'!D88</f>
        <v>Dry Recycling Contract / Garden Waste Contract  Procurement commenced (Options Report)</v>
      </c>
      <c r="D82" s="131" t="str">
        <f>'1. All Data'!H88</f>
        <v>Fully Achieved</v>
      </c>
      <c r="E82" s="103"/>
      <c r="F82" s="132" t="str">
        <f>'1. All Data'!M88</f>
        <v>Fully Achieved</v>
      </c>
      <c r="G82" s="104"/>
      <c r="H82" s="133" t="str">
        <f>'1. All Data'!R88</f>
        <v>Fully Achieved</v>
      </c>
      <c r="I82" s="104"/>
      <c r="J82" s="133" t="str">
        <f>'1. All Data'!V88</f>
        <v>Fully Achieved</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customHeight="1">
      <c r="A83" s="102" t="str">
        <f>'1. All Data'!B89</f>
        <v>VFM28</v>
      </c>
      <c r="B83" s="134" t="str">
        <f>'1. All Data'!C89</f>
        <v>Essential Procurement Activities</v>
      </c>
      <c r="C83" s="135" t="str">
        <f>'1. All Data'!D89</f>
        <v>Vehicle Procurement concluded</v>
      </c>
      <c r="D83" s="131" t="str">
        <f>'1. All Data'!H89</f>
        <v>On Track to be Achieved</v>
      </c>
      <c r="E83" s="104"/>
      <c r="F83" s="132" t="str">
        <f>'1. All Data'!M89</f>
        <v>In Danger of Falling Behind Target</v>
      </c>
      <c r="G83" s="128"/>
      <c r="H83" s="133" t="str">
        <f>'1. All Data'!R89</f>
        <v>Off Target</v>
      </c>
      <c r="I83" s="128"/>
      <c r="J83" s="133" t="str">
        <f>'1. All Data'!V89</f>
        <v>Completed Significantly After Target Deadline</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customHeight="1">
      <c r="A84" s="102" t="str">
        <f>'1. All Data'!B90</f>
        <v>VFM29</v>
      </c>
      <c r="B84" s="134" t="str">
        <f>'1. All Data'!C90</f>
        <v>Minimise The Number Of Missed Bin Collections</v>
      </c>
      <c r="C84" s="135" t="str">
        <f>'1. All Data'!D90</f>
        <v xml:space="preserve">Number Of Missed Bin Collections: Achieve 99.97% successful bin collections across the Borough </v>
      </c>
      <c r="D84" s="131" t="str">
        <f>'1. All Data'!H90</f>
        <v>On Track to be Achieved</v>
      </c>
      <c r="E84" s="103"/>
      <c r="F84" s="132" t="str">
        <f>'1. All Data'!M90</f>
        <v>On Track to be Achieved</v>
      </c>
      <c r="G84" s="104"/>
      <c r="H84" s="133" t="str">
        <f>'1. All Data'!R90</f>
        <v>On Track to be Achieved</v>
      </c>
      <c r="I84" s="104"/>
      <c r="J84" s="133" t="str">
        <f>'1. All Data'!V90</f>
        <v>Fully Achieved</v>
      </c>
    </row>
    <row r="85" spans="1:46" ht="99.75" customHeight="1">
      <c r="A85" s="102" t="str">
        <f>'1. All Data'!B91</f>
        <v>VFM30</v>
      </c>
      <c r="B85" s="134" t="str">
        <f>'1. All Data'!C91</f>
        <v xml:space="preserve">Respond to Government Policy Announcements </v>
      </c>
      <c r="C85" s="135" t="str">
        <f>'1. All Data'!D91</f>
        <v>Complete responses to Government consultations in line with consultation deadlines</v>
      </c>
      <c r="D85" s="131" t="str">
        <f>'1. All Data'!H91</f>
        <v>Not Yet Due</v>
      </c>
      <c r="E85" s="103"/>
      <c r="F85" s="132" t="str">
        <f>'1. All Data'!M91</f>
        <v>Not Yet Due</v>
      </c>
      <c r="G85" s="104"/>
      <c r="H85" s="133" t="str">
        <f>'1. All Data'!R91</f>
        <v>Not Yet Due</v>
      </c>
      <c r="I85" s="104"/>
      <c r="J85" s="133" t="str">
        <f>'1. All Data'!V91</f>
        <v>Fully Achieved</v>
      </c>
    </row>
    <row r="86" spans="1:46" ht="99.75" customHeight="1">
      <c r="A86" s="102" t="str">
        <f>'1. All Data'!B92</f>
        <v>VFM31</v>
      </c>
      <c r="B86" s="134" t="str">
        <f>'1. All Data'!C92</f>
        <v>Maintain Robust Mechanisms for Contract Managing the Leisure Service Arrangements</v>
      </c>
      <c r="C86" s="135" t="str">
        <f>'1. All Data'!D92</f>
        <v>Report on the performance of the Leisure Operator on a quarterly basis</v>
      </c>
      <c r="D86" s="131" t="str">
        <f>'1. All Data'!H92</f>
        <v>On Track to be Achieved</v>
      </c>
      <c r="E86" s="103"/>
      <c r="F86" s="132" t="str">
        <f>'1. All Data'!M92</f>
        <v>On Track to be Achieved</v>
      </c>
      <c r="G86" s="112"/>
      <c r="H86" s="133" t="str">
        <f>'1. All Data'!R92</f>
        <v>On Track to be Achieved</v>
      </c>
      <c r="I86" s="104"/>
      <c r="J86" s="133" t="str">
        <f>'1. All Data'!V92</f>
        <v>Fully Achieved</v>
      </c>
    </row>
    <row r="87" spans="1:46" ht="99.75" customHeight="1">
      <c r="A87" s="102" t="str">
        <f>'1. All Data'!B93</f>
        <v>VFM32</v>
      </c>
      <c r="B87" s="134" t="str">
        <f>'1. All Data'!C93</f>
        <v>Review Strategic Sport and Leisure Approach in Line with Leisure Services Contract Arrangements</v>
      </c>
      <c r="C87" s="135" t="str">
        <f>'1. All Data'!D93</f>
        <v xml:space="preserve">Undertake a follow-up benchmarking exercise supporting the delivery of the leisure operating contract </v>
      </c>
      <c r="D87" s="131" t="str">
        <f>'1. All Data'!H93</f>
        <v>Not Yet Due</v>
      </c>
      <c r="E87" s="103"/>
      <c r="F87" s="132" t="str">
        <f>'1. All Data'!M93</f>
        <v>Not Yet Due</v>
      </c>
      <c r="G87" s="104"/>
      <c r="H87" s="133" t="str">
        <f>'1. All Data'!R93</f>
        <v>On Track to be Achieved</v>
      </c>
      <c r="I87" s="104"/>
      <c r="J87" s="133" t="str">
        <f>'1. All Data'!V93</f>
        <v>Fully Achieved</v>
      </c>
    </row>
    <row r="88" spans="1:46" ht="99.75" customHeight="1">
      <c r="A88" s="102" t="str">
        <f>'1. All Data'!B94</f>
        <v>VFM33</v>
      </c>
      <c r="B88" s="134" t="str">
        <f>'1. All Data'!C94</f>
        <v xml:space="preserve">Work with Leisure Operator to Continue to Provide High Quality Sports Facilities </v>
      </c>
      <c r="C88" s="135" t="str">
        <f>'1. All Data'!D94</f>
        <v>Replace the Artificial Turf Pitch at Shobnall Leisure Complex</v>
      </c>
      <c r="D88" s="131" t="str">
        <f>'1. All Data'!H94</f>
        <v>Deferred</v>
      </c>
      <c r="E88" s="103"/>
      <c r="F88" s="132" t="str">
        <f>'1. All Data'!M94</f>
        <v>Deferred</v>
      </c>
      <c r="G88" s="104"/>
      <c r="H88" s="133" t="str">
        <f>'1. All Data'!R94</f>
        <v>Deferred</v>
      </c>
      <c r="I88" s="104"/>
      <c r="J88" s="133" t="str">
        <f>'1. All Data'!V94</f>
        <v>Deferred</v>
      </c>
    </row>
    <row r="89" spans="1:46" ht="99.75" customHeight="1">
      <c r="A89" s="102" t="str">
        <f>'1. All Data'!B95</f>
        <v>VFM34a</v>
      </c>
      <c r="B89" s="134" t="str">
        <f>'1. All Data'!C95</f>
        <v>Improve Awareness of Council Services, Venues and Initiatives</v>
      </c>
      <c r="C89" s="135" t="str">
        <f>'1. All Data'!D95</f>
        <v xml:space="preserve">Develop and communicate annual marketing plans for each leisure, culture and tourism service </v>
      </c>
      <c r="D89" s="131" t="str">
        <f>'1. All Data'!H95</f>
        <v>Completed Behind Schedule</v>
      </c>
      <c r="E89" s="104"/>
      <c r="F89" s="132" t="str">
        <f>'1. All Data'!M95</f>
        <v>Completed Behind Schedule</v>
      </c>
      <c r="G89" s="104"/>
      <c r="H89" s="133" t="str">
        <f>'1. All Data'!R95</f>
        <v>Completed Behind Schedule</v>
      </c>
      <c r="I89" s="104"/>
      <c r="J89" s="133" t="str">
        <f>'1. All Data'!V95</f>
        <v>Completion Date Within Reasonable Tolerance</v>
      </c>
    </row>
    <row r="90" spans="1:46" ht="99.75" customHeight="1">
      <c r="A90" s="102" t="str">
        <f>'1. All Data'!B97</f>
        <v>VFM35</v>
      </c>
      <c r="B90" s="134" t="str">
        <f>'1. All Data'!C97</f>
        <v>Improve Awareness of Council Services, Venues and Initiatives</v>
      </c>
      <c r="C90" s="135" t="str">
        <f>'1. All Data'!D97</f>
        <v>Attend and deliver a minimum of 5 events/outreach days (including Burton Market Place, Indoor shopping centres and Parks/open spaces etc.) to promote Council services in conjunction with partners.</v>
      </c>
      <c r="D90" s="131" t="str">
        <f>'1. All Data'!H97</f>
        <v>In Danger of Falling Behind Target</v>
      </c>
      <c r="E90" s="103"/>
      <c r="F90" s="132" t="str">
        <f>'1. All Data'!M97</f>
        <v>Not Yet Due</v>
      </c>
      <c r="G90" s="104"/>
      <c r="H90" s="133" t="str">
        <f>'1. All Data'!R97</f>
        <v>On Track to be Achieved</v>
      </c>
      <c r="I90" s="104"/>
      <c r="J90" s="133" t="str">
        <f>'1. All Data'!V97</f>
        <v>Fully Achieved</v>
      </c>
    </row>
    <row r="91" spans="1:46" ht="99.75" customHeight="1">
      <c r="A91" s="102" t="str">
        <f>'1. All Data'!B98</f>
        <v>VFM36</v>
      </c>
      <c r="B91" s="134" t="str">
        <f>'1. All Data'!C98</f>
        <v>Procurement of Grounds Maintenance Contractor</v>
      </c>
      <c r="C91" s="135" t="str">
        <f>'1. All Data'!D98</f>
        <v>Commence the process for the Grounds Maintenance contract retender</v>
      </c>
      <c r="D91" s="131" t="str">
        <f>'1. All Data'!H98</f>
        <v>On Track to be Achieved</v>
      </c>
      <c r="E91" s="104"/>
      <c r="F91" s="132" t="str">
        <f>'1. All Data'!M98</f>
        <v>On Track to be Achieved</v>
      </c>
      <c r="G91" s="104"/>
      <c r="H91" s="133" t="str">
        <f>'1. All Data'!R98</f>
        <v>On Track to be Achieved</v>
      </c>
      <c r="I91" s="104"/>
      <c r="J91" s="133" t="str">
        <f>'1. All Data'!V98</f>
        <v>Fully Achieved</v>
      </c>
    </row>
    <row r="92" spans="1:46" ht="99.75" customHeight="1">
      <c r="A92" s="102" t="str">
        <f>'1. All Data'!B99</f>
        <v>VFM37</v>
      </c>
      <c r="B92" s="134" t="str">
        <f>'1. All Data'!C99</f>
        <v>Improving Energy Efficiency-Facility Developments</v>
      </c>
      <c r="C92" s="135" t="str">
        <f>'1. All Data'!D99</f>
        <v>Review energy usage in Council owned buildings (e.g. Town Hall, Cemetery etc.) and investigate alternative energy sources.</v>
      </c>
      <c r="D92" s="131" t="str">
        <f>'1. All Data'!H99</f>
        <v>Not Yet Due</v>
      </c>
      <c r="E92" s="103"/>
      <c r="F92" s="132" t="str">
        <f>'1. All Data'!M99</f>
        <v>Not Yet Due</v>
      </c>
      <c r="G92" s="104"/>
      <c r="H92" s="133" t="str">
        <f>'1. All Data'!R99</f>
        <v>On Track to be Achieved</v>
      </c>
      <c r="I92" s="104"/>
      <c r="J92" s="133" t="str">
        <f>'1. All Data'!V99</f>
        <v>Fully Achieved</v>
      </c>
    </row>
    <row r="93" spans="1:46" ht="99.75" customHeight="1">
      <c r="A93" s="102" t="str">
        <f>'1. All Data'!B100</f>
        <v>VFM38</v>
      </c>
      <c r="B93" s="134" t="str">
        <f>'1. All Data'!C100</f>
        <v xml:space="preserve">Brewhouse, Arts and Town Hall Developments </v>
      </c>
      <c r="C93" s="135" t="str">
        <f>'1. All Data'!D100</f>
        <v>Complete the implementation of a new service delivery model.</v>
      </c>
      <c r="D93" s="131" t="str">
        <f>'1. All Data'!H100</f>
        <v>Not Yet Due</v>
      </c>
      <c r="E93" s="103"/>
      <c r="F93" s="132" t="str">
        <f>'1. All Data'!M100</f>
        <v>Not Yet Due</v>
      </c>
      <c r="G93" s="104"/>
      <c r="H93" s="133" t="str">
        <f>'1. All Data'!R100</f>
        <v>Deferred</v>
      </c>
      <c r="I93" s="104"/>
      <c r="J93" s="133" t="str">
        <f>'1. All Data'!V100</f>
        <v>Deferred</v>
      </c>
    </row>
    <row r="94" spans="1:46" ht="99.75" customHeight="1">
      <c r="A94" s="102" t="str">
        <f>'1. All Data'!B101</f>
        <v>VFM39</v>
      </c>
      <c r="B94" s="134" t="str">
        <f>'1. All Data'!C101</f>
        <v>Brewhouse, Arts and Town Hall Developments</v>
      </c>
      <c r="C94" s="135" t="str">
        <f>'1. All Data'!D101</f>
        <v>New Brewhouse, Arts and Town Hall service strategy document completed</v>
      </c>
      <c r="D94" s="131" t="str">
        <f>'1. All Data'!H101</f>
        <v>In Danger of Falling Behind Target</v>
      </c>
      <c r="E94" s="103"/>
      <c r="F94" s="132" t="str">
        <f>'1. All Data'!M101</f>
        <v>On Track to be Achieved</v>
      </c>
      <c r="G94" s="104"/>
      <c r="H94" s="133" t="str">
        <f>'1. All Data'!R101</f>
        <v>Deferred</v>
      </c>
      <c r="I94" s="104"/>
      <c r="J94" s="133" t="str">
        <f>'1. All Data'!V101</f>
        <v>Deferred</v>
      </c>
    </row>
    <row r="95" spans="1:46" ht="99.75" customHeight="1">
      <c r="A95" s="102" t="str">
        <f>'1. All Data'!B102</f>
        <v>VFM40</v>
      </c>
      <c r="B95" s="134" t="str">
        <f>'1. All Data'!C102</f>
        <v>Continue to develop SMARTER working practices for Planning</v>
      </c>
      <c r="C95" s="135" t="str">
        <f>'1. All Data'!D102</f>
        <v>Two reports identifying reviews, changes and improvements</v>
      </c>
      <c r="D95" s="131" t="str">
        <f>'1. All Data'!H102</f>
        <v>Not Yet Due</v>
      </c>
      <c r="E95" s="103"/>
      <c r="F95" s="132" t="str">
        <f>'1. All Data'!M102</f>
        <v>On Track to be Achieved</v>
      </c>
      <c r="G95" s="104"/>
      <c r="H95" s="133" t="str">
        <f>'1. All Data'!R102</f>
        <v>On Track to be Achieved</v>
      </c>
      <c r="I95" s="104"/>
      <c r="J95" s="133" t="str">
        <f>'1. All Data'!V102</f>
        <v>Fully Achieved</v>
      </c>
    </row>
    <row r="96" spans="1:46" ht="99.75" customHeight="1">
      <c r="A96" s="102" t="str">
        <f>'1. All Data'!B103</f>
        <v>VFM41</v>
      </c>
      <c r="B96" s="134" t="str">
        <f>'1. All Data'!C103</f>
        <v>Continue to develop SMARTER working practices for Planning</v>
      </c>
      <c r="C96" s="135" t="str">
        <f>'1. All Data'!D103</f>
        <v>Electronic Document Management System Review and recommendation</v>
      </c>
      <c r="D96" s="131" t="str">
        <f>'1. All Data'!H103</f>
        <v>Not Yet Due</v>
      </c>
      <c r="E96" s="104"/>
      <c r="F96" s="132" t="str">
        <f>'1. All Data'!M103</f>
        <v>On Track to be Achieved</v>
      </c>
      <c r="G96" s="104"/>
      <c r="H96" s="133" t="str">
        <f>'1. All Data'!R103</f>
        <v>On Track to be Achieved</v>
      </c>
      <c r="I96" s="104"/>
      <c r="J96" s="133" t="str">
        <f>'1. All Data'!V103</f>
        <v>Fully Achieved</v>
      </c>
    </row>
    <row r="97" spans="1:10" ht="99.75" customHeight="1">
      <c r="A97" s="102" t="str">
        <f>'1. All Data'!B104</f>
        <v>VFM42</v>
      </c>
      <c r="B97" s="134" t="str">
        <f>'1. All Data'!C104</f>
        <v>Continuing to inform and improve Planning awareness with Members</v>
      </c>
      <c r="C97" s="135" t="str">
        <f>'1. All Data'!D104</f>
        <v xml:space="preserve">At least 2 briefings delivered to elected members during the year </v>
      </c>
      <c r="D97" s="131" t="str">
        <f>'1. All Data'!H104</f>
        <v>On Track to be Achieved</v>
      </c>
      <c r="E97" s="104"/>
      <c r="F97" s="132" t="str">
        <f>'1. All Data'!M104</f>
        <v>On Track to be Achieved</v>
      </c>
      <c r="G97" s="104"/>
      <c r="H97" s="133" t="str">
        <f>'1. All Data'!R104</f>
        <v>On Track to be Achieved</v>
      </c>
      <c r="I97" s="104"/>
      <c r="J97" s="133" t="str">
        <f>'1. All Data'!V104</f>
        <v>Fully Achieved</v>
      </c>
    </row>
    <row r="98" spans="1:10" ht="99.75" customHeight="1">
      <c r="A98" s="102" t="str">
        <f>'1. All Data'!B105</f>
        <v>VFM43</v>
      </c>
      <c r="B98" s="134" t="str">
        <f>'1. All Data'!C105</f>
        <v>Continuing to inform and improve Planning awareness with Members</v>
      </c>
      <c r="C98" s="135" t="str">
        <f>'1. All Data'!D105</f>
        <v>Targeted Planning Committee Briefings - 10 throughout the year</v>
      </c>
      <c r="D98" s="131" t="str">
        <f>'1. All Data'!H105</f>
        <v>On Track to be Achieved</v>
      </c>
      <c r="E98" s="103"/>
      <c r="F98" s="132" t="str">
        <f>'1. All Data'!M105</f>
        <v>On Track to be Achieved</v>
      </c>
      <c r="G98" s="112"/>
      <c r="H98" s="133" t="str">
        <f>'1. All Data'!R105</f>
        <v>On Track to be Achieved</v>
      </c>
      <c r="I98" s="104"/>
      <c r="J98" s="133" t="str">
        <f>'1. All Data'!V105</f>
        <v>Fully Achieved</v>
      </c>
    </row>
    <row r="99" spans="1:10" ht="99.75" customHeight="1">
      <c r="A99" s="102" t="str">
        <f>'1. All Data'!B106</f>
        <v>VFM44</v>
      </c>
      <c r="B99" s="134" t="str">
        <f>'1. All Data'!C106</f>
        <v xml:space="preserve">Monitor Local Plan Performance </v>
      </c>
      <c r="C99" s="135" t="str">
        <f>'1. All Data'!D106</f>
        <v>Authority Monitoring Report  Prepared</v>
      </c>
      <c r="D99" s="131" t="str">
        <f>'1. All Data'!H106</f>
        <v>On Track to be Achieved</v>
      </c>
      <c r="E99" s="104"/>
      <c r="F99" s="132" t="str">
        <f>'1. All Data'!M106</f>
        <v>On Track to be Achieved</v>
      </c>
      <c r="G99" s="111"/>
      <c r="H99" s="133" t="str">
        <f>'1. All Data'!R106</f>
        <v>Fully Achieved</v>
      </c>
      <c r="I99" s="104"/>
      <c r="J99" s="133" t="str">
        <f>'1. All Data'!V106</f>
        <v>Fully Achieved</v>
      </c>
    </row>
    <row r="100" spans="1:10" ht="99.75" customHeight="1">
      <c r="A100" s="102" t="str">
        <f>'1. All Data'!B107</f>
        <v>VFM45</v>
      </c>
      <c r="B100" s="134" t="str">
        <f>'1. All Data'!C107</f>
        <v xml:space="preserve">Monitor Local Plan Performance </v>
      </c>
      <c r="C100" s="135" t="str">
        <f>'1. All Data'!D107</f>
        <v>Consider review of the Local Plan</v>
      </c>
      <c r="D100" s="131" t="str">
        <f>'1. All Data'!H107</f>
        <v>On Track to be Achieved</v>
      </c>
      <c r="E100" s="104"/>
      <c r="F100" s="132" t="str">
        <f>'1. All Data'!M107</f>
        <v>On Track to be Achieved</v>
      </c>
      <c r="G100" s="104"/>
      <c r="H100" s="133" t="str">
        <f>'1. All Data'!R107</f>
        <v>Fully Achieved</v>
      </c>
      <c r="I100" s="104"/>
      <c r="J100" s="133" t="str">
        <f>'1. All Data'!V107</f>
        <v>Fully Achieved</v>
      </c>
    </row>
    <row r="101" spans="1:10" ht="99.75" customHeight="1">
      <c r="A101" s="102" t="str">
        <f>'1. All Data'!B108</f>
        <v>VFM46</v>
      </c>
      <c r="B101" s="134" t="str">
        <f>'1. All Data'!C108</f>
        <v>New and Refreshed Planning Policies</v>
      </c>
      <c r="C101" s="135" t="str">
        <f>'1. All Data'!D108</f>
        <v xml:space="preserve">Prepare and publish Infrastructure Funding Statement </v>
      </c>
      <c r="D101" s="131" t="str">
        <f>'1. All Data'!H108</f>
        <v>On Track to be Achieved</v>
      </c>
      <c r="E101" s="104"/>
      <c r="F101" s="132" t="str">
        <f>'1. All Data'!M108</f>
        <v>On Track to be Achieved</v>
      </c>
      <c r="G101" s="104"/>
      <c r="H101" s="133" t="str">
        <f>'1. All Data'!R108</f>
        <v>Fully Achieved</v>
      </c>
      <c r="I101" s="104"/>
      <c r="J101" s="133" t="str">
        <f>'1. All Data'!V108</f>
        <v>Fully Achieved</v>
      </c>
    </row>
    <row r="102" spans="1:10" ht="99.75" customHeight="1">
      <c r="A102" s="102" t="str">
        <f>'1. All Data'!B109</f>
        <v>VFM47</v>
      </c>
      <c r="B102" s="134" t="str">
        <f>'1. All Data'!C109</f>
        <v xml:space="preserve">Review of the Council’s CCTV Provision </v>
      </c>
      <c r="C102" s="135" t="str">
        <f>'1. All Data'!D109</f>
        <v>Preparation of tender documentation for the CCTV Contract Renewal Completed</v>
      </c>
      <c r="D102" s="131" t="str">
        <f>'1. All Data'!H109</f>
        <v>On Track to be Achieved</v>
      </c>
      <c r="E102" s="103"/>
      <c r="F102" s="132" t="str">
        <f>'1. All Data'!M109</f>
        <v>On Track to be Achieved</v>
      </c>
      <c r="G102" s="104"/>
      <c r="H102" s="133" t="str">
        <f>'1. All Data'!R109</f>
        <v>In Danger of Falling Behind Target</v>
      </c>
      <c r="I102" s="104"/>
      <c r="J102" s="133" t="str">
        <f>'1. All Data'!V109</f>
        <v>Off Target</v>
      </c>
    </row>
    <row r="103" spans="1:10" ht="99.75" customHeight="1">
      <c r="A103" s="102" t="str">
        <f>'1. All Data'!B110</f>
        <v>VFM48</v>
      </c>
      <c r="B103" s="134" t="str">
        <f>'1. All Data'!C110</f>
        <v xml:space="preserve">Review of the Council’s CCTV Provision </v>
      </c>
      <c r="C103" s="135" t="str">
        <f>'1. All Data'!D110</f>
        <v>Develop a Code of Practice for the use of Mobile CCTV Camera</v>
      </c>
      <c r="D103" s="131" t="str">
        <f>'1. All Data'!H110</f>
        <v>On Track to be Achieved</v>
      </c>
      <c r="E103" s="103"/>
      <c r="F103" s="132" t="str">
        <f>'1. All Data'!M110</f>
        <v>On Track to be Achieved</v>
      </c>
      <c r="G103" s="104"/>
      <c r="H103" s="133" t="str">
        <f>'1. All Data'!R110</f>
        <v>Fully Achieved</v>
      </c>
      <c r="I103" s="104"/>
      <c r="J103" s="133" t="str">
        <f>'1. All Data'!V110</f>
        <v>Fully Achieved</v>
      </c>
    </row>
    <row r="104" spans="1:10" ht="99.75" customHeight="1">
      <c r="A104" s="102" t="str">
        <f>'1. All Data'!B111</f>
        <v>VFM49</v>
      </c>
      <c r="B104" s="134" t="str">
        <f>'1. All Data'!C111</f>
        <v>Improvements for the Hackney Carriage and Private Hire Service</v>
      </c>
      <c r="C104" s="135" t="str">
        <f>'1. All Data'!D111</f>
        <v>Improvement Plan Completed</v>
      </c>
      <c r="D104" s="131" t="str">
        <f>'1. All Data'!H111</f>
        <v>On Track to be Achieved</v>
      </c>
      <c r="E104" s="104"/>
      <c r="F104" s="132" t="str">
        <f>'1. All Data'!M111</f>
        <v>On Track to be Achieved</v>
      </c>
      <c r="G104" s="104"/>
      <c r="H104" s="133" t="str">
        <f>'1. All Data'!R111</f>
        <v>On Track to be Achieved</v>
      </c>
      <c r="I104" s="104"/>
      <c r="J104" s="133" t="str">
        <f>'1. All Data'!V111</f>
        <v>Fully Achieved</v>
      </c>
    </row>
    <row r="105" spans="1:10" ht="99.75"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13" sqref="A13"/>
    </sheetView>
  </sheetViews>
  <sheetFormatPr defaultRowHeight="14.4"/>
  <cols>
    <col min="1" max="1" width="17" bestFit="1" customWidth="1"/>
  </cols>
  <sheetData>
    <row r="1" spans="1:3">
      <c r="A1" s="166"/>
      <c r="B1" s="167"/>
      <c r="C1" s="168"/>
    </row>
    <row r="2" spans="1:3">
      <c r="A2" s="169"/>
      <c r="B2" s="170"/>
      <c r="C2" s="171"/>
    </row>
    <row r="3" spans="1:3">
      <c r="A3" s="169"/>
      <c r="B3" s="170"/>
      <c r="C3" s="171"/>
    </row>
    <row r="4" spans="1:3">
      <c r="A4" s="169"/>
      <c r="B4" s="170"/>
      <c r="C4" s="171"/>
    </row>
    <row r="5" spans="1:3">
      <c r="A5" s="169"/>
      <c r="B5" s="170"/>
      <c r="C5" s="171"/>
    </row>
    <row r="6" spans="1:3">
      <c r="A6" s="169"/>
      <c r="B6" s="170"/>
      <c r="C6" s="171"/>
    </row>
    <row r="7" spans="1:3">
      <c r="A7" s="169"/>
      <c r="B7" s="170"/>
      <c r="C7" s="171"/>
    </row>
    <row r="8" spans="1:3">
      <c r="A8" s="169"/>
      <c r="B8" s="170"/>
      <c r="C8" s="171"/>
    </row>
    <row r="9" spans="1:3">
      <c r="A9" s="169"/>
      <c r="B9" s="170"/>
      <c r="C9" s="171"/>
    </row>
    <row r="10" spans="1:3">
      <c r="A10" s="169"/>
      <c r="B10" s="170"/>
      <c r="C10" s="171"/>
    </row>
    <row r="11" spans="1:3">
      <c r="A11" s="169"/>
      <c r="B11" s="170"/>
      <c r="C11" s="171"/>
    </row>
    <row r="12" spans="1:3">
      <c r="A12" s="169"/>
      <c r="B12" s="170"/>
      <c r="C12" s="171"/>
    </row>
    <row r="13" spans="1:3">
      <c r="A13" s="169"/>
      <c r="B13" s="170"/>
      <c r="C13" s="171"/>
    </row>
    <row r="14" spans="1:3">
      <c r="A14" s="169"/>
      <c r="B14" s="170"/>
      <c r="C14" s="171"/>
    </row>
    <row r="15" spans="1:3">
      <c r="A15" s="169"/>
      <c r="B15" s="170"/>
      <c r="C15" s="171"/>
    </row>
    <row r="16" spans="1:3">
      <c r="A16" s="169"/>
      <c r="B16" s="170"/>
      <c r="C16" s="171"/>
    </row>
    <row r="17" spans="1:3">
      <c r="A17" s="169"/>
      <c r="B17" s="170"/>
      <c r="C17" s="171"/>
    </row>
    <row r="18" spans="1:3">
      <c r="A18" s="172"/>
      <c r="B18" s="173"/>
      <c r="C18" s="1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2"/>
  <sheetViews>
    <sheetView zoomScale="70" zoomScaleNormal="70" zoomScaleSheetLayoutView="50" workbookViewId="0">
      <pane xSplit="5" ySplit="2" topLeftCell="F3" activePane="bottomRight" state="frozen"/>
      <selection pane="topRight" activeCell="F1" sqref="F1"/>
      <selection pane="bottomLeft" activeCell="A3" sqref="A3"/>
      <selection pane="bottomRight" activeCell="T3" sqref="T3"/>
    </sheetView>
  </sheetViews>
  <sheetFormatPr defaultColWidth="9.109375" defaultRowHeight="15.6"/>
  <cols>
    <col min="1" max="1" width="20.44140625" style="146" customWidth="1"/>
    <col min="2" max="2" width="14.88671875" style="147" customWidth="1"/>
    <col min="3" max="3" width="49.5546875" style="148" customWidth="1"/>
    <col min="4" max="4" width="50" style="148" customWidth="1"/>
    <col min="5" max="5" width="19.33203125" style="147" customWidth="1"/>
    <col min="6" max="6" width="51.109375" style="354" hidden="1" customWidth="1"/>
    <col min="7" max="8" width="18.5546875" style="354" hidden="1" customWidth="1"/>
    <col min="9" max="9" width="22.6640625" style="354" hidden="1" customWidth="1"/>
    <col min="10" max="10" width="50.5546875" style="354" hidden="1" customWidth="1"/>
    <col min="11" max="12" width="18.44140625" style="354" hidden="1" customWidth="1"/>
    <col min="13" max="13" width="18.5546875" style="354" hidden="1" customWidth="1"/>
    <col min="14" max="14" width="50.44140625" style="354" hidden="1" customWidth="1"/>
    <col min="15" max="15" width="51" style="354" hidden="1" customWidth="1"/>
    <col min="16" max="16" width="18.44140625" style="354" hidden="1" customWidth="1"/>
    <col min="17" max="18" width="18.5546875" style="354" hidden="1" customWidth="1"/>
    <col min="19" max="19" width="62" style="354" hidden="1" customWidth="1"/>
    <col min="20" max="20" width="61.109375" style="192" customWidth="1"/>
    <col min="21" max="22" width="18.5546875" style="192" customWidth="1"/>
    <col min="23" max="23" width="40.5546875" style="192" customWidth="1"/>
    <col min="24" max="24" width="8.109375" style="147" customWidth="1"/>
    <col min="25" max="25" width="19.6640625" style="148" customWidth="1"/>
    <col min="26" max="27" width="20.44140625" style="146" customWidth="1"/>
    <col min="28" max="29" width="19.6640625" style="148" customWidth="1"/>
    <col min="30" max="30" width="19.6640625" style="148" hidden="1" customWidth="1"/>
    <col min="31" max="31" width="9.109375" style="151" hidden="1" customWidth="1"/>
    <col min="32" max="32" width="15.33203125" style="148" hidden="1" customWidth="1"/>
    <col min="33" max="33" width="18.109375" style="152" customWidth="1"/>
    <col min="34" max="16384" width="9.109375" style="152"/>
  </cols>
  <sheetData>
    <row r="1" spans="1:32" ht="27.75" customHeight="1">
      <c r="E1" s="149"/>
      <c r="F1" s="386" t="s">
        <v>527</v>
      </c>
      <c r="G1" s="386"/>
      <c r="H1" s="386"/>
      <c r="I1" s="386"/>
      <c r="J1" s="387" t="s">
        <v>530</v>
      </c>
      <c r="K1" s="387"/>
      <c r="L1" s="387"/>
      <c r="M1" s="387"/>
      <c r="N1" s="387"/>
      <c r="O1" s="387" t="s">
        <v>532</v>
      </c>
      <c r="P1" s="387"/>
      <c r="Q1" s="387"/>
      <c r="R1" s="387"/>
      <c r="S1" s="387"/>
      <c r="T1" s="388" t="s">
        <v>535</v>
      </c>
      <c r="U1" s="388"/>
      <c r="V1" s="388"/>
      <c r="W1" s="388"/>
      <c r="X1" s="150"/>
      <c r="AF1" s="308"/>
    </row>
    <row r="2" spans="1:32" s="159" customFormat="1" ht="103.5" customHeight="1" thickBot="1">
      <c r="A2" s="153" t="s">
        <v>124</v>
      </c>
      <c r="B2" s="154" t="s">
        <v>158</v>
      </c>
      <c r="C2" s="155" t="s">
        <v>0</v>
      </c>
      <c r="D2" s="155" t="s">
        <v>781</v>
      </c>
      <c r="E2" s="156" t="s">
        <v>154</v>
      </c>
      <c r="F2" s="309" t="s">
        <v>526</v>
      </c>
      <c r="G2" s="309" t="s">
        <v>155</v>
      </c>
      <c r="H2" s="309" t="s">
        <v>156</v>
      </c>
      <c r="I2" s="309" t="s">
        <v>157</v>
      </c>
      <c r="J2" s="310" t="s">
        <v>528</v>
      </c>
      <c r="K2" s="310" t="s">
        <v>529</v>
      </c>
      <c r="L2" s="310" t="s">
        <v>174</v>
      </c>
      <c r="M2" s="310" t="s">
        <v>175</v>
      </c>
      <c r="N2" s="310" t="s">
        <v>176</v>
      </c>
      <c r="O2" s="310" t="s">
        <v>531</v>
      </c>
      <c r="P2" s="310" t="s">
        <v>533</v>
      </c>
      <c r="Q2" s="310" t="s">
        <v>177</v>
      </c>
      <c r="R2" s="310" t="s">
        <v>178</v>
      </c>
      <c r="S2" s="310" t="s">
        <v>179</v>
      </c>
      <c r="T2" s="176" t="s">
        <v>534</v>
      </c>
      <c r="U2" s="176" t="s">
        <v>252</v>
      </c>
      <c r="V2" s="176" t="s">
        <v>253</v>
      </c>
      <c r="W2" s="176" t="s">
        <v>180</v>
      </c>
      <c r="X2" s="157" t="s">
        <v>118</v>
      </c>
      <c r="Y2" s="153" t="s">
        <v>112</v>
      </c>
      <c r="Z2" s="153" t="s">
        <v>123</v>
      </c>
      <c r="AA2" s="153" t="s">
        <v>214</v>
      </c>
      <c r="AB2" s="153" t="s">
        <v>109</v>
      </c>
      <c r="AC2" s="153" t="s">
        <v>937</v>
      </c>
      <c r="AD2" s="153"/>
      <c r="AE2" s="158" t="s">
        <v>150</v>
      </c>
      <c r="AF2" s="304" t="s">
        <v>728</v>
      </c>
    </row>
    <row r="3" spans="1:32" ht="146.25" customHeight="1" thickBot="1">
      <c r="A3" s="311" t="s">
        <v>130</v>
      </c>
      <c r="B3" s="198" t="s">
        <v>58</v>
      </c>
      <c r="C3" s="199" t="s">
        <v>257</v>
      </c>
      <c r="D3" s="200" t="s">
        <v>258</v>
      </c>
      <c r="E3" s="201"/>
      <c r="F3" s="312" t="s">
        <v>713</v>
      </c>
      <c r="G3" s="312"/>
      <c r="H3" s="312" t="s">
        <v>169</v>
      </c>
      <c r="I3" s="313"/>
      <c r="J3" s="318" t="s">
        <v>787</v>
      </c>
      <c r="K3" s="314"/>
      <c r="L3" s="315"/>
      <c r="M3" s="316" t="s">
        <v>169</v>
      </c>
      <c r="N3" s="317"/>
      <c r="O3" s="314" t="s">
        <v>968</v>
      </c>
      <c r="P3" s="314"/>
      <c r="Q3" s="315"/>
      <c r="R3" s="316" t="s">
        <v>169</v>
      </c>
      <c r="S3" s="317"/>
      <c r="T3" s="177" t="s">
        <v>979</v>
      </c>
      <c r="U3" s="178"/>
      <c r="V3" s="179" t="s">
        <v>160</v>
      </c>
      <c r="W3" s="180"/>
      <c r="X3" s="160"/>
      <c r="Y3" s="197" t="s">
        <v>114</v>
      </c>
      <c r="Z3" s="197" t="s">
        <v>149</v>
      </c>
      <c r="AA3" s="197" t="s">
        <v>116</v>
      </c>
      <c r="AB3" s="197" t="s">
        <v>184</v>
      </c>
      <c r="AC3" s="197" t="s">
        <v>184</v>
      </c>
      <c r="AD3" s="198" t="s">
        <v>424</v>
      </c>
      <c r="AE3" s="161" t="s">
        <v>559</v>
      </c>
      <c r="AF3" s="302" t="s">
        <v>556</v>
      </c>
    </row>
    <row r="4" spans="1:32" ht="99.9" customHeight="1" thickBot="1">
      <c r="A4" s="311" t="s">
        <v>422</v>
      </c>
      <c r="B4" s="198" t="s">
        <v>59</v>
      </c>
      <c r="C4" s="199" t="s">
        <v>257</v>
      </c>
      <c r="D4" s="200" t="s">
        <v>259</v>
      </c>
      <c r="E4" s="201" t="s">
        <v>260</v>
      </c>
      <c r="F4" s="312" t="s">
        <v>714</v>
      </c>
      <c r="G4" s="312"/>
      <c r="H4" s="312" t="s">
        <v>169</v>
      </c>
      <c r="I4" s="313"/>
      <c r="J4" s="318" t="s">
        <v>798</v>
      </c>
      <c r="K4" s="318"/>
      <c r="L4" s="319"/>
      <c r="M4" s="316" t="s">
        <v>169</v>
      </c>
      <c r="N4" s="317" t="s">
        <v>787</v>
      </c>
      <c r="O4" s="318" t="s">
        <v>936</v>
      </c>
      <c r="P4" s="318"/>
      <c r="Q4" s="319"/>
      <c r="R4" s="316" t="s">
        <v>169</v>
      </c>
      <c r="S4" s="320"/>
      <c r="T4" s="181" t="s">
        <v>980</v>
      </c>
      <c r="U4" s="182"/>
      <c r="V4" s="179" t="s">
        <v>160</v>
      </c>
      <c r="W4" s="183"/>
      <c r="X4" s="162"/>
      <c r="Y4" s="197" t="s">
        <v>114</v>
      </c>
      <c r="Z4" s="197" t="s">
        <v>149</v>
      </c>
      <c r="AA4" s="197" t="s">
        <v>116</v>
      </c>
      <c r="AB4" s="197" t="s">
        <v>184</v>
      </c>
      <c r="AC4" s="197" t="s">
        <v>184</v>
      </c>
      <c r="AD4" s="198" t="s">
        <v>425</v>
      </c>
      <c r="AE4" s="161" t="s">
        <v>560</v>
      </c>
      <c r="AF4" s="302" t="s">
        <v>556</v>
      </c>
    </row>
    <row r="5" spans="1:32" ht="99.9" customHeight="1" thickBot="1">
      <c r="A5" s="311" t="s">
        <v>128</v>
      </c>
      <c r="B5" s="198" t="s">
        <v>62</v>
      </c>
      <c r="C5" s="199" t="s">
        <v>22</v>
      </c>
      <c r="D5" s="200" t="s">
        <v>743</v>
      </c>
      <c r="E5" s="201"/>
      <c r="F5" s="312" t="s">
        <v>710</v>
      </c>
      <c r="G5" s="312" t="s">
        <v>711</v>
      </c>
      <c r="H5" s="312" t="s">
        <v>169</v>
      </c>
      <c r="I5" s="313" t="s">
        <v>769</v>
      </c>
      <c r="J5" s="356" t="s">
        <v>820</v>
      </c>
      <c r="K5" s="357" t="s">
        <v>821</v>
      </c>
      <c r="L5" s="356" t="s">
        <v>822</v>
      </c>
      <c r="M5" s="316" t="s">
        <v>169</v>
      </c>
      <c r="N5" s="317"/>
      <c r="O5" s="314" t="s">
        <v>960</v>
      </c>
      <c r="P5" s="314" t="s">
        <v>961</v>
      </c>
      <c r="Q5" s="315" t="s">
        <v>962</v>
      </c>
      <c r="R5" s="316" t="s">
        <v>169</v>
      </c>
      <c r="S5" s="317"/>
      <c r="T5" s="177" t="s">
        <v>1058</v>
      </c>
      <c r="U5" s="178" t="s">
        <v>1057</v>
      </c>
      <c r="V5" s="179" t="s">
        <v>160</v>
      </c>
      <c r="W5" s="180" t="s">
        <v>1062</v>
      </c>
      <c r="X5" s="162"/>
      <c r="Y5" s="197" t="s">
        <v>114</v>
      </c>
      <c r="Z5" s="197" t="s">
        <v>416</v>
      </c>
      <c r="AA5" s="197" t="s">
        <v>116</v>
      </c>
      <c r="AB5" s="197" t="s">
        <v>184</v>
      </c>
      <c r="AC5" s="197" t="s">
        <v>184</v>
      </c>
      <c r="AD5" s="198" t="s">
        <v>426</v>
      </c>
      <c r="AE5" s="161" t="s">
        <v>561</v>
      </c>
      <c r="AF5" s="302" t="s">
        <v>556</v>
      </c>
    </row>
    <row r="6" spans="1:32" ht="90" customHeight="1" thickBot="1">
      <c r="A6" s="311" t="s">
        <v>128</v>
      </c>
      <c r="B6" s="198" t="s">
        <v>64</v>
      </c>
      <c r="C6" s="199" t="s">
        <v>24</v>
      </c>
      <c r="D6" s="200" t="s">
        <v>744</v>
      </c>
      <c r="E6" s="201"/>
      <c r="F6" s="312" t="s">
        <v>684</v>
      </c>
      <c r="G6" s="312" t="s">
        <v>685</v>
      </c>
      <c r="H6" s="312" t="s">
        <v>169</v>
      </c>
      <c r="I6" s="313" t="s">
        <v>770</v>
      </c>
      <c r="J6" s="318" t="s">
        <v>685</v>
      </c>
      <c r="K6" s="318" t="s">
        <v>685</v>
      </c>
      <c r="L6" s="319" t="s">
        <v>685</v>
      </c>
      <c r="M6" s="316" t="s">
        <v>169</v>
      </c>
      <c r="N6" s="320"/>
      <c r="O6" s="318" t="s">
        <v>898</v>
      </c>
      <c r="P6" s="318" t="s">
        <v>684</v>
      </c>
      <c r="Q6" s="319" t="s">
        <v>684</v>
      </c>
      <c r="R6" s="316" t="s">
        <v>169</v>
      </c>
      <c r="S6" s="320"/>
      <c r="T6" s="181" t="s">
        <v>981</v>
      </c>
      <c r="U6" s="182" t="s">
        <v>685</v>
      </c>
      <c r="V6" s="179" t="s">
        <v>160</v>
      </c>
      <c r="W6" s="183"/>
      <c r="X6" s="162"/>
      <c r="Y6" s="197" t="s">
        <v>114</v>
      </c>
      <c r="Z6" s="197" t="s">
        <v>416</v>
      </c>
      <c r="AA6" s="197" t="s">
        <v>116</v>
      </c>
      <c r="AB6" s="197" t="s">
        <v>184</v>
      </c>
      <c r="AC6" s="197" t="s">
        <v>184</v>
      </c>
      <c r="AD6" s="198" t="s">
        <v>427</v>
      </c>
      <c r="AE6" s="161" t="s">
        <v>562</v>
      </c>
      <c r="AF6" s="302" t="s">
        <v>556</v>
      </c>
    </row>
    <row r="7" spans="1:32" ht="90" customHeight="1" thickBot="1">
      <c r="A7" s="311" t="s">
        <v>129</v>
      </c>
      <c r="B7" s="198" t="s">
        <v>66</v>
      </c>
      <c r="C7" s="199" t="s">
        <v>26</v>
      </c>
      <c r="D7" s="200" t="s">
        <v>261</v>
      </c>
      <c r="E7" s="201" t="s">
        <v>262</v>
      </c>
      <c r="F7" s="321"/>
      <c r="G7" s="312"/>
      <c r="H7" s="312" t="s">
        <v>173</v>
      </c>
      <c r="I7" s="322"/>
      <c r="J7" s="318" t="s">
        <v>840</v>
      </c>
      <c r="K7" s="318"/>
      <c r="L7" s="319"/>
      <c r="M7" s="316" t="s">
        <v>160</v>
      </c>
      <c r="N7" s="320"/>
      <c r="O7" s="318"/>
      <c r="P7" s="318"/>
      <c r="Q7" s="319"/>
      <c r="R7" s="316" t="s">
        <v>160</v>
      </c>
      <c r="S7" s="320"/>
      <c r="T7" s="318" t="s">
        <v>840</v>
      </c>
      <c r="U7" s="182"/>
      <c r="V7" s="179" t="s">
        <v>160</v>
      </c>
      <c r="W7" s="183"/>
      <c r="X7" s="162"/>
      <c r="Y7" s="197" t="s">
        <v>114</v>
      </c>
      <c r="Z7" s="197" t="s">
        <v>132</v>
      </c>
      <c r="AA7" s="197" t="s">
        <v>116</v>
      </c>
      <c r="AB7" s="197" t="s">
        <v>184</v>
      </c>
      <c r="AC7" s="197" t="s">
        <v>184</v>
      </c>
      <c r="AD7" s="198" t="s">
        <v>428</v>
      </c>
      <c r="AE7" s="161" t="s">
        <v>563</v>
      </c>
      <c r="AF7" s="302" t="s">
        <v>556</v>
      </c>
    </row>
    <row r="8" spans="1:32" ht="90" customHeight="1" thickBot="1">
      <c r="A8" s="311" t="s">
        <v>129</v>
      </c>
      <c r="B8" s="198" t="s">
        <v>67</v>
      </c>
      <c r="C8" s="199" t="s">
        <v>26</v>
      </c>
      <c r="D8" s="200" t="s">
        <v>263</v>
      </c>
      <c r="E8" s="201" t="s">
        <v>260</v>
      </c>
      <c r="F8" s="312"/>
      <c r="G8" s="312"/>
      <c r="H8" s="312" t="s">
        <v>173</v>
      </c>
      <c r="I8" s="313"/>
      <c r="J8" s="318"/>
      <c r="K8" s="318"/>
      <c r="L8" s="319"/>
      <c r="M8" s="316" t="s">
        <v>796</v>
      </c>
      <c r="N8" s="320"/>
      <c r="O8" s="318"/>
      <c r="P8" s="318"/>
      <c r="Q8" s="319"/>
      <c r="R8" s="316" t="s">
        <v>169</v>
      </c>
      <c r="S8" s="320"/>
      <c r="T8" s="181" t="s">
        <v>1042</v>
      </c>
      <c r="U8" s="182"/>
      <c r="V8" s="179" t="s">
        <v>163</v>
      </c>
      <c r="W8" s="183"/>
      <c r="X8" s="162"/>
      <c r="Y8" s="197" t="s">
        <v>114</v>
      </c>
      <c r="Z8" s="197" t="s">
        <v>132</v>
      </c>
      <c r="AA8" s="197" t="s">
        <v>116</v>
      </c>
      <c r="AB8" s="197" t="s">
        <v>184</v>
      </c>
      <c r="AC8" s="197" t="s">
        <v>184</v>
      </c>
      <c r="AD8" s="198" t="s">
        <v>429</v>
      </c>
      <c r="AE8" s="161" t="s">
        <v>564</v>
      </c>
      <c r="AF8" s="302" t="s">
        <v>556</v>
      </c>
    </row>
    <row r="9" spans="1:32" ht="90" customHeight="1" thickBot="1">
      <c r="A9" s="311" t="s">
        <v>133</v>
      </c>
      <c r="B9" s="198" t="s">
        <v>68</v>
      </c>
      <c r="C9" s="199" t="s">
        <v>264</v>
      </c>
      <c r="D9" s="200" t="s">
        <v>265</v>
      </c>
      <c r="E9" s="201" t="s">
        <v>266</v>
      </c>
      <c r="F9" s="312" t="s">
        <v>694</v>
      </c>
      <c r="G9" s="312"/>
      <c r="H9" s="312" t="s">
        <v>160</v>
      </c>
      <c r="I9" s="313"/>
      <c r="J9" s="318" t="s">
        <v>827</v>
      </c>
      <c r="K9" s="318"/>
      <c r="L9" s="319"/>
      <c r="M9" s="316" t="s">
        <v>160</v>
      </c>
      <c r="N9" s="320"/>
      <c r="O9" s="318"/>
      <c r="P9" s="318"/>
      <c r="Q9" s="319"/>
      <c r="R9" s="316" t="s">
        <v>160</v>
      </c>
      <c r="S9" s="320"/>
      <c r="T9" s="318" t="s">
        <v>827</v>
      </c>
      <c r="U9" s="182"/>
      <c r="V9" s="179" t="s">
        <v>160</v>
      </c>
      <c r="W9" s="183"/>
      <c r="X9" s="162"/>
      <c r="Y9" s="197" t="s">
        <v>115</v>
      </c>
      <c r="Z9" s="197" t="s">
        <v>417</v>
      </c>
      <c r="AA9" s="197" t="s">
        <v>116</v>
      </c>
      <c r="AB9" s="197" t="s">
        <v>938</v>
      </c>
      <c r="AC9" s="197" t="s">
        <v>215</v>
      </c>
      <c r="AD9" s="198" t="s">
        <v>430</v>
      </c>
      <c r="AE9" s="161" t="s">
        <v>565</v>
      </c>
      <c r="AF9" s="302" t="s">
        <v>556</v>
      </c>
    </row>
    <row r="10" spans="1:32" ht="105" customHeight="1" thickBot="1">
      <c r="A10" s="311" t="s">
        <v>133</v>
      </c>
      <c r="B10" s="198" t="s">
        <v>69</v>
      </c>
      <c r="C10" s="199" t="s">
        <v>267</v>
      </c>
      <c r="D10" s="200" t="s">
        <v>268</v>
      </c>
      <c r="E10" s="201" t="s">
        <v>260</v>
      </c>
      <c r="F10" s="323" t="s">
        <v>745</v>
      </c>
      <c r="G10" s="312"/>
      <c r="H10" s="312" t="s">
        <v>167</v>
      </c>
      <c r="I10" s="322"/>
      <c r="J10" s="358" t="s">
        <v>877</v>
      </c>
      <c r="K10" s="324" t="s">
        <v>788</v>
      </c>
      <c r="L10" s="324" t="s">
        <v>788</v>
      </c>
      <c r="M10" s="316" t="s">
        <v>167</v>
      </c>
      <c r="N10" s="320" t="s">
        <v>878</v>
      </c>
      <c r="O10" s="318" t="s">
        <v>883</v>
      </c>
      <c r="P10" s="325"/>
      <c r="Q10" s="324"/>
      <c r="R10" s="366" t="s">
        <v>167</v>
      </c>
      <c r="S10" s="320"/>
      <c r="T10" s="318" t="s">
        <v>1029</v>
      </c>
      <c r="U10" s="193"/>
      <c r="V10" s="179" t="s">
        <v>167</v>
      </c>
      <c r="W10" s="183"/>
      <c r="X10" s="162"/>
      <c r="Y10" s="197" t="s">
        <v>115</v>
      </c>
      <c r="Z10" s="197" t="s">
        <v>146</v>
      </c>
      <c r="AA10" s="197" t="s">
        <v>116</v>
      </c>
      <c r="AB10" s="197" t="s">
        <v>938</v>
      </c>
      <c r="AC10" s="197" t="s">
        <v>215</v>
      </c>
      <c r="AD10" s="198" t="s">
        <v>431</v>
      </c>
      <c r="AE10" s="161" t="s">
        <v>566</v>
      </c>
      <c r="AF10" s="302" t="s">
        <v>556</v>
      </c>
    </row>
    <row r="11" spans="1:32" ht="99" customHeight="1" thickBot="1">
      <c r="A11" s="311" t="s">
        <v>133</v>
      </c>
      <c r="B11" s="198" t="s">
        <v>70</v>
      </c>
      <c r="C11" s="199" t="s">
        <v>269</v>
      </c>
      <c r="D11" s="200" t="s">
        <v>746</v>
      </c>
      <c r="E11" s="201" t="s">
        <v>260</v>
      </c>
      <c r="F11" s="312" t="s">
        <v>747</v>
      </c>
      <c r="G11" s="312"/>
      <c r="H11" s="312" t="s">
        <v>169</v>
      </c>
      <c r="I11" s="313"/>
      <c r="J11" s="319" t="s">
        <v>823</v>
      </c>
      <c r="K11" s="318"/>
      <c r="L11" s="319"/>
      <c r="M11" s="316" t="s">
        <v>170</v>
      </c>
      <c r="N11" s="320"/>
      <c r="O11" s="318" t="s">
        <v>920</v>
      </c>
      <c r="P11" s="318"/>
      <c r="Q11" s="319"/>
      <c r="R11" s="366" t="s">
        <v>164</v>
      </c>
      <c r="S11" s="320"/>
      <c r="T11" s="181" t="s">
        <v>1043</v>
      </c>
      <c r="U11" s="182" t="s">
        <v>1028</v>
      </c>
      <c r="V11" s="179" t="s">
        <v>164</v>
      </c>
      <c r="W11" s="183"/>
      <c r="X11" s="162"/>
      <c r="Y11" s="197" t="s">
        <v>115</v>
      </c>
      <c r="Z11" s="197" t="s">
        <v>146</v>
      </c>
      <c r="AA11" s="197" t="s">
        <v>116</v>
      </c>
      <c r="AB11" s="197" t="s">
        <v>938</v>
      </c>
      <c r="AC11" s="197" t="s">
        <v>215</v>
      </c>
      <c r="AD11" s="198" t="s">
        <v>432</v>
      </c>
      <c r="AE11" s="161" t="s">
        <v>567</v>
      </c>
      <c r="AF11" s="302" t="s">
        <v>556</v>
      </c>
    </row>
    <row r="12" spans="1:32" ht="90" customHeight="1" thickBot="1">
      <c r="A12" s="311" t="s">
        <v>133</v>
      </c>
      <c r="B12" s="198" t="s">
        <v>71</v>
      </c>
      <c r="C12" s="199" t="s">
        <v>267</v>
      </c>
      <c r="D12" s="200" t="s">
        <v>270</v>
      </c>
      <c r="E12" s="201" t="s">
        <v>260</v>
      </c>
      <c r="F12" s="312" t="s">
        <v>785</v>
      </c>
      <c r="G12" s="312"/>
      <c r="H12" s="312" t="s">
        <v>169</v>
      </c>
      <c r="I12" s="313"/>
      <c r="J12" s="314" t="s">
        <v>824</v>
      </c>
      <c r="K12" s="314"/>
      <c r="L12" s="315"/>
      <c r="M12" s="316" t="s">
        <v>160</v>
      </c>
      <c r="N12" s="317"/>
      <c r="O12" s="314"/>
      <c r="P12" s="314"/>
      <c r="Q12" s="315"/>
      <c r="R12" s="316" t="s">
        <v>160</v>
      </c>
      <c r="S12" s="317"/>
      <c r="T12" s="177"/>
      <c r="U12" s="178"/>
      <c r="V12" s="179" t="s">
        <v>160</v>
      </c>
      <c r="W12" s="180"/>
      <c r="X12" s="160"/>
      <c r="Y12" s="197" t="s">
        <v>115</v>
      </c>
      <c r="Z12" s="197" t="s">
        <v>146</v>
      </c>
      <c r="AA12" s="197" t="s">
        <v>116</v>
      </c>
      <c r="AB12" s="197" t="s">
        <v>938</v>
      </c>
      <c r="AC12" s="197" t="s">
        <v>215</v>
      </c>
      <c r="AD12" s="198" t="s">
        <v>433</v>
      </c>
      <c r="AE12" s="161" t="s">
        <v>568</v>
      </c>
      <c r="AF12" s="302" t="s">
        <v>556</v>
      </c>
    </row>
    <row r="13" spans="1:32" ht="90" customHeight="1" thickBot="1">
      <c r="A13" s="311" t="s">
        <v>791</v>
      </c>
      <c r="B13" s="198" t="s">
        <v>72</v>
      </c>
      <c r="C13" s="199" t="s">
        <v>60</v>
      </c>
      <c r="D13" s="200" t="s">
        <v>61</v>
      </c>
      <c r="E13" s="201"/>
      <c r="F13" s="312" t="s">
        <v>716</v>
      </c>
      <c r="G13" s="312"/>
      <c r="H13" s="312" t="s">
        <v>169</v>
      </c>
      <c r="I13" s="313" t="s">
        <v>719</v>
      </c>
      <c r="J13" s="314" t="s">
        <v>855</v>
      </c>
      <c r="K13" s="359">
        <v>100</v>
      </c>
      <c r="L13" s="315"/>
      <c r="M13" s="316" t="s">
        <v>169</v>
      </c>
      <c r="N13" s="317" t="s">
        <v>858</v>
      </c>
      <c r="O13" s="314" t="s">
        <v>915</v>
      </c>
      <c r="P13" s="339">
        <v>1</v>
      </c>
      <c r="Q13" s="334">
        <v>1</v>
      </c>
      <c r="R13" s="316" t="s">
        <v>169</v>
      </c>
      <c r="S13" s="317" t="s">
        <v>858</v>
      </c>
      <c r="T13" s="177" t="s">
        <v>1015</v>
      </c>
      <c r="U13" s="196">
        <v>1</v>
      </c>
      <c r="V13" s="179" t="s">
        <v>160</v>
      </c>
      <c r="W13" s="180" t="s">
        <v>1018</v>
      </c>
      <c r="X13" s="160"/>
      <c r="Y13" s="197" t="s">
        <v>113</v>
      </c>
      <c r="Z13" s="197" t="s">
        <v>111</v>
      </c>
      <c r="AA13" s="197" t="s">
        <v>116</v>
      </c>
      <c r="AB13" s="197" t="s">
        <v>181</v>
      </c>
      <c r="AC13" s="197" t="s">
        <v>181</v>
      </c>
      <c r="AD13" s="198" t="s">
        <v>434</v>
      </c>
      <c r="AE13" s="161" t="s">
        <v>569</v>
      </c>
      <c r="AF13" s="302" t="s">
        <v>556</v>
      </c>
    </row>
    <row r="14" spans="1:32" ht="90" customHeight="1" thickBot="1">
      <c r="A14" s="311" t="s">
        <v>791</v>
      </c>
      <c r="B14" s="198" t="s">
        <v>73</v>
      </c>
      <c r="C14" s="199" t="s">
        <v>63</v>
      </c>
      <c r="D14" s="200" t="s">
        <v>61</v>
      </c>
      <c r="E14" s="201"/>
      <c r="F14" s="312" t="s">
        <v>717</v>
      </c>
      <c r="G14" s="312"/>
      <c r="H14" s="312" t="s">
        <v>169</v>
      </c>
      <c r="I14" s="313" t="s">
        <v>719</v>
      </c>
      <c r="J14" s="314" t="s">
        <v>856</v>
      </c>
      <c r="K14" s="359" t="s">
        <v>875</v>
      </c>
      <c r="L14" s="315"/>
      <c r="M14" s="316" t="s">
        <v>169</v>
      </c>
      <c r="N14" s="317" t="s">
        <v>858</v>
      </c>
      <c r="O14" s="314" t="s">
        <v>916</v>
      </c>
      <c r="P14" s="339">
        <v>0.93</v>
      </c>
      <c r="Q14" s="334">
        <v>0.92</v>
      </c>
      <c r="R14" s="316" t="s">
        <v>169</v>
      </c>
      <c r="S14" s="317" t="s">
        <v>918</v>
      </c>
      <c r="T14" s="177" t="s">
        <v>1016</v>
      </c>
      <c r="U14" s="196">
        <v>0.95</v>
      </c>
      <c r="V14" s="179" t="s">
        <v>160</v>
      </c>
      <c r="W14" s="180" t="s">
        <v>1019</v>
      </c>
      <c r="X14" s="160"/>
      <c r="Y14" s="197" t="s">
        <v>113</v>
      </c>
      <c r="Z14" s="197" t="s">
        <v>111</v>
      </c>
      <c r="AA14" s="197" t="s">
        <v>116</v>
      </c>
      <c r="AB14" s="197" t="s">
        <v>181</v>
      </c>
      <c r="AC14" s="197" t="s">
        <v>181</v>
      </c>
      <c r="AD14" s="198" t="s">
        <v>435</v>
      </c>
      <c r="AE14" s="161" t="s">
        <v>570</v>
      </c>
      <c r="AF14" s="302" t="s">
        <v>556</v>
      </c>
    </row>
    <row r="15" spans="1:32" ht="90" customHeight="1" thickBot="1">
      <c r="A15" s="311" t="s">
        <v>791</v>
      </c>
      <c r="B15" s="198" t="s">
        <v>74</v>
      </c>
      <c r="C15" s="199" t="s">
        <v>65</v>
      </c>
      <c r="D15" s="200" t="s">
        <v>61</v>
      </c>
      <c r="E15" s="201"/>
      <c r="F15" s="326" t="s">
        <v>718</v>
      </c>
      <c r="G15" s="326"/>
      <c r="H15" s="326" t="s">
        <v>169</v>
      </c>
      <c r="I15" s="327" t="s">
        <v>719</v>
      </c>
      <c r="J15" s="328" t="s">
        <v>857</v>
      </c>
      <c r="K15" s="359" t="s">
        <v>876</v>
      </c>
      <c r="L15" s="329"/>
      <c r="M15" s="316" t="s">
        <v>169</v>
      </c>
      <c r="N15" s="330" t="s">
        <v>858</v>
      </c>
      <c r="O15" s="328" t="s">
        <v>917</v>
      </c>
      <c r="P15" s="339">
        <v>0.98</v>
      </c>
      <c r="Q15" s="334">
        <v>0.98</v>
      </c>
      <c r="R15" s="367" t="s">
        <v>169</v>
      </c>
      <c r="S15" s="317" t="s">
        <v>858</v>
      </c>
      <c r="T15" s="184" t="s">
        <v>1017</v>
      </c>
      <c r="U15" s="196">
        <v>0.98</v>
      </c>
      <c r="V15" s="179" t="s">
        <v>160</v>
      </c>
      <c r="W15" s="180" t="s">
        <v>1020</v>
      </c>
      <c r="X15" s="163"/>
      <c r="Y15" s="197" t="s">
        <v>113</v>
      </c>
      <c r="Z15" s="197" t="s">
        <v>111</v>
      </c>
      <c r="AA15" s="197" t="s">
        <v>116</v>
      </c>
      <c r="AB15" s="197" t="s">
        <v>181</v>
      </c>
      <c r="AC15" s="197" t="s">
        <v>181</v>
      </c>
      <c r="AD15" s="198" t="s">
        <v>436</v>
      </c>
      <c r="AE15" s="161" t="s">
        <v>571</v>
      </c>
      <c r="AF15" s="302" t="s">
        <v>556</v>
      </c>
    </row>
    <row r="16" spans="1:32" ht="90" customHeight="1" thickBot="1">
      <c r="A16" s="311" t="s">
        <v>791</v>
      </c>
      <c r="B16" s="198" t="s">
        <v>75</v>
      </c>
      <c r="C16" s="199" t="s">
        <v>271</v>
      </c>
      <c r="D16" s="200" t="s">
        <v>272</v>
      </c>
      <c r="E16" s="306" t="s">
        <v>273</v>
      </c>
      <c r="F16" s="326" t="s">
        <v>748</v>
      </c>
      <c r="G16" s="326"/>
      <c r="H16" s="312" t="s">
        <v>167</v>
      </c>
      <c r="I16" s="327"/>
      <c r="J16" s="358" t="s">
        <v>789</v>
      </c>
      <c r="K16" s="324" t="s">
        <v>788</v>
      </c>
      <c r="L16" s="324" t="s">
        <v>788</v>
      </c>
      <c r="M16" s="316" t="s">
        <v>167</v>
      </c>
      <c r="N16" s="330"/>
      <c r="O16" s="358" t="s">
        <v>789</v>
      </c>
      <c r="P16" s="328"/>
      <c r="Q16" s="329"/>
      <c r="R16" s="367" t="s">
        <v>167</v>
      </c>
      <c r="S16" s="330"/>
      <c r="T16" s="184"/>
      <c r="U16" s="185"/>
      <c r="V16" s="179" t="s">
        <v>167</v>
      </c>
      <c r="W16" s="186" t="s">
        <v>1023</v>
      </c>
      <c r="X16" s="163"/>
      <c r="Y16" s="197" t="s">
        <v>113</v>
      </c>
      <c r="Z16" s="197" t="s">
        <v>111</v>
      </c>
      <c r="AA16" s="197" t="s">
        <v>116</v>
      </c>
      <c r="AB16" s="197" t="s">
        <v>181</v>
      </c>
      <c r="AC16" s="197" t="s">
        <v>181</v>
      </c>
      <c r="AD16" s="198" t="s">
        <v>437</v>
      </c>
      <c r="AE16" s="161" t="s">
        <v>572</v>
      </c>
      <c r="AF16" s="302" t="s">
        <v>556</v>
      </c>
    </row>
    <row r="17" spans="1:32" ht="90" customHeight="1" thickBot="1">
      <c r="A17" s="311" t="s">
        <v>791</v>
      </c>
      <c r="B17" s="198" t="s">
        <v>76</v>
      </c>
      <c r="C17" s="199" t="s">
        <v>274</v>
      </c>
      <c r="D17" s="200" t="s">
        <v>275</v>
      </c>
      <c r="E17" s="201" t="s">
        <v>276</v>
      </c>
      <c r="F17" s="312" t="s">
        <v>677</v>
      </c>
      <c r="G17" s="312"/>
      <c r="H17" s="312" t="s">
        <v>169</v>
      </c>
      <c r="I17" s="313"/>
      <c r="J17" s="315" t="s">
        <v>848</v>
      </c>
      <c r="K17" s="314"/>
      <c r="L17" s="315"/>
      <c r="M17" s="316" t="s">
        <v>169</v>
      </c>
      <c r="N17" s="317"/>
      <c r="O17" s="368" t="s">
        <v>942</v>
      </c>
      <c r="P17" s="314"/>
      <c r="Q17" s="315"/>
      <c r="R17" s="316" t="s">
        <v>160</v>
      </c>
      <c r="S17" s="317"/>
      <c r="T17" s="368" t="s">
        <v>942</v>
      </c>
      <c r="U17" s="178"/>
      <c r="V17" s="179" t="s">
        <v>160</v>
      </c>
      <c r="W17" s="180"/>
      <c r="X17" s="164"/>
      <c r="Y17" s="197" t="s">
        <v>113</v>
      </c>
      <c r="Z17" s="197" t="s">
        <v>111</v>
      </c>
      <c r="AA17" s="197" t="s">
        <v>116</v>
      </c>
      <c r="AB17" s="197" t="s">
        <v>181</v>
      </c>
      <c r="AC17" s="197" t="s">
        <v>181</v>
      </c>
      <c r="AD17" s="198" t="s">
        <v>438</v>
      </c>
      <c r="AE17" s="161" t="s">
        <v>573</v>
      </c>
      <c r="AF17" s="302" t="s">
        <v>556</v>
      </c>
    </row>
    <row r="18" spans="1:32" ht="90" customHeight="1" thickBot="1">
      <c r="A18" s="311" t="s">
        <v>791</v>
      </c>
      <c r="B18" s="198" t="s">
        <v>78</v>
      </c>
      <c r="C18" s="199" t="s">
        <v>274</v>
      </c>
      <c r="D18" s="200" t="s">
        <v>277</v>
      </c>
      <c r="E18" s="201" t="s">
        <v>260</v>
      </c>
      <c r="F18" s="312" t="s">
        <v>677</v>
      </c>
      <c r="G18" s="312"/>
      <c r="H18" s="312" t="s">
        <v>169</v>
      </c>
      <c r="I18" s="313"/>
      <c r="J18" s="315" t="s">
        <v>849</v>
      </c>
      <c r="K18" s="314"/>
      <c r="L18" s="315"/>
      <c r="M18" s="316" t="s">
        <v>169</v>
      </c>
      <c r="N18" s="317"/>
      <c r="O18" s="314" t="s">
        <v>963</v>
      </c>
      <c r="P18" s="314"/>
      <c r="Q18" s="315"/>
      <c r="R18" s="316" t="s">
        <v>160</v>
      </c>
      <c r="S18" s="317"/>
      <c r="T18" s="314" t="s">
        <v>963</v>
      </c>
      <c r="U18" s="178"/>
      <c r="V18" s="179" t="s">
        <v>160</v>
      </c>
      <c r="W18" s="180"/>
      <c r="X18" s="164"/>
      <c r="Y18" s="197" t="s">
        <v>113</v>
      </c>
      <c r="Z18" s="197" t="s">
        <v>111</v>
      </c>
      <c r="AA18" s="197" t="s">
        <v>116</v>
      </c>
      <c r="AB18" s="197" t="s">
        <v>181</v>
      </c>
      <c r="AC18" s="197" t="s">
        <v>181</v>
      </c>
      <c r="AD18" s="198" t="s">
        <v>439</v>
      </c>
      <c r="AE18" s="161" t="s">
        <v>574</v>
      </c>
      <c r="AF18" s="302" t="s">
        <v>556</v>
      </c>
    </row>
    <row r="19" spans="1:32" ht="90" customHeight="1" thickBot="1">
      <c r="A19" s="311" t="s">
        <v>791</v>
      </c>
      <c r="B19" s="198" t="s">
        <v>79</v>
      </c>
      <c r="C19" s="199" t="s">
        <v>274</v>
      </c>
      <c r="D19" s="200" t="s">
        <v>278</v>
      </c>
      <c r="E19" s="201" t="s">
        <v>276</v>
      </c>
      <c r="F19" s="326" t="s">
        <v>678</v>
      </c>
      <c r="G19" s="326"/>
      <c r="H19" s="326" t="s">
        <v>169</v>
      </c>
      <c r="I19" s="327"/>
      <c r="J19" s="315" t="s">
        <v>850</v>
      </c>
      <c r="K19" s="328"/>
      <c r="L19" s="329"/>
      <c r="M19" s="316" t="s">
        <v>169</v>
      </c>
      <c r="N19" s="330"/>
      <c r="O19" s="329" t="s">
        <v>943</v>
      </c>
      <c r="P19" s="328"/>
      <c r="Q19" s="329"/>
      <c r="R19" s="367" t="s">
        <v>160</v>
      </c>
      <c r="S19" s="330"/>
      <c r="T19" s="329" t="s">
        <v>943</v>
      </c>
      <c r="U19" s="185"/>
      <c r="V19" s="179" t="s">
        <v>160</v>
      </c>
      <c r="W19" s="186"/>
      <c r="X19" s="163"/>
      <c r="Y19" s="197" t="s">
        <v>113</v>
      </c>
      <c r="Z19" s="197" t="s">
        <v>111</v>
      </c>
      <c r="AA19" s="197" t="s">
        <v>116</v>
      </c>
      <c r="AB19" s="197" t="s">
        <v>181</v>
      </c>
      <c r="AC19" s="197" t="s">
        <v>181</v>
      </c>
      <c r="AD19" s="198" t="s">
        <v>440</v>
      </c>
      <c r="AE19" s="161" t="s">
        <v>575</v>
      </c>
      <c r="AF19" s="303"/>
    </row>
    <row r="20" spans="1:32" ht="90" customHeight="1" thickBot="1">
      <c r="A20" s="311" t="s">
        <v>791</v>
      </c>
      <c r="B20" s="198" t="s">
        <v>80</v>
      </c>
      <c r="C20" s="199" t="s">
        <v>274</v>
      </c>
      <c r="D20" s="200" t="s">
        <v>279</v>
      </c>
      <c r="E20" s="201" t="s">
        <v>276</v>
      </c>
      <c r="F20" s="312" t="s">
        <v>677</v>
      </c>
      <c r="G20" s="312"/>
      <c r="H20" s="312" t="s">
        <v>169</v>
      </c>
      <c r="I20" s="313"/>
      <c r="J20" s="315" t="s">
        <v>848</v>
      </c>
      <c r="K20" s="314"/>
      <c r="L20" s="315"/>
      <c r="M20" s="316" t="s">
        <v>169</v>
      </c>
      <c r="N20" s="365"/>
      <c r="O20" s="368" t="s">
        <v>944</v>
      </c>
      <c r="P20" s="314"/>
      <c r="Q20" s="315"/>
      <c r="R20" s="316" t="s">
        <v>160</v>
      </c>
      <c r="S20" s="317"/>
      <c r="T20" s="368" t="s">
        <v>944</v>
      </c>
      <c r="U20" s="178"/>
      <c r="V20" s="179" t="s">
        <v>160</v>
      </c>
      <c r="W20" s="180"/>
      <c r="X20" s="160"/>
      <c r="Y20" s="197" t="s">
        <v>113</v>
      </c>
      <c r="Z20" s="197" t="s">
        <v>111</v>
      </c>
      <c r="AA20" s="197" t="s">
        <v>116</v>
      </c>
      <c r="AB20" s="197" t="s">
        <v>181</v>
      </c>
      <c r="AC20" s="197" t="s">
        <v>181</v>
      </c>
      <c r="AD20" s="198" t="s">
        <v>441</v>
      </c>
      <c r="AE20" s="161" t="s">
        <v>576</v>
      </c>
      <c r="AF20" s="302" t="s">
        <v>556</v>
      </c>
    </row>
    <row r="21" spans="1:32" ht="170.25" customHeight="1" thickBot="1">
      <c r="A21" s="311" t="s">
        <v>145</v>
      </c>
      <c r="B21" s="198" t="s">
        <v>81</v>
      </c>
      <c r="C21" s="199" t="s">
        <v>280</v>
      </c>
      <c r="D21" s="200" t="s">
        <v>281</v>
      </c>
      <c r="E21" s="201" t="s">
        <v>276</v>
      </c>
      <c r="F21" s="312" t="s">
        <v>675</v>
      </c>
      <c r="G21" s="312"/>
      <c r="H21" s="312" t="s">
        <v>169</v>
      </c>
      <c r="I21" s="313"/>
      <c r="J21" s="315" t="s">
        <v>797</v>
      </c>
      <c r="K21" s="314"/>
      <c r="L21" s="315"/>
      <c r="M21" s="316" t="s">
        <v>169</v>
      </c>
      <c r="N21" s="317"/>
      <c r="O21" s="314" t="s">
        <v>904</v>
      </c>
      <c r="P21" s="314"/>
      <c r="Q21" s="315"/>
      <c r="R21" s="316" t="s">
        <v>160</v>
      </c>
      <c r="S21" s="317"/>
      <c r="T21" s="314" t="s">
        <v>1030</v>
      </c>
      <c r="U21" s="178"/>
      <c r="V21" s="179" t="s">
        <v>160</v>
      </c>
      <c r="W21" s="180"/>
      <c r="X21" s="162"/>
      <c r="Y21" s="197" t="s">
        <v>114</v>
      </c>
      <c r="Z21" s="197" t="s">
        <v>144</v>
      </c>
      <c r="AA21" s="197" t="s">
        <v>116</v>
      </c>
      <c r="AB21" s="197" t="s">
        <v>181</v>
      </c>
      <c r="AC21" s="197" t="s">
        <v>181</v>
      </c>
      <c r="AD21" s="198" t="s">
        <v>442</v>
      </c>
      <c r="AE21" s="161" t="s">
        <v>577</v>
      </c>
      <c r="AF21" s="303"/>
    </row>
    <row r="22" spans="1:32" ht="159.75" customHeight="1" thickBot="1">
      <c r="A22" s="311" t="s">
        <v>145</v>
      </c>
      <c r="B22" s="198" t="s">
        <v>282</v>
      </c>
      <c r="C22" s="199" t="s">
        <v>283</v>
      </c>
      <c r="D22" s="200" t="s">
        <v>284</v>
      </c>
      <c r="E22" s="201" t="s">
        <v>260</v>
      </c>
      <c r="F22" s="312" t="s">
        <v>698</v>
      </c>
      <c r="G22" s="312"/>
      <c r="H22" s="312" t="s">
        <v>169</v>
      </c>
      <c r="I22" s="313"/>
      <c r="J22" s="318" t="s">
        <v>874</v>
      </c>
      <c r="K22" s="318"/>
      <c r="L22" s="319"/>
      <c r="M22" s="316" t="s">
        <v>169</v>
      </c>
      <c r="N22" s="320"/>
      <c r="O22" s="318" t="s">
        <v>905</v>
      </c>
      <c r="P22" s="318"/>
      <c r="Q22" s="319"/>
      <c r="R22" s="366" t="s">
        <v>169</v>
      </c>
      <c r="S22" s="320"/>
      <c r="T22" s="181" t="s">
        <v>982</v>
      </c>
      <c r="U22" s="182"/>
      <c r="V22" s="179" t="s">
        <v>163</v>
      </c>
      <c r="W22" s="183"/>
      <c r="X22" s="162"/>
      <c r="Y22" s="197" t="s">
        <v>114</v>
      </c>
      <c r="Z22" s="197" t="s">
        <v>144</v>
      </c>
      <c r="AA22" s="197" t="s">
        <v>116</v>
      </c>
      <c r="AB22" s="197" t="s">
        <v>181</v>
      </c>
      <c r="AC22" s="197" t="s">
        <v>181</v>
      </c>
      <c r="AD22" s="198" t="s">
        <v>443</v>
      </c>
      <c r="AE22" s="161" t="s">
        <v>578</v>
      </c>
      <c r="AF22" s="302" t="s">
        <v>556</v>
      </c>
    </row>
    <row r="23" spans="1:32" ht="90" customHeight="1" thickBot="1">
      <c r="A23" s="311" t="s">
        <v>145</v>
      </c>
      <c r="B23" s="198" t="s">
        <v>285</v>
      </c>
      <c r="C23" s="199" t="s">
        <v>286</v>
      </c>
      <c r="D23" s="200" t="s">
        <v>287</v>
      </c>
      <c r="E23" s="201" t="s">
        <v>260</v>
      </c>
      <c r="F23" s="321" t="s">
        <v>699</v>
      </c>
      <c r="G23" s="312"/>
      <c r="H23" s="312" t="s">
        <v>169</v>
      </c>
      <c r="I23" s="313"/>
      <c r="J23" s="321" t="s">
        <v>699</v>
      </c>
      <c r="K23" s="318"/>
      <c r="L23" s="319"/>
      <c r="M23" s="316" t="s">
        <v>169</v>
      </c>
      <c r="N23" s="320"/>
      <c r="O23" s="318" t="s">
        <v>906</v>
      </c>
      <c r="P23" s="318"/>
      <c r="Q23" s="319"/>
      <c r="R23" s="316" t="s">
        <v>169</v>
      </c>
      <c r="S23" s="320"/>
      <c r="T23" s="181" t="s">
        <v>983</v>
      </c>
      <c r="U23" s="182"/>
      <c r="V23" s="179" t="s">
        <v>160</v>
      </c>
      <c r="W23" s="183"/>
      <c r="X23" s="162"/>
      <c r="Y23" s="197" t="s">
        <v>114</v>
      </c>
      <c r="Z23" s="197" t="s">
        <v>144</v>
      </c>
      <c r="AA23" s="197" t="s">
        <v>116</v>
      </c>
      <c r="AB23" s="197" t="s">
        <v>181</v>
      </c>
      <c r="AC23" s="197" t="s">
        <v>181</v>
      </c>
      <c r="AD23" s="198" t="s">
        <v>444</v>
      </c>
      <c r="AE23" s="161" t="s">
        <v>579</v>
      </c>
      <c r="AF23" s="302" t="s">
        <v>556</v>
      </c>
    </row>
    <row r="24" spans="1:32" ht="90" customHeight="1" thickBot="1">
      <c r="A24" s="311" t="s">
        <v>145</v>
      </c>
      <c r="B24" s="198" t="s">
        <v>288</v>
      </c>
      <c r="C24" s="199" t="s">
        <v>289</v>
      </c>
      <c r="D24" s="200" t="s">
        <v>290</v>
      </c>
      <c r="E24" s="201" t="s">
        <v>276</v>
      </c>
      <c r="F24" s="321"/>
      <c r="G24" s="312"/>
      <c r="H24" s="312" t="s">
        <v>173</v>
      </c>
      <c r="I24" s="322"/>
      <c r="J24" s="318" t="s">
        <v>841</v>
      </c>
      <c r="K24" s="318"/>
      <c r="L24" s="319"/>
      <c r="M24" s="316" t="s">
        <v>169</v>
      </c>
      <c r="N24" s="320"/>
      <c r="O24" s="318" t="s">
        <v>907</v>
      </c>
      <c r="P24" s="318"/>
      <c r="Q24" s="319"/>
      <c r="R24" s="316" t="s">
        <v>160</v>
      </c>
      <c r="S24" s="320"/>
      <c r="T24" s="318" t="s">
        <v>907</v>
      </c>
      <c r="U24" s="182"/>
      <c r="V24" s="179" t="s">
        <v>160</v>
      </c>
      <c r="W24" s="183"/>
      <c r="X24" s="162"/>
      <c r="Y24" s="197" t="s">
        <v>114</v>
      </c>
      <c r="Z24" s="197" t="s">
        <v>144</v>
      </c>
      <c r="AA24" s="197" t="s">
        <v>116</v>
      </c>
      <c r="AB24" s="197" t="s">
        <v>181</v>
      </c>
      <c r="AC24" s="197" t="s">
        <v>181</v>
      </c>
      <c r="AD24" s="198" t="s">
        <v>445</v>
      </c>
      <c r="AE24" s="161" t="s">
        <v>580</v>
      </c>
      <c r="AF24" s="303"/>
    </row>
    <row r="25" spans="1:32" ht="108.75" customHeight="1" thickBot="1">
      <c r="A25" s="311" t="s">
        <v>145</v>
      </c>
      <c r="B25" s="198" t="s">
        <v>291</v>
      </c>
      <c r="C25" s="199" t="s">
        <v>292</v>
      </c>
      <c r="D25" s="200" t="s">
        <v>293</v>
      </c>
      <c r="E25" s="201" t="s">
        <v>266</v>
      </c>
      <c r="F25" s="321" t="s">
        <v>676</v>
      </c>
      <c r="G25" s="312"/>
      <c r="H25" s="312" t="s">
        <v>169</v>
      </c>
      <c r="I25" s="313"/>
      <c r="J25" s="318" t="s">
        <v>864</v>
      </c>
      <c r="K25" s="318"/>
      <c r="L25" s="319"/>
      <c r="M25" s="316" t="s">
        <v>169</v>
      </c>
      <c r="N25" s="320"/>
      <c r="O25" s="318" t="s">
        <v>908</v>
      </c>
      <c r="P25" s="318"/>
      <c r="Q25" s="319"/>
      <c r="R25" s="316" t="s">
        <v>160</v>
      </c>
      <c r="S25" s="320"/>
      <c r="T25" s="318" t="s">
        <v>908</v>
      </c>
      <c r="U25" s="182"/>
      <c r="V25" s="179" t="s">
        <v>160</v>
      </c>
      <c r="W25" s="183"/>
      <c r="X25" s="160"/>
      <c r="Y25" s="197" t="s">
        <v>114</v>
      </c>
      <c r="Z25" s="197" t="s">
        <v>144</v>
      </c>
      <c r="AA25" s="197" t="s">
        <v>116</v>
      </c>
      <c r="AB25" s="197" t="s">
        <v>181</v>
      </c>
      <c r="AC25" s="197" t="s">
        <v>181</v>
      </c>
      <c r="AD25" s="198" t="s">
        <v>446</v>
      </c>
      <c r="AE25" s="161" t="s">
        <v>581</v>
      </c>
      <c r="AF25" s="302" t="s">
        <v>556</v>
      </c>
    </row>
    <row r="26" spans="1:32" ht="122.25" customHeight="1" thickBot="1">
      <c r="A26" s="311" t="s">
        <v>145</v>
      </c>
      <c r="B26" s="198" t="s">
        <v>294</v>
      </c>
      <c r="C26" s="199" t="s">
        <v>77</v>
      </c>
      <c r="D26" s="200" t="s">
        <v>295</v>
      </c>
      <c r="E26" s="201" t="s">
        <v>260</v>
      </c>
      <c r="F26" s="312" t="s">
        <v>700</v>
      </c>
      <c r="G26" s="312"/>
      <c r="H26" s="312" t="s">
        <v>170</v>
      </c>
      <c r="I26" s="313"/>
      <c r="J26" s="318" t="s">
        <v>842</v>
      </c>
      <c r="K26" s="360" t="s">
        <v>863</v>
      </c>
      <c r="L26" s="319"/>
      <c r="M26" s="316" t="s">
        <v>169</v>
      </c>
      <c r="N26" s="320"/>
      <c r="O26" s="318" t="s">
        <v>842</v>
      </c>
      <c r="P26" s="318" t="s">
        <v>909</v>
      </c>
      <c r="Q26" s="319"/>
      <c r="R26" s="366" t="s">
        <v>169</v>
      </c>
      <c r="S26" s="320"/>
      <c r="T26" s="181" t="s">
        <v>985</v>
      </c>
      <c r="U26" s="182" t="s">
        <v>984</v>
      </c>
      <c r="V26" s="179" t="s">
        <v>160</v>
      </c>
      <c r="W26" s="183"/>
      <c r="X26" s="162"/>
      <c r="Y26" s="197" t="s">
        <v>114</v>
      </c>
      <c r="Z26" s="197" t="s">
        <v>144</v>
      </c>
      <c r="AA26" s="197" t="s">
        <v>116</v>
      </c>
      <c r="AB26" s="197" t="s">
        <v>181</v>
      </c>
      <c r="AC26" s="197" t="s">
        <v>181</v>
      </c>
      <c r="AD26" s="198" t="s">
        <v>447</v>
      </c>
      <c r="AE26" s="161" t="s">
        <v>582</v>
      </c>
      <c r="AF26" s="302" t="s">
        <v>556</v>
      </c>
    </row>
    <row r="27" spans="1:32" ht="149.25" customHeight="1" thickBot="1">
      <c r="A27" s="311" t="s">
        <v>145</v>
      </c>
      <c r="B27" s="198" t="s">
        <v>296</v>
      </c>
      <c r="C27" s="199" t="s">
        <v>297</v>
      </c>
      <c r="D27" s="200" t="s">
        <v>298</v>
      </c>
      <c r="E27" s="201" t="s">
        <v>260</v>
      </c>
      <c r="F27" s="312"/>
      <c r="G27" s="312"/>
      <c r="H27" s="312" t="s">
        <v>173</v>
      </c>
      <c r="I27" s="322"/>
      <c r="J27" s="318" t="s">
        <v>843</v>
      </c>
      <c r="K27" s="318"/>
      <c r="L27" s="319"/>
      <c r="M27" s="316" t="s">
        <v>169</v>
      </c>
      <c r="N27" s="320"/>
      <c r="O27" s="314" t="s">
        <v>911</v>
      </c>
      <c r="P27" s="318"/>
      <c r="Q27" s="319"/>
      <c r="R27" s="366" t="s">
        <v>167</v>
      </c>
      <c r="S27" s="320" t="s">
        <v>910</v>
      </c>
      <c r="T27" s="181"/>
      <c r="U27" s="182"/>
      <c r="V27" s="179" t="s">
        <v>167</v>
      </c>
      <c r="W27" s="183"/>
      <c r="X27" s="162"/>
      <c r="Y27" s="197" t="s">
        <v>114</v>
      </c>
      <c r="Z27" s="197" t="s">
        <v>144</v>
      </c>
      <c r="AA27" s="197" t="s">
        <v>116</v>
      </c>
      <c r="AB27" s="197" t="s">
        <v>181</v>
      </c>
      <c r="AC27" s="197" t="s">
        <v>181</v>
      </c>
      <c r="AD27" s="198" t="s">
        <v>448</v>
      </c>
      <c r="AE27" s="161" t="s">
        <v>583</v>
      </c>
      <c r="AF27" s="302" t="s">
        <v>556</v>
      </c>
    </row>
    <row r="28" spans="1:32" ht="140.25" customHeight="1" thickBot="1">
      <c r="A28" s="311" t="s">
        <v>145</v>
      </c>
      <c r="B28" s="198" t="s">
        <v>299</v>
      </c>
      <c r="C28" s="199" t="s">
        <v>297</v>
      </c>
      <c r="D28" s="200" t="s">
        <v>300</v>
      </c>
      <c r="E28" s="201" t="s">
        <v>260</v>
      </c>
      <c r="F28" s="312" t="s">
        <v>701</v>
      </c>
      <c r="G28" s="312"/>
      <c r="H28" s="312" t="s">
        <v>169</v>
      </c>
      <c r="I28" s="313"/>
      <c r="J28" s="312" t="s">
        <v>701</v>
      </c>
      <c r="K28" s="318"/>
      <c r="L28" s="319"/>
      <c r="M28" s="316" t="s">
        <v>169</v>
      </c>
      <c r="N28" s="320"/>
      <c r="O28" s="318" t="s">
        <v>912</v>
      </c>
      <c r="P28" s="369"/>
      <c r="Q28" s="370">
        <v>24</v>
      </c>
      <c r="R28" s="366" t="s">
        <v>160</v>
      </c>
      <c r="S28" s="320"/>
      <c r="T28" s="181" t="s">
        <v>1044</v>
      </c>
      <c r="U28" s="182"/>
      <c r="V28" s="179" t="s">
        <v>160</v>
      </c>
      <c r="W28" s="183"/>
      <c r="X28" s="160"/>
      <c r="Y28" s="197" t="s">
        <v>114</v>
      </c>
      <c r="Z28" s="197" t="s">
        <v>144</v>
      </c>
      <c r="AA28" s="197" t="s">
        <v>116</v>
      </c>
      <c r="AB28" s="197" t="s">
        <v>181</v>
      </c>
      <c r="AC28" s="197" t="s">
        <v>181</v>
      </c>
      <c r="AD28" s="198" t="s">
        <v>449</v>
      </c>
      <c r="AE28" s="161" t="s">
        <v>584</v>
      </c>
      <c r="AF28" s="302" t="s">
        <v>556</v>
      </c>
    </row>
    <row r="29" spans="1:32" ht="137.25" customHeight="1" thickBot="1">
      <c r="A29" s="311" t="s">
        <v>145</v>
      </c>
      <c r="B29" s="198" t="s">
        <v>301</v>
      </c>
      <c r="C29" s="199" t="s">
        <v>302</v>
      </c>
      <c r="D29" s="200" t="s">
        <v>303</v>
      </c>
      <c r="E29" s="201" t="s">
        <v>260</v>
      </c>
      <c r="F29" s="312" t="s">
        <v>702</v>
      </c>
      <c r="G29" s="312"/>
      <c r="H29" s="312" t="s">
        <v>169</v>
      </c>
      <c r="I29" s="322" t="s">
        <v>729</v>
      </c>
      <c r="J29" s="312" t="s">
        <v>844</v>
      </c>
      <c r="K29" s="318"/>
      <c r="L29" s="319"/>
      <c r="M29" s="316" t="s">
        <v>169</v>
      </c>
      <c r="N29" s="320"/>
      <c r="O29" s="318" t="s">
        <v>913</v>
      </c>
      <c r="P29" s="318"/>
      <c r="Q29" s="319"/>
      <c r="R29" s="366" t="s">
        <v>169</v>
      </c>
      <c r="S29" s="320"/>
      <c r="T29" s="181" t="s">
        <v>986</v>
      </c>
      <c r="U29" s="182"/>
      <c r="V29" s="179" t="s">
        <v>160</v>
      </c>
      <c r="W29" s="183"/>
      <c r="X29" s="162"/>
      <c r="Y29" s="197" t="s">
        <v>114</v>
      </c>
      <c r="Z29" s="197" t="s">
        <v>144</v>
      </c>
      <c r="AA29" s="197" t="s">
        <v>116</v>
      </c>
      <c r="AB29" s="197" t="s">
        <v>181</v>
      </c>
      <c r="AC29" s="197" t="s">
        <v>181</v>
      </c>
      <c r="AD29" s="198" t="s">
        <v>450</v>
      </c>
      <c r="AE29" s="161" t="s">
        <v>585</v>
      </c>
      <c r="AF29" s="302" t="s">
        <v>556</v>
      </c>
    </row>
    <row r="30" spans="1:32" ht="122.25" customHeight="1" thickBot="1">
      <c r="A30" s="311" t="s">
        <v>148</v>
      </c>
      <c r="B30" s="198" t="s">
        <v>82</v>
      </c>
      <c r="C30" s="199" t="s">
        <v>93</v>
      </c>
      <c r="D30" s="200" t="s">
        <v>304</v>
      </c>
      <c r="E30" s="201" t="s">
        <v>305</v>
      </c>
      <c r="F30" s="312" t="s">
        <v>730</v>
      </c>
      <c r="G30" s="312"/>
      <c r="H30" s="312" t="s">
        <v>169</v>
      </c>
      <c r="I30" s="313"/>
      <c r="J30" s="314" t="s">
        <v>865</v>
      </c>
      <c r="K30" s="314"/>
      <c r="L30" s="315"/>
      <c r="M30" s="316" t="s">
        <v>169</v>
      </c>
      <c r="N30" s="317"/>
      <c r="O30" s="314" t="s">
        <v>945</v>
      </c>
      <c r="P30" s="314"/>
      <c r="Q30" s="315"/>
      <c r="R30" s="316" t="s">
        <v>169</v>
      </c>
      <c r="S30" s="317"/>
      <c r="T30" s="177" t="s">
        <v>987</v>
      </c>
      <c r="U30" s="178"/>
      <c r="V30" s="179" t="s">
        <v>160</v>
      </c>
      <c r="W30" s="180"/>
      <c r="X30" s="162"/>
      <c r="Y30" s="197" t="s">
        <v>113</v>
      </c>
      <c r="Z30" s="197" t="s">
        <v>147</v>
      </c>
      <c r="AA30" s="197" t="s">
        <v>558</v>
      </c>
      <c r="AB30" s="197" t="s">
        <v>183</v>
      </c>
      <c r="AC30" s="197" t="s">
        <v>183</v>
      </c>
      <c r="AD30" s="198" t="s">
        <v>451</v>
      </c>
      <c r="AE30" s="161" t="s">
        <v>586</v>
      </c>
      <c r="AF30" s="303"/>
    </row>
    <row r="31" spans="1:32" ht="163.5" customHeight="1" thickBot="1">
      <c r="A31" s="311" t="s">
        <v>148</v>
      </c>
      <c r="B31" s="198" t="s">
        <v>83</v>
      </c>
      <c r="C31" s="199" t="s">
        <v>93</v>
      </c>
      <c r="D31" s="200" t="s">
        <v>306</v>
      </c>
      <c r="E31" s="201" t="s">
        <v>307</v>
      </c>
      <c r="F31" s="312" t="s">
        <v>726</v>
      </c>
      <c r="G31" s="312"/>
      <c r="H31" s="312" t="s">
        <v>169</v>
      </c>
      <c r="I31" s="313"/>
      <c r="J31" s="314" t="s">
        <v>811</v>
      </c>
      <c r="K31" s="314"/>
      <c r="L31" s="315"/>
      <c r="M31" s="316" t="s">
        <v>169</v>
      </c>
      <c r="N31" s="317"/>
      <c r="O31" s="314" t="s">
        <v>926</v>
      </c>
      <c r="P31" s="314"/>
      <c r="Q31" s="315"/>
      <c r="R31" s="316" t="s">
        <v>169</v>
      </c>
      <c r="S31" s="317"/>
      <c r="T31" s="177" t="s">
        <v>988</v>
      </c>
      <c r="U31" s="178"/>
      <c r="V31" s="179" t="s">
        <v>160</v>
      </c>
      <c r="W31" s="180"/>
      <c r="X31" s="162"/>
      <c r="Y31" s="197" t="s">
        <v>113</v>
      </c>
      <c r="Z31" s="197" t="s">
        <v>147</v>
      </c>
      <c r="AA31" s="197" t="s">
        <v>558</v>
      </c>
      <c r="AB31" s="197" t="s">
        <v>183</v>
      </c>
      <c r="AC31" s="197" t="s">
        <v>183</v>
      </c>
      <c r="AD31" s="198" t="s">
        <v>452</v>
      </c>
      <c r="AE31" s="161" t="s">
        <v>587</v>
      </c>
      <c r="AF31" s="303"/>
    </row>
    <row r="32" spans="1:32" ht="117" customHeight="1" thickBot="1">
      <c r="A32" s="311" t="s">
        <v>148</v>
      </c>
      <c r="B32" s="198" t="s">
        <v>84</v>
      </c>
      <c r="C32" s="199" t="s">
        <v>308</v>
      </c>
      <c r="D32" s="200" t="s">
        <v>309</v>
      </c>
      <c r="E32" s="201" t="s">
        <v>260</v>
      </c>
      <c r="F32" s="312" t="s">
        <v>722</v>
      </c>
      <c r="G32" s="312"/>
      <c r="H32" s="312" t="s">
        <v>169</v>
      </c>
      <c r="I32" s="313"/>
      <c r="J32" s="314" t="s">
        <v>813</v>
      </c>
      <c r="K32" s="314"/>
      <c r="L32" s="315"/>
      <c r="M32" s="316" t="s">
        <v>169</v>
      </c>
      <c r="N32" s="317"/>
      <c r="O32" s="314" t="s">
        <v>969</v>
      </c>
      <c r="P32" s="314"/>
      <c r="Q32" s="315"/>
      <c r="R32" s="316" t="s">
        <v>169</v>
      </c>
      <c r="S32" s="317"/>
      <c r="T32" s="177" t="s">
        <v>989</v>
      </c>
      <c r="U32" s="178"/>
      <c r="V32" s="179" t="s">
        <v>160</v>
      </c>
      <c r="W32" s="180"/>
      <c r="X32" s="160"/>
      <c r="Y32" s="197" t="s">
        <v>113</v>
      </c>
      <c r="Z32" s="197" t="s">
        <v>147</v>
      </c>
      <c r="AA32" s="197" t="s">
        <v>558</v>
      </c>
      <c r="AB32" s="197" t="s">
        <v>183</v>
      </c>
      <c r="AC32" s="197" t="s">
        <v>183</v>
      </c>
      <c r="AD32" s="198" t="s">
        <v>453</v>
      </c>
      <c r="AE32" s="161" t="s">
        <v>588</v>
      </c>
      <c r="AF32" s="303"/>
    </row>
    <row r="33" spans="1:32" ht="90" customHeight="1" thickBot="1">
      <c r="A33" s="311" t="s">
        <v>148</v>
      </c>
      <c r="B33" s="198" t="s">
        <v>85</v>
      </c>
      <c r="C33" s="199" t="s">
        <v>93</v>
      </c>
      <c r="D33" s="200" t="s">
        <v>310</v>
      </c>
      <c r="E33" s="201"/>
      <c r="F33" s="312" t="s">
        <v>723</v>
      </c>
      <c r="G33" s="312" t="s">
        <v>724</v>
      </c>
      <c r="H33" s="312" t="s">
        <v>169</v>
      </c>
      <c r="I33" s="313"/>
      <c r="J33" s="318" t="s">
        <v>830</v>
      </c>
      <c r="K33" s="318" t="s">
        <v>831</v>
      </c>
      <c r="L33" s="319" t="s">
        <v>832</v>
      </c>
      <c r="M33" s="316" t="s">
        <v>169</v>
      </c>
      <c r="N33" s="320"/>
      <c r="O33" s="318" t="s">
        <v>930</v>
      </c>
      <c r="P33" s="318" t="s">
        <v>931</v>
      </c>
      <c r="Q33" s="319" t="s">
        <v>832</v>
      </c>
      <c r="R33" s="366" t="s">
        <v>169</v>
      </c>
      <c r="S33" s="320"/>
      <c r="T33" s="181" t="s">
        <v>1009</v>
      </c>
      <c r="U33" s="182" t="s">
        <v>1010</v>
      </c>
      <c r="V33" s="179" t="s">
        <v>160</v>
      </c>
      <c r="W33" s="183"/>
      <c r="X33" s="162"/>
      <c r="Y33" s="197" t="s">
        <v>113</v>
      </c>
      <c r="Z33" s="197" t="s">
        <v>147</v>
      </c>
      <c r="AA33" s="197" t="s">
        <v>558</v>
      </c>
      <c r="AB33" s="197" t="s">
        <v>183</v>
      </c>
      <c r="AC33" s="197" t="s">
        <v>183</v>
      </c>
      <c r="AD33" s="198" t="s">
        <v>454</v>
      </c>
      <c r="AE33" s="161" t="s">
        <v>589</v>
      </c>
      <c r="AF33" s="302" t="s">
        <v>556</v>
      </c>
    </row>
    <row r="34" spans="1:32" ht="124.5" customHeight="1" thickBot="1">
      <c r="A34" s="311" t="s">
        <v>148</v>
      </c>
      <c r="B34" s="198" t="s">
        <v>87</v>
      </c>
      <c r="C34" s="199" t="s">
        <v>95</v>
      </c>
      <c r="D34" s="200" t="s">
        <v>96</v>
      </c>
      <c r="E34" s="201"/>
      <c r="F34" s="312" t="s">
        <v>727</v>
      </c>
      <c r="G34" s="312" t="s">
        <v>707</v>
      </c>
      <c r="H34" s="312" t="s">
        <v>169</v>
      </c>
      <c r="I34" s="313"/>
      <c r="J34" s="314" t="s">
        <v>828</v>
      </c>
      <c r="K34" s="314" t="s">
        <v>829</v>
      </c>
      <c r="L34" s="315" t="s">
        <v>707</v>
      </c>
      <c r="M34" s="316" t="s">
        <v>169</v>
      </c>
      <c r="N34" s="317"/>
      <c r="O34" s="314" t="s">
        <v>946</v>
      </c>
      <c r="P34" s="314" t="s">
        <v>929</v>
      </c>
      <c r="Q34" s="315" t="s">
        <v>707</v>
      </c>
      <c r="R34" s="316" t="s">
        <v>169</v>
      </c>
      <c r="S34" s="317"/>
      <c r="T34" s="177" t="s">
        <v>1045</v>
      </c>
      <c r="U34" s="178" t="s">
        <v>991</v>
      </c>
      <c r="V34" s="179" t="s">
        <v>160</v>
      </c>
      <c r="W34" s="180" t="s">
        <v>990</v>
      </c>
      <c r="X34" s="162"/>
      <c r="Y34" s="197" t="s">
        <v>113</v>
      </c>
      <c r="Z34" s="197" t="s">
        <v>147</v>
      </c>
      <c r="AA34" s="197" t="s">
        <v>558</v>
      </c>
      <c r="AB34" s="197" t="s">
        <v>183</v>
      </c>
      <c r="AC34" s="197" t="s">
        <v>183</v>
      </c>
      <c r="AD34" s="198" t="s">
        <v>455</v>
      </c>
      <c r="AE34" s="161" t="s">
        <v>590</v>
      </c>
      <c r="AF34" s="303"/>
    </row>
    <row r="35" spans="1:32" ht="90" customHeight="1" thickBot="1">
      <c r="A35" s="311" t="s">
        <v>148</v>
      </c>
      <c r="B35" s="198" t="s">
        <v>88</v>
      </c>
      <c r="C35" s="199" t="s">
        <v>311</v>
      </c>
      <c r="D35" s="200" t="s">
        <v>312</v>
      </c>
      <c r="E35" s="201" t="s">
        <v>266</v>
      </c>
      <c r="F35" s="321" t="s">
        <v>725</v>
      </c>
      <c r="G35" s="312"/>
      <c r="H35" s="312" t="s">
        <v>169</v>
      </c>
      <c r="I35" s="313"/>
      <c r="J35" s="314" t="s">
        <v>812</v>
      </c>
      <c r="K35" s="314"/>
      <c r="L35" s="315"/>
      <c r="M35" s="316" t="s">
        <v>169</v>
      </c>
      <c r="N35" s="361"/>
      <c r="O35" s="314" t="s">
        <v>927</v>
      </c>
      <c r="P35" s="314"/>
      <c r="Q35" s="315"/>
      <c r="R35" s="316" t="s">
        <v>160</v>
      </c>
      <c r="S35" s="317"/>
      <c r="T35" s="314" t="s">
        <v>927</v>
      </c>
      <c r="U35" s="178"/>
      <c r="V35" s="179" t="s">
        <v>160</v>
      </c>
      <c r="W35" s="180"/>
      <c r="X35" s="162"/>
      <c r="Y35" s="197" t="s">
        <v>113</v>
      </c>
      <c r="Z35" s="197" t="s">
        <v>147</v>
      </c>
      <c r="AA35" s="197" t="s">
        <v>558</v>
      </c>
      <c r="AB35" s="197" t="s">
        <v>183</v>
      </c>
      <c r="AC35" s="197" t="s">
        <v>183</v>
      </c>
      <c r="AD35" s="198" t="s">
        <v>456</v>
      </c>
      <c r="AE35" s="161" t="s">
        <v>591</v>
      </c>
      <c r="AF35" s="303"/>
    </row>
    <row r="36" spans="1:32" ht="135" customHeight="1" thickBot="1">
      <c r="A36" s="311" t="s">
        <v>148</v>
      </c>
      <c r="B36" s="198" t="s">
        <v>89</v>
      </c>
      <c r="C36" s="199" t="s">
        <v>313</v>
      </c>
      <c r="D36" s="200" t="s">
        <v>314</v>
      </c>
      <c r="E36" s="201" t="s">
        <v>266</v>
      </c>
      <c r="F36" s="326" t="s">
        <v>736</v>
      </c>
      <c r="G36" s="326"/>
      <c r="H36" s="326" t="s">
        <v>169</v>
      </c>
      <c r="I36" s="327"/>
      <c r="J36" s="328" t="s">
        <v>866</v>
      </c>
      <c r="K36" s="328"/>
      <c r="L36" s="329"/>
      <c r="M36" s="316" t="s">
        <v>169</v>
      </c>
      <c r="N36" s="330"/>
      <c r="O36" s="328" t="s">
        <v>928</v>
      </c>
      <c r="P36" s="328"/>
      <c r="Q36" s="329"/>
      <c r="R36" s="367" t="s">
        <v>160</v>
      </c>
      <c r="S36" s="330"/>
      <c r="T36" s="328" t="s">
        <v>928</v>
      </c>
      <c r="U36" s="185"/>
      <c r="V36" s="179" t="s">
        <v>160</v>
      </c>
      <c r="W36" s="186"/>
      <c r="X36" s="163"/>
      <c r="Y36" s="197" t="s">
        <v>113</v>
      </c>
      <c r="Z36" s="197" t="s">
        <v>147</v>
      </c>
      <c r="AA36" s="197" t="s">
        <v>558</v>
      </c>
      <c r="AB36" s="197" t="s">
        <v>183</v>
      </c>
      <c r="AC36" s="197" t="s">
        <v>183</v>
      </c>
      <c r="AD36" s="198" t="s">
        <v>457</v>
      </c>
      <c r="AE36" s="161" t="s">
        <v>592</v>
      </c>
      <c r="AF36" s="302" t="s">
        <v>556</v>
      </c>
    </row>
    <row r="37" spans="1:32" ht="90" customHeight="1" thickBot="1">
      <c r="A37" s="311" t="s">
        <v>135</v>
      </c>
      <c r="B37" s="198" t="s">
        <v>90</v>
      </c>
      <c r="C37" s="199" t="s">
        <v>315</v>
      </c>
      <c r="D37" s="200" t="s">
        <v>86</v>
      </c>
      <c r="E37" s="201"/>
      <c r="F37" s="331" t="s">
        <v>683</v>
      </c>
      <c r="G37" s="332"/>
      <c r="H37" s="326" t="s">
        <v>173</v>
      </c>
      <c r="I37" s="327"/>
      <c r="J37" s="333" t="s">
        <v>809</v>
      </c>
      <c r="K37" s="333"/>
      <c r="L37" s="334"/>
      <c r="M37" s="316" t="s">
        <v>169</v>
      </c>
      <c r="N37" s="330"/>
      <c r="O37" s="333" t="s">
        <v>895</v>
      </c>
      <c r="P37" s="333"/>
      <c r="Q37" s="334"/>
      <c r="R37" s="367" t="s">
        <v>169</v>
      </c>
      <c r="S37" s="330"/>
      <c r="T37" s="194" t="s">
        <v>994</v>
      </c>
      <c r="U37" s="377">
        <v>0</v>
      </c>
      <c r="V37" s="179" t="s">
        <v>160</v>
      </c>
      <c r="W37" s="186"/>
      <c r="X37" s="163"/>
      <c r="Y37" s="197" t="s">
        <v>113</v>
      </c>
      <c r="Z37" s="197" t="s">
        <v>110</v>
      </c>
      <c r="AA37" s="197" t="s">
        <v>558</v>
      </c>
      <c r="AB37" s="197" t="s">
        <v>183</v>
      </c>
      <c r="AC37" s="197" t="s">
        <v>183</v>
      </c>
      <c r="AD37" s="198" t="s">
        <v>458</v>
      </c>
      <c r="AE37" s="161" t="s">
        <v>593</v>
      </c>
      <c r="AF37" s="302" t="s">
        <v>556</v>
      </c>
    </row>
    <row r="38" spans="1:32" ht="90" customHeight="1" thickBot="1">
      <c r="A38" s="311" t="s">
        <v>135</v>
      </c>
      <c r="B38" s="198" t="s">
        <v>91</v>
      </c>
      <c r="C38" s="199" t="s">
        <v>316</v>
      </c>
      <c r="D38" s="200" t="s">
        <v>86</v>
      </c>
      <c r="E38" s="201"/>
      <c r="F38" s="331" t="s">
        <v>683</v>
      </c>
      <c r="G38" s="332"/>
      <c r="H38" s="326" t="s">
        <v>173</v>
      </c>
      <c r="I38" s="327"/>
      <c r="J38" s="333" t="s">
        <v>809</v>
      </c>
      <c r="K38" s="333"/>
      <c r="L38" s="334"/>
      <c r="M38" s="316" t="s">
        <v>169</v>
      </c>
      <c r="N38" s="330"/>
      <c r="O38" s="333" t="s">
        <v>896</v>
      </c>
      <c r="P38" s="333"/>
      <c r="Q38" s="334"/>
      <c r="R38" s="367" t="s">
        <v>169</v>
      </c>
      <c r="S38" s="330"/>
      <c r="T38" s="194" t="s">
        <v>995</v>
      </c>
      <c r="U38" s="377">
        <v>0</v>
      </c>
      <c r="V38" s="179" t="s">
        <v>160</v>
      </c>
      <c r="W38" s="186"/>
      <c r="X38" s="163"/>
      <c r="Y38" s="197" t="s">
        <v>113</v>
      </c>
      <c r="Z38" s="197" t="s">
        <v>110</v>
      </c>
      <c r="AA38" s="197" t="s">
        <v>558</v>
      </c>
      <c r="AB38" s="197" t="s">
        <v>183</v>
      </c>
      <c r="AC38" s="197" t="s">
        <v>183</v>
      </c>
      <c r="AD38" s="198" t="s">
        <v>459</v>
      </c>
      <c r="AE38" s="161" t="s">
        <v>594</v>
      </c>
      <c r="AF38" s="302" t="s">
        <v>556</v>
      </c>
    </row>
    <row r="39" spans="1:32" ht="90" customHeight="1" thickBot="1">
      <c r="A39" s="311" t="s">
        <v>135</v>
      </c>
      <c r="B39" s="198" t="s">
        <v>92</v>
      </c>
      <c r="C39" s="199" t="s">
        <v>317</v>
      </c>
      <c r="D39" s="200" t="s">
        <v>86</v>
      </c>
      <c r="E39" s="201"/>
      <c r="F39" s="335" t="s">
        <v>683</v>
      </c>
      <c r="G39" s="336"/>
      <c r="H39" s="326" t="s">
        <v>173</v>
      </c>
      <c r="I39" s="327"/>
      <c r="J39" s="337" t="s">
        <v>809</v>
      </c>
      <c r="K39" s="337"/>
      <c r="L39" s="338"/>
      <c r="M39" s="316" t="s">
        <v>169</v>
      </c>
      <c r="N39" s="330"/>
      <c r="O39" s="337" t="s">
        <v>895</v>
      </c>
      <c r="P39" s="337"/>
      <c r="Q39" s="338"/>
      <c r="R39" s="367" t="s">
        <v>169</v>
      </c>
      <c r="S39" s="330"/>
      <c r="T39" s="195" t="s">
        <v>995</v>
      </c>
      <c r="U39" s="377">
        <v>0</v>
      </c>
      <c r="V39" s="179" t="s">
        <v>160</v>
      </c>
      <c r="W39" s="186"/>
      <c r="X39" s="163"/>
      <c r="Y39" s="197" t="s">
        <v>113</v>
      </c>
      <c r="Z39" s="197" t="s">
        <v>110</v>
      </c>
      <c r="AA39" s="197" t="s">
        <v>558</v>
      </c>
      <c r="AB39" s="197" t="s">
        <v>183</v>
      </c>
      <c r="AC39" s="197" t="s">
        <v>183</v>
      </c>
      <c r="AD39" s="198" t="s">
        <v>460</v>
      </c>
      <c r="AE39" s="161" t="s">
        <v>595</v>
      </c>
      <c r="AF39" s="302" t="s">
        <v>556</v>
      </c>
    </row>
    <row r="40" spans="1:32" ht="90" customHeight="1" thickBot="1">
      <c r="A40" s="311" t="s">
        <v>135</v>
      </c>
      <c r="B40" s="198" t="s">
        <v>94</v>
      </c>
      <c r="C40" s="199" t="s">
        <v>318</v>
      </c>
      <c r="D40" s="200" t="s">
        <v>86</v>
      </c>
      <c r="E40" s="201"/>
      <c r="F40" s="335" t="s">
        <v>683</v>
      </c>
      <c r="G40" s="336"/>
      <c r="H40" s="326" t="s">
        <v>173</v>
      </c>
      <c r="I40" s="327"/>
      <c r="J40" s="337" t="s">
        <v>809</v>
      </c>
      <c r="K40" s="337"/>
      <c r="L40" s="338"/>
      <c r="M40" s="316" t="s">
        <v>169</v>
      </c>
      <c r="N40" s="330"/>
      <c r="O40" s="337" t="s">
        <v>895</v>
      </c>
      <c r="P40" s="337"/>
      <c r="Q40" s="338"/>
      <c r="R40" s="367" t="s">
        <v>169</v>
      </c>
      <c r="S40" s="330"/>
      <c r="T40" s="195" t="s">
        <v>995</v>
      </c>
      <c r="U40" s="377">
        <v>0</v>
      </c>
      <c r="V40" s="179" t="s">
        <v>160</v>
      </c>
      <c r="W40" s="186"/>
      <c r="X40" s="163"/>
      <c r="Y40" s="197" t="s">
        <v>113</v>
      </c>
      <c r="Z40" s="197" t="s">
        <v>110</v>
      </c>
      <c r="AA40" s="197" t="s">
        <v>558</v>
      </c>
      <c r="AB40" s="197" t="s">
        <v>183</v>
      </c>
      <c r="AC40" s="197" t="s">
        <v>183</v>
      </c>
      <c r="AD40" s="198" t="s">
        <v>461</v>
      </c>
      <c r="AE40" s="161" t="s">
        <v>596</v>
      </c>
      <c r="AF40" s="302" t="s">
        <v>556</v>
      </c>
    </row>
    <row r="41" spans="1:32" ht="90" customHeight="1" thickBot="1">
      <c r="A41" s="311" t="s">
        <v>135</v>
      </c>
      <c r="B41" s="198" t="s">
        <v>97</v>
      </c>
      <c r="C41" s="199" t="s">
        <v>319</v>
      </c>
      <c r="D41" s="200" t="s">
        <v>320</v>
      </c>
      <c r="E41" s="201"/>
      <c r="F41" s="336" t="s">
        <v>712</v>
      </c>
      <c r="G41" s="336"/>
      <c r="H41" s="326" t="s">
        <v>169</v>
      </c>
      <c r="I41" s="327"/>
      <c r="J41" s="337" t="s">
        <v>814</v>
      </c>
      <c r="K41" s="333" t="s">
        <v>816</v>
      </c>
      <c r="L41" s="338" t="s">
        <v>818</v>
      </c>
      <c r="M41" s="316" t="s">
        <v>169</v>
      </c>
      <c r="N41" s="330"/>
      <c r="O41" s="337" t="s">
        <v>899</v>
      </c>
      <c r="P41" s="337"/>
      <c r="Q41" s="338" t="s">
        <v>901</v>
      </c>
      <c r="R41" s="367" t="s">
        <v>169</v>
      </c>
      <c r="S41" s="330"/>
      <c r="T41" s="184" t="s">
        <v>1005</v>
      </c>
      <c r="U41" s="378" t="s">
        <v>1006</v>
      </c>
      <c r="V41" s="179" t="s">
        <v>160</v>
      </c>
      <c r="W41" s="186"/>
      <c r="X41" s="163"/>
      <c r="Y41" s="197" t="s">
        <v>113</v>
      </c>
      <c r="Z41" s="197" t="s">
        <v>110</v>
      </c>
      <c r="AA41" s="197" t="s">
        <v>558</v>
      </c>
      <c r="AB41" s="197" t="s">
        <v>183</v>
      </c>
      <c r="AC41" s="197" t="s">
        <v>183</v>
      </c>
      <c r="AD41" s="198" t="s">
        <v>462</v>
      </c>
      <c r="AE41" s="161" t="s">
        <v>597</v>
      </c>
      <c r="AF41" s="302" t="s">
        <v>556</v>
      </c>
    </row>
    <row r="42" spans="1:32" ht="90" customHeight="1" thickBot="1">
      <c r="A42" s="311" t="s">
        <v>135</v>
      </c>
      <c r="B42" s="198" t="s">
        <v>98</v>
      </c>
      <c r="C42" s="199" t="s">
        <v>321</v>
      </c>
      <c r="D42" s="200" t="s">
        <v>322</v>
      </c>
      <c r="E42" s="201"/>
      <c r="F42" s="332" t="s">
        <v>737</v>
      </c>
      <c r="G42" s="332"/>
      <c r="H42" s="326" t="s">
        <v>169</v>
      </c>
      <c r="I42" s="327"/>
      <c r="J42" s="339" t="s">
        <v>815</v>
      </c>
      <c r="K42" s="339" t="s">
        <v>817</v>
      </c>
      <c r="L42" s="334" t="s">
        <v>819</v>
      </c>
      <c r="M42" s="316" t="s">
        <v>169</v>
      </c>
      <c r="N42" s="330"/>
      <c r="O42" s="339" t="s">
        <v>900</v>
      </c>
      <c r="P42" s="339" t="s">
        <v>970</v>
      </c>
      <c r="Q42" s="334" t="s">
        <v>902</v>
      </c>
      <c r="R42" s="367" t="s">
        <v>169</v>
      </c>
      <c r="S42" s="330"/>
      <c r="T42" s="195" t="s">
        <v>1007</v>
      </c>
      <c r="U42" s="196" t="s">
        <v>1008</v>
      </c>
      <c r="V42" s="179" t="s">
        <v>160</v>
      </c>
      <c r="W42" s="186"/>
      <c r="X42" s="163"/>
      <c r="Y42" s="197" t="s">
        <v>113</v>
      </c>
      <c r="Z42" s="197" t="s">
        <v>110</v>
      </c>
      <c r="AA42" s="197" t="s">
        <v>558</v>
      </c>
      <c r="AB42" s="197" t="s">
        <v>183</v>
      </c>
      <c r="AC42" s="197" t="s">
        <v>183</v>
      </c>
      <c r="AD42" s="198" t="s">
        <v>463</v>
      </c>
      <c r="AE42" s="161" t="s">
        <v>598</v>
      </c>
      <c r="AF42" s="302" t="s">
        <v>556</v>
      </c>
    </row>
    <row r="43" spans="1:32" ht="90" customHeight="1" thickBot="1">
      <c r="A43" s="311" t="s">
        <v>133</v>
      </c>
      <c r="B43" s="198" t="s">
        <v>99</v>
      </c>
      <c r="C43" s="199" t="s">
        <v>323</v>
      </c>
      <c r="D43" s="200" t="s">
        <v>324</v>
      </c>
      <c r="E43" s="201" t="s">
        <v>266</v>
      </c>
      <c r="F43" s="332"/>
      <c r="G43" s="332"/>
      <c r="H43" s="326" t="s">
        <v>173</v>
      </c>
      <c r="I43" s="340"/>
      <c r="J43" s="339"/>
      <c r="K43" s="339"/>
      <c r="L43" s="334"/>
      <c r="M43" s="316" t="s">
        <v>173</v>
      </c>
      <c r="N43" s="330"/>
      <c r="O43" s="339" t="s">
        <v>919</v>
      </c>
      <c r="P43" s="339"/>
      <c r="Q43" s="334"/>
      <c r="R43" s="367" t="s">
        <v>160</v>
      </c>
      <c r="S43" s="330"/>
      <c r="T43" s="339" t="s">
        <v>1040</v>
      </c>
      <c r="U43" s="196"/>
      <c r="V43" s="179" t="s">
        <v>160</v>
      </c>
      <c r="W43" s="186"/>
      <c r="X43" s="163"/>
      <c r="Y43" s="197" t="s">
        <v>115</v>
      </c>
      <c r="Z43" s="197" t="s">
        <v>417</v>
      </c>
      <c r="AA43" s="197" t="s">
        <v>558</v>
      </c>
      <c r="AB43" s="197" t="s">
        <v>938</v>
      </c>
      <c r="AC43" s="197" t="s">
        <v>215</v>
      </c>
      <c r="AD43" s="198" t="s">
        <v>464</v>
      </c>
      <c r="AE43" s="161" t="s">
        <v>599</v>
      </c>
      <c r="AF43" s="303"/>
    </row>
    <row r="44" spans="1:32" ht="90" customHeight="1" thickBot="1">
      <c r="A44" s="311" t="s">
        <v>133</v>
      </c>
      <c r="B44" s="198" t="s">
        <v>100</v>
      </c>
      <c r="C44" s="199" t="s">
        <v>323</v>
      </c>
      <c r="D44" s="200" t="s">
        <v>325</v>
      </c>
      <c r="E44" s="201" t="s">
        <v>262</v>
      </c>
      <c r="F44" s="332" t="s">
        <v>749</v>
      </c>
      <c r="G44" s="341"/>
      <c r="H44" s="341" t="s">
        <v>167</v>
      </c>
      <c r="I44" s="327"/>
      <c r="J44" s="358" t="s">
        <v>789</v>
      </c>
      <c r="K44" s="324" t="s">
        <v>788</v>
      </c>
      <c r="L44" s="324" t="s">
        <v>788</v>
      </c>
      <c r="M44" s="316" t="s">
        <v>167</v>
      </c>
      <c r="N44" s="342"/>
      <c r="O44" s="358" t="s">
        <v>789</v>
      </c>
      <c r="P44" s="343"/>
      <c r="Q44" s="344"/>
      <c r="R44" s="316" t="s">
        <v>167</v>
      </c>
      <c r="S44" s="345"/>
      <c r="T44" s="358" t="s">
        <v>1031</v>
      </c>
      <c r="U44" s="364"/>
      <c r="V44" s="179" t="s">
        <v>167</v>
      </c>
      <c r="W44" s="187"/>
      <c r="X44" s="163"/>
      <c r="Y44" s="197" t="s">
        <v>115</v>
      </c>
      <c r="Z44" s="197" t="s">
        <v>417</v>
      </c>
      <c r="AA44" s="197" t="s">
        <v>558</v>
      </c>
      <c r="AB44" s="197" t="s">
        <v>938</v>
      </c>
      <c r="AC44" s="197" t="s">
        <v>215</v>
      </c>
      <c r="AD44" s="198" t="s">
        <v>465</v>
      </c>
      <c r="AE44" s="161" t="s">
        <v>600</v>
      </c>
      <c r="AF44" s="302" t="s">
        <v>556</v>
      </c>
    </row>
    <row r="45" spans="1:32" ht="90" customHeight="1" thickBot="1">
      <c r="A45" s="311" t="s">
        <v>133</v>
      </c>
      <c r="B45" s="198" t="s">
        <v>101</v>
      </c>
      <c r="C45" s="199" t="s">
        <v>323</v>
      </c>
      <c r="D45" s="200" t="s">
        <v>326</v>
      </c>
      <c r="E45" s="201" t="s">
        <v>262</v>
      </c>
      <c r="F45" s="332" t="s">
        <v>749</v>
      </c>
      <c r="G45" s="341"/>
      <c r="H45" s="341" t="s">
        <v>167</v>
      </c>
      <c r="I45" s="327"/>
      <c r="J45" s="358" t="s">
        <v>789</v>
      </c>
      <c r="K45" s="324" t="s">
        <v>788</v>
      </c>
      <c r="L45" s="324" t="s">
        <v>788</v>
      </c>
      <c r="M45" s="316" t="s">
        <v>167</v>
      </c>
      <c r="N45" s="342"/>
      <c r="O45" s="358" t="s">
        <v>789</v>
      </c>
      <c r="P45" s="344"/>
      <c r="Q45" s="344"/>
      <c r="R45" s="371" t="s">
        <v>167</v>
      </c>
      <c r="S45" s="330"/>
      <c r="T45" s="358" t="s">
        <v>1031</v>
      </c>
      <c r="U45" s="379"/>
      <c r="V45" s="179" t="s">
        <v>167</v>
      </c>
      <c r="W45" s="380"/>
      <c r="X45" s="163"/>
      <c r="Y45" s="197" t="s">
        <v>115</v>
      </c>
      <c r="Z45" s="197" t="s">
        <v>417</v>
      </c>
      <c r="AA45" s="197" t="s">
        <v>558</v>
      </c>
      <c r="AB45" s="197" t="s">
        <v>938</v>
      </c>
      <c r="AC45" s="197" t="s">
        <v>215</v>
      </c>
      <c r="AD45" s="198" t="s">
        <v>466</v>
      </c>
      <c r="AE45" s="161" t="s">
        <v>601</v>
      </c>
      <c r="AF45" s="302" t="s">
        <v>556</v>
      </c>
    </row>
    <row r="46" spans="1:32" ht="90" customHeight="1" thickBot="1">
      <c r="A46" s="311" t="s">
        <v>133</v>
      </c>
      <c r="B46" s="198" t="s">
        <v>102</v>
      </c>
      <c r="C46" s="199" t="s">
        <v>327</v>
      </c>
      <c r="D46" s="200" t="s">
        <v>328</v>
      </c>
      <c r="E46" s="201" t="s">
        <v>262</v>
      </c>
      <c r="F46" s="332" t="s">
        <v>749</v>
      </c>
      <c r="G46" s="326"/>
      <c r="H46" s="341" t="s">
        <v>167</v>
      </c>
      <c r="I46" s="327"/>
      <c r="J46" s="358" t="s">
        <v>789</v>
      </c>
      <c r="K46" s="324" t="s">
        <v>788</v>
      </c>
      <c r="L46" s="324" t="s">
        <v>788</v>
      </c>
      <c r="M46" s="316" t="s">
        <v>167</v>
      </c>
      <c r="N46" s="345"/>
      <c r="O46" s="358" t="s">
        <v>789</v>
      </c>
      <c r="P46" s="372"/>
      <c r="Q46" s="373"/>
      <c r="R46" s="374" t="s">
        <v>167</v>
      </c>
      <c r="S46" s="345"/>
      <c r="T46" s="358" t="s">
        <v>1031</v>
      </c>
      <c r="U46" s="379"/>
      <c r="V46" s="179" t="s">
        <v>167</v>
      </c>
      <c r="W46" s="187"/>
      <c r="X46" s="163"/>
      <c r="Y46" s="197" t="s">
        <v>115</v>
      </c>
      <c r="Z46" s="197" t="s">
        <v>417</v>
      </c>
      <c r="AA46" s="197" t="s">
        <v>558</v>
      </c>
      <c r="AB46" s="197" t="s">
        <v>938</v>
      </c>
      <c r="AC46" s="197" t="s">
        <v>215</v>
      </c>
      <c r="AD46" s="198" t="s">
        <v>467</v>
      </c>
      <c r="AE46" s="161" t="s">
        <v>602</v>
      </c>
      <c r="AF46" s="302" t="s">
        <v>556</v>
      </c>
    </row>
    <row r="47" spans="1:32" ht="90" customHeight="1" thickBot="1">
      <c r="A47" s="311" t="s">
        <v>133</v>
      </c>
      <c r="B47" s="198" t="s">
        <v>103</v>
      </c>
      <c r="C47" s="199" t="s">
        <v>329</v>
      </c>
      <c r="D47" s="200" t="s">
        <v>330</v>
      </c>
      <c r="E47" s="201" t="s">
        <v>276</v>
      </c>
      <c r="F47" s="332" t="s">
        <v>738</v>
      </c>
      <c r="G47" s="332"/>
      <c r="H47" s="326" t="s">
        <v>169</v>
      </c>
      <c r="I47" s="327"/>
      <c r="J47" s="333" t="s">
        <v>825</v>
      </c>
      <c r="K47" s="333"/>
      <c r="L47" s="334"/>
      <c r="M47" s="316" t="s">
        <v>169</v>
      </c>
      <c r="N47" s="330"/>
      <c r="O47" s="333" t="s">
        <v>947</v>
      </c>
      <c r="P47" s="333"/>
      <c r="Q47" s="334"/>
      <c r="R47" s="367" t="s">
        <v>160</v>
      </c>
      <c r="S47" s="330"/>
      <c r="T47" s="333" t="s">
        <v>947</v>
      </c>
      <c r="U47" s="377"/>
      <c r="V47" s="179" t="s">
        <v>160</v>
      </c>
      <c r="W47" s="186"/>
      <c r="X47" s="163"/>
      <c r="Y47" s="197" t="s">
        <v>115</v>
      </c>
      <c r="Z47" s="197" t="s">
        <v>417</v>
      </c>
      <c r="AA47" s="197" t="s">
        <v>558</v>
      </c>
      <c r="AB47" s="197" t="s">
        <v>938</v>
      </c>
      <c r="AC47" s="197" t="s">
        <v>215</v>
      </c>
      <c r="AD47" s="198" t="s">
        <v>468</v>
      </c>
      <c r="AE47" s="161" t="s">
        <v>603</v>
      </c>
      <c r="AF47" s="303"/>
    </row>
    <row r="48" spans="1:32" ht="105.75" customHeight="1" thickBot="1">
      <c r="A48" s="311" t="s">
        <v>143</v>
      </c>
      <c r="B48" s="198" t="s">
        <v>104</v>
      </c>
      <c r="C48" s="199" t="s">
        <v>331</v>
      </c>
      <c r="D48" s="200" t="s">
        <v>332</v>
      </c>
      <c r="E48" s="201" t="s">
        <v>260</v>
      </c>
      <c r="F48" s="331" t="s">
        <v>689</v>
      </c>
      <c r="G48" s="332"/>
      <c r="H48" s="326" t="s">
        <v>169</v>
      </c>
      <c r="I48" s="327"/>
      <c r="J48" s="333" t="s">
        <v>834</v>
      </c>
      <c r="K48" s="333"/>
      <c r="L48" s="334"/>
      <c r="M48" s="316" t="s">
        <v>169</v>
      </c>
      <c r="N48" s="330"/>
      <c r="O48" s="333" t="s">
        <v>971</v>
      </c>
      <c r="P48" s="333"/>
      <c r="Q48" s="334"/>
      <c r="R48" s="367" t="s">
        <v>169</v>
      </c>
      <c r="S48" s="330"/>
      <c r="T48" s="195" t="s">
        <v>1046</v>
      </c>
      <c r="U48" s="377"/>
      <c r="V48" s="179" t="s">
        <v>160</v>
      </c>
      <c r="W48" s="186"/>
      <c r="X48" s="163"/>
      <c r="Y48" s="197" t="s">
        <v>115</v>
      </c>
      <c r="Z48" s="197" t="s">
        <v>142</v>
      </c>
      <c r="AA48" s="197" t="s">
        <v>558</v>
      </c>
      <c r="AB48" s="197" t="s">
        <v>939</v>
      </c>
      <c r="AC48" s="197" t="s">
        <v>182</v>
      </c>
      <c r="AD48" s="198" t="s">
        <v>469</v>
      </c>
      <c r="AE48" s="161" t="s">
        <v>604</v>
      </c>
      <c r="AF48" s="302" t="s">
        <v>556</v>
      </c>
    </row>
    <row r="49" spans="1:32" ht="148.5" customHeight="1" thickBot="1">
      <c r="A49" s="311" t="s">
        <v>423</v>
      </c>
      <c r="B49" s="198" t="s">
        <v>105</v>
      </c>
      <c r="C49" s="199" t="s">
        <v>333</v>
      </c>
      <c r="D49" s="200" t="s">
        <v>334</v>
      </c>
      <c r="E49" s="201" t="s">
        <v>260</v>
      </c>
      <c r="F49" s="312" t="s">
        <v>692</v>
      </c>
      <c r="G49" s="312"/>
      <c r="H49" s="312" t="s">
        <v>170</v>
      </c>
      <c r="I49" s="313" t="s">
        <v>693</v>
      </c>
      <c r="J49" s="318" t="s">
        <v>879</v>
      </c>
      <c r="K49" s="318"/>
      <c r="L49" s="319"/>
      <c r="M49" s="316" t="s">
        <v>170</v>
      </c>
      <c r="N49" s="320"/>
      <c r="O49" s="318" t="s">
        <v>887</v>
      </c>
      <c r="P49" s="318"/>
      <c r="Q49" s="319"/>
      <c r="R49" s="316" t="s">
        <v>169</v>
      </c>
      <c r="S49" s="320"/>
      <c r="T49" s="181" t="s">
        <v>1047</v>
      </c>
      <c r="U49" s="182"/>
      <c r="V49" s="179" t="s">
        <v>160</v>
      </c>
      <c r="W49" s="183"/>
      <c r="X49" s="160"/>
      <c r="Y49" s="197" t="s">
        <v>115</v>
      </c>
      <c r="Z49" s="197" t="s">
        <v>418</v>
      </c>
      <c r="AA49" s="197" t="s">
        <v>558</v>
      </c>
      <c r="AB49" s="197" t="s">
        <v>939</v>
      </c>
      <c r="AC49" s="197" t="s">
        <v>182</v>
      </c>
      <c r="AD49" s="198" t="s">
        <v>470</v>
      </c>
      <c r="AE49" s="161" t="s">
        <v>605</v>
      </c>
      <c r="AF49" s="302" t="s">
        <v>556</v>
      </c>
    </row>
    <row r="50" spans="1:32" ht="90" customHeight="1" thickBot="1">
      <c r="A50" s="311" t="s">
        <v>143</v>
      </c>
      <c r="B50" s="198" t="s">
        <v>106</v>
      </c>
      <c r="C50" s="199" t="s">
        <v>335</v>
      </c>
      <c r="D50" s="200" t="s">
        <v>336</v>
      </c>
      <c r="E50" s="306" t="s">
        <v>273</v>
      </c>
      <c r="F50" s="312" t="s">
        <v>750</v>
      </c>
      <c r="G50" s="312"/>
      <c r="H50" s="341" t="s">
        <v>167</v>
      </c>
      <c r="I50" s="313"/>
      <c r="J50" s="358" t="s">
        <v>789</v>
      </c>
      <c r="K50" s="324" t="s">
        <v>788</v>
      </c>
      <c r="L50" s="324" t="s">
        <v>788</v>
      </c>
      <c r="M50" s="316" t="s">
        <v>167</v>
      </c>
      <c r="N50" s="320"/>
      <c r="O50" s="358" t="s">
        <v>789</v>
      </c>
      <c r="P50" s="318"/>
      <c r="Q50" s="319"/>
      <c r="R50" s="366" t="s">
        <v>167</v>
      </c>
      <c r="S50" s="320"/>
      <c r="T50" s="358" t="s">
        <v>1031</v>
      </c>
      <c r="U50" s="182"/>
      <c r="V50" s="179" t="s">
        <v>167</v>
      </c>
      <c r="W50" s="183"/>
      <c r="X50" s="162"/>
      <c r="Y50" s="197" t="s">
        <v>115</v>
      </c>
      <c r="Z50" s="197" t="s">
        <v>142</v>
      </c>
      <c r="AA50" s="197" t="s">
        <v>558</v>
      </c>
      <c r="AB50" s="197" t="s">
        <v>939</v>
      </c>
      <c r="AC50" s="197" t="s">
        <v>182</v>
      </c>
      <c r="AD50" s="198" t="s">
        <v>471</v>
      </c>
      <c r="AE50" s="161" t="s">
        <v>606</v>
      </c>
      <c r="AF50" s="302" t="s">
        <v>556</v>
      </c>
    </row>
    <row r="51" spans="1:32" ht="90" customHeight="1" thickBot="1">
      <c r="A51" s="311" t="s">
        <v>143</v>
      </c>
      <c r="B51" s="198" t="s">
        <v>107</v>
      </c>
      <c r="C51" s="199" t="s">
        <v>335</v>
      </c>
      <c r="D51" s="200" t="s">
        <v>337</v>
      </c>
      <c r="E51" s="201" t="s">
        <v>338</v>
      </c>
      <c r="F51" s="312" t="s">
        <v>686</v>
      </c>
      <c r="G51" s="312"/>
      <c r="H51" s="312" t="s">
        <v>169</v>
      </c>
      <c r="I51" s="313"/>
      <c r="J51" s="318" t="s">
        <v>833</v>
      </c>
      <c r="K51" s="318"/>
      <c r="L51" s="319"/>
      <c r="M51" s="316" t="s">
        <v>169</v>
      </c>
      <c r="N51" s="320"/>
      <c r="O51" s="318" t="s">
        <v>922</v>
      </c>
      <c r="P51" s="318"/>
      <c r="Q51" s="319"/>
      <c r="R51" s="366" t="s">
        <v>160</v>
      </c>
      <c r="S51" s="320"/>
      <c r="T51" s="181" t="s">
        <v>999</v>
      </c>
      <c r="U51" s="182"/>
      <c r="V51" s="179" t="s">
        <v>160</v>
      </c>
      <c r="W51" s="183"/>
      <c r="X51" s="162"/>
      <c r="Y51" s="197" t="s">
        <v>115</v>
      </c>
      <c r="Z51" s="197" t="s">
        <v>142</v>
      </c>
      <c r="AA51" s="197" t="s">
        <v>558</v>
      </c>
      <c r="AB51" s="197" t="s">
        <v>939</v>
      </c>
      <c r="AC51" s="197" t="s">
        <v>182</v>
      </c>
      <c r="AD51" s="198" t="s">
        <v>472</v>
      </c>
      <c r="AE51" s="161" t="s">
        <v>607</v>
      </c>
      <c r="AF51" s="302" t="s">
        <v>556</v>
      </c>
    </row>
    <row r="52" spans="1:32" ht="90" customHeight="1" thickBot="1">
      <c r="A52" s="311" t="s">
        <v>143</v>
      </c>
      <c r="B52" s="198" t="s">
        <v>108</v>
      </c>
      <c r="C52" s="199" t="s">
        <v>339</v>
      </c>
      <c r="D52" s="200" t="s">
        <v>340</v>
      </c>
      <c r="E52" s="201" t="s">
        <v>260</v>
      </c>
      <c r="F52" s="326" t="s">
        <v>687</v>
      </c>
      <c r="G52" s="326"/>
      <c r="H52" s="326" t="s">
        <v>169</v>
      </c>
      <c r="I52" s="327"/>
      <c r="J52" s="328" t="s">
        <v>867</v>
      </c>
      <c r="K52" s="328"/>
      <c r="L52" s="329"/>
      <c r="M52" s="316" t="s">
        <v>173</v>
      </c>
      <c r="N52" s="330"/>
      <c r="O52" s="328" t="s">
        <v>948</v>
      </c>
      <c r="P52" s="328"/>
      <c r="Q52" s="329"/>
      <c r="R52" s="367" t="s">
        <v>169</v>
      </c>
      <c r="S52" s="330"/>
      <c r="T52" s="184" t="s">
        <v>1000</v>
      </c>
      <c r="U52" s="185"/>
      <c r="V52" s="179" t="s">
        <v>163</v>
      </c>
      <c r="W52" s="186"/>
      <c r="X52" s="163"/>
      <c r="Y52" s="197" t="s">
        <v>115</v>
      </c>
      <c r="Z52" s="197" t="s">
        <v>142</v>
      </c>
      <c r="AA52" s="197" t="s">
        <v>558</v>
      </c>
      <c r="AB52" s="197" t="s">
        <v>939</v>
      </c>
      <c r="AC52" s="197" t="s">
        <v>182</v>
      </c>
      <c r="AD52" s="198" t="s">
        <v>473</v>
      </c>
      <c r="AE52" s="161" t="s">
        <v>608</v>
      </c>
      <c r="AF52" s="302" t="s">
        <v>556</v>
      </c>
    </row>
    <row r="53" spans="1:32" ht="90" customHeight="1" thickBot="1">
      <c r="A53" s="311" t="s">
        <v>143</v>
      </c>
      <c r="B53" s="198" t="s">
        <v>341</v>
      </c>
      <c r="C53" s="199" t="s">
        <v>342</v>
      </c>
      <c r="D53" s="200" t="s">
        <v>343</v>
      </c>
      <c r="E53" s="201" t="s">
        <v>266</v>
      </c>
      <c r="F53" s="312" t="s">
        <v>686</v>
      </c>
      <c r="G53" s="312"/>
      <c r="H53" s="312" t="s">
        <v>169</v>
      </c>
      <c r="I53" s="313"/>
      <c r="J53" s="315" t="s">
        <v>835</v>
      </c>
      <c r="K53" s="314"/>
      <c r="L53" s="315"/>
      <c r="M53" s="316" t="s">
        <v>169</v>
      </c>
      <c r="N53" s="317"/>
      <c r="O53" s="314" t="s">
        <v>921</v>
      </c>
      <c r="P53" s="314"/>
      <c r="Q53" s="315"/>
      <c r="R53" s="316" t="s">
        <v>160</v>
      </c>
      <c r="S53" s="317"/>
      <c r="T53" s="177" t="s">
        <v>998</v>
      </c>
      <c r="U53" s="178"/>
      <c r="V53" s="179" t="s">
        <v>160</v>
      </c>
      <c r="W53" s="180"/>
      <c r="X53" s="160"/>
      <c r="Y53" s="197" t="s">
        <v>115</v>
      </c>
      <c r="Z53" s="197" t="s">
        <v>142</v>
      </c>
      <c r="AA53" s="197" t="s">
        <v>558</v>
      </c>
      <c r="AB53" s="197" t="s">
        <v>939</v>
      </c>
      <c r="AC53" s="197" t="s">
        <v>182</v>
      </c>
      <c r="AD53" s="198" t="s">
        <v>474</v>
      </c>
      <c r="AE53" s="161" t="s">
        <v>609</v>
      </c>
      <c r="AF53" s="302" t="s">
        <v>556</v>
      </c>
    </row>
    <row r="54" spans="1:32" ht="90" customHeight="1" thickBot="1">
      <c r="A54" s="311" t="s">
        <v>143</v>
      </c>
      <c r="B54" s="198" t="s">
        <v>344</v>
      </c>
      <c r="C54" s="199" t="s">
        <v>345</v>
      </c>
      <c r="D54" s="200" t="s">
        <v>346</v>
      </c>
      <c r="E54" s="307" t="s">
        <v>751</v>
      </c>
      <c r="F54" s="312" t="s">
        <v>688</v>
      </c>
      <c r="G54" s="312"/>
      <c r="H54" s="312" t="s">
        <v>169</v>
      </c>
      <c r="I54" s="313"/>
      <c r="J54" s="315" t="s">
        <v>836</v>
      </c>
      <c r="K54" s="314"/>
      <c r="L54" s="315"/>
      <c r="M54" s="316" t="s">
        <v>160</v>
      </c>
      <c r="N54" s="317"/>
      <c r="O54" s="314" t="s">
        <v>923</v>
      </c>
      <c r="P54" s="314"/>
      <c r="Q54" s="315"/>
      <c r="R54" s="316" t="s">
        <v>160</v>
      </c>
      <c r="S54" s="317"/>
      <c r="T54" s="177" t="s">
        <v>996</v>
      </c>
      <c r="U54" s="178"/>
      <c r="V54" s="179" t="s">
        <v>160</v>
      </c>
      <c r="W54" s="180"/>
      <c r="X54" s="160"/>
      <c r="Y54" s="197" t="s">
        <v>115</v>
      </c>
      <c r="Z54" s="197" t="s">
        <v>142</v>
      </c>
      <c r="AA54" s="197" t="s">
        <v>558</v>
      </c>
      <c r="AB54" s="197" t="s">
        <v>939</v>
      </c>
      <c r="AC54" s="197" t="s">
        <v>182</v>
      </c>
      <c r="AD54" s="198" t="s">
        <v>475</v>
      </c>
      <c r="AE54" s="161" t="s">
        <v>610</v>
      </c>
      <c r="AF54" s="302" t="s">
        <v>556</v>
      </c>
    </row>
    <row r="55" spans="1:32" ht="135.6" thickBot="1">
      <c r="A55" s="311" t="s">
        <v>143</v>
      </c>
      <c r="B55" s="198" t="s">
        <v>347</v>
      </c>
      <c r="C55" s="199" t="s">
        <v>348</v>
      </c>
      <c r="D55" s="200" t="s">
        <v>752</v>
      </c>
      <c r="E55" s="201" t="s">
        <v>260</v>
      </c>
      <c r="F55" s="312" t="s">
        <v>771</v>
      </c>
      <c r="G55" s="312"/>
      <c r="H55" s="312" t="s">
        <v>169</v>
      </c>
      <c r="I55" s="313"/>
      <c r="J55" s="318" t="s">
        <v>847</v>
      </c>
      <c r="K55" s="318"/>
      <c r="L55" s="319"/>
      <c r="M55" s="316" t="s">
        <v>169</v>
      </c>
      <c r="N55" s="320"/>
      <c r="O55" s="318" t="s">
        <v>972</v>
      </c>
      <c r="P55" s="318"/>
      <c r="Q55" s="319"/>
      <c r="R55" s="366" t="s">
        <v>169</v>
      </c>
      <c r="S55" s="320"/>
      <c r="T55" s="181" t="s">
        <v>997</v>
      </c>
      <c r="U55" s="182"/>
      <c r="V55" s="179" t="s">
        <v>160</v>
      </c>
      <c r="W55" s="183"/>
      <c r="X55" s="162"/>
      <c r="Y55" s="197" t="s">
        <v>115</v>
      </c>
      <c r="Z55" s="197" t="s">
        <v>142</v>
      </c>
      <c r="AA55" s="197" t="s">
        <v>558</v>
      </c>
      <c r="AB55" s="197" t="s">
        <v>939</v>
      </c>
      <c r="AC55" s="197" t="s">
        <v>182</v>
      </c>
      <c r="AD55" s="198" t="s">
        <v>476</v>
      </c>
      <c r="AE55" s="161" t="s">
        <v>611</v>
      </c>
      <c r="AF55" s="302" t="s">
        <v>556</v>
      </c>
    </row>
    <row r="56" spans="1:32" ht="90" customHeight="1" thickBot="1">
      <c r="A56" s="311" t="s">
        <v>127</v>
      </c>
      <c r="B56" s="198" t="s">
        <v>2</v>
      </c>
      <c r="C56" s="199" t="s">
        <v>349</v>
      </c>
      <c r="D56" s="200" t="s">
        <v>350</v>
      </c>
      <c r="E56" s="201" t="s">
        <v>753</v>
      </c>
      <c r="F56" s="312" t="s">
        <v>868</v>
      </c>
      <c r="G56" s="312"/>
      <c r="H56" s="312" t="s">
        <v>169</v>
      </c>
      <c r="I56" s="313"/>
      <c r="J56" s="318" t="s">
        <v>792</v>
      </c>
      <c r="K56" s="318"/>
      <c r="L56" s="319"/>
      <c r="M56" s="316" t="s">
        <v>169</v>
      </c>
      <c r="N56" s="320"/>
      <c r="O56" s="314" t="s">
        <v>890</v>
      </c>
      <c r="P56" s="314"/>
      <c r="Q56" s="319"/>
      <c r="R56" s="366" t="s">
        <v>160</v>
      </c>
      <c r="S56" s="320"/>
      <c r="T56" s="314" t="s">
        <v>1032</v>
      </c>
      <c r="U56" s="182"/>
      <c r="V56" s="179" t="s">
        <v>160</v>
      </c>
      <c r="W56" s="183"/>
      <c r="X56" s="160"/>
      <c r="Y56" s="197" t="s">
        <v>113</v>
      </c>
      <c r="Z56" s="197" t="s">
        <v>419</v>
      </c>
      <c r="AA56" s="197" t="s">
        <v>117</v>
      </c>
      <c r="AB56" s="197" t="s">
        <v>184</v>
      </c>
      <c r="AC56" s="197" t="s">
        <v>184</v>
      </c>
      <c r="AD56" s="198" t="s">
        <v>477</v>
      </c>
      <c r="AE56" s="161" t="s">
        <v>612</v>
      </c>
      <c r="AF56" s="302" t="s">
        <v>556</v>
      </c>
    </row>
    <row r="57" spans="1:32" ht="90" customHeight="1" thickBot="1">
      <c r="A57" s="311" t="s">
        <v>127</v>
      </c>
      <c r="B57" s="198" t="s">
        <v>4</v>
      </c>
      <c r="C57" s="199" t="s">
        <v>349</v>
      </c>
      <c r="D57" s="200" t="s">
        <v>351</v>
      </c>
      <c r="E57" s="201" t="s">
        <v>266</v>
      </c>
      <c r="F57" s="312"/>
      <c r="G57" s="312"/>
      <c r="H57" s="312" t="s">
        <v>173</v>
      </c>
      <c r="I57" s="322"/>
      <c r="J57" s="318"/>
      <c r="K57" s="318"/>
      <c r="L57" s="319"/>
      <c r="M57" s="316" t="s">
        <v>173</v>
      </c>
      <c r="N57" s="320"/>
      <c r="O57" s="318" t="s">
        <v>925</v>
      </c>
      <c r="P57" s="318"/>
      <c r="Q57" s="319"/>
      <c r="R57" s="316" t="s">
        <v>164</v>
      </c>
      <c r="S57" s="320"/>
      <c r="T57" s="181" t="s">
        <v>1041</v>
      </c>
      <c r="U57" s="182"/>
      <c r="V57" s="179" t="s">
        <v>164</v>
      </c>
      <c r="W57" s="183"/>
      <c r="X57" s="162"/>
      <c r="Y57" s="197" t="s">
        <v>113</v>
      </c>
      <c r="Z57" s="197" t="s">
        <v>419</v>
      </c>
      <c r="AA57" s="197" t="s">
        <v>117</v>
      </c>
      <c r="AB57" s="197" t="s">
        <v>184</v>
      </c>
      <c r="AC57" s="197" t="s">
        <v>184</v>
      </c>
      <c r="AD57" s="198" t="s">
        <v>478</v>
      </c>
      <c r="AE57" s="161" t="s">
        <v>613</v>
      </c>
      <c r="AF57" s="303"/>
    </row>
    <row r="58" spans="1:32" ht="90" customHeight="1" thickBot="1">
      <c r="A58" s="311" t="s">
        <v>127</v>
      </c>
      <c r="B58" s="198" t="s">
        <v>6</v>
      </c>
      <c r="C58" s="199" t="s">
        <v>349</v>
      </c>
      <c r="D58" s="200" t="s">
        <v>352</v>
      </c>
      <c r="E58" s="201" t="s">
        <v>260</v>
      </c>
      <c r="F58" s="312"/>
      <c r="G58" s="312"/>
      <c r="H58" s="312" t="s">
        <v>173</v>
      </c>
      <c r="I58" s="313"/>
      <c r="J58" s="318"/>
      <c r="K58" s="318"/>
      <c r="L58" s="319"/>
      <c r="M58" s="316" t="s">
        <v>173</v>
      </c>
      <c r="N58" s="320"/>
      <c r="O58" s="318" t="s">
        <v>976</v>
      </c>
      <c r="P58" s="318"/>
      <c r="Q58" s="319"/>
      <c r="R58" s="316" t="s">
        <v>173</v>
      </c>
      <c r="S58" s="320"/>
      <c r="T58" s="181" t="s">
        <v>1014</v>
      </c>
      <c r="U58" s="182"/>
      <c r="V58" s="179" t="s">
        <v>167</v>
      </c>
      <c r="W58" s="183"/>
      <c r="X58" s="162"/>
      <c r="Y58" s="197" t="s">
        <v>113</v>
      </c>
      <c r="Z58" s="197" t="s">
        <v>419</v>
      </c>
      <c r="AA58" s="197" t="s">
        <v>117</v>
      </c>
      <c r="AB58" s="197" t="s">
        <v>184</v>
      </c>
      <c r="AC58" s="197" t="s">
        <v>184</v>
      </c>
      <c r="AD58" s="198" t="s">
        <v>479</v>
      </c>
      <c r="AE58" s="161" t="s">
        <v>614</v>
      </c>
      <c r="AF58" s="303"/>
    </row>
    <row r="59" spans="1:32" ht="90" customHeight="1" thickBot="1">
      <c r="A59" s="311" t="s">
        <v>127</v>
      </c>
      <c r="B59" s="198" t="s">
        <v>8</v>
      </c>
      <c r="C59" s="199" t="s">
        <v>349</v>
      </c>
      <c r="D59" s="200" t="s">
        <v>353</v>
      </c>
      <c r="E59" s="201" t="s">
        <v>260</v>
      </c>
      <c r="F59" s="312"/>
      <c r="G59" s="312"/>
      <c r="H59" s="312" t="s">
        <v>173</v>
      </c>
      <c r="I59" s="313"/>
      <c r="J59" s="318"/>
      <c r="K59" s="318"/>
      <c r="L59" s="319"/>
      <c r="M59" s="316" t="s">
        <v>173</v>
      </c>
      <c r="N59" s="320"/>
      <c r="O59" s="318" t="s">
        <v>924</v>
      </c>
      <c r="P59" s="318"/>
      <c r="Q59" s="319"/>
      <c r="R59" s="366" t="s">
        <v>173</v>
      </c>
      <c r="S59" s="320"/>
      <c r="T59" s="181" t="s">
        <v>1014</v>
      </c>
      <c r="U59" s="182"/>
      <c r="V59" s="179" t="s">
        <v>167</v>
      </c>
      <c r="W59" s="183"/>
      <c r="X59" s="162"/>
      <c r="Y59" s="197" t="s">
        <v>113</v>
      </c>
      <c r="Z59" s="197" t="s">
        <v>419</v>
      </c>
      <c r="AA59" s="197" t="s">
        <v>117</v>
      </c>
      <c r="AB59" s="197" t="s">
        <v>184</v>
      </c>
      <c r="AC59" s="197" t="s">
        <v>184</v>
      </c>
      <c r="AD59" s="198" t="s">
        <v>480</v>
      </c>
      <c r="AE59" s="161" t="s">
        <v>615</v>
      </c>
      <c r="AF59" s="303"/>
    </row>
    <row r="60" spans="1:32" ht="90" customHeight="1" thickBot="1">
      <c r="A60" s="311" t="s">
        <v>127</v>
      </c>
      <c r="B60" s="198" t="s">
        <v>11</v>
      </c>
      <c r="C60" s="199" t="s">
        <v>349</v>
      </c>
      <c r="D60" s="200" t="s">
        <v>354</v>
      </c>
      <c r="E60" s="201" t="s">
        <v>276</v>
      </c>
      <c r="F60" s="312" t="s">
        <v>668</v>
      </c>
      <c r="G60" s="312"/>
      <c r="H60" s="312" t="s">
        <v>169</v>
      </c>
      <c r="I60" s="313"/>
      <c r="J60" s="318" t="s">
        <v>793</v>
      </c>
      <c r="K60" s="318"/>
      <c r="L60" s="319"/>
      <c r="M60" s="316" t="s">
        <v>160</v>
      </c>
      <c r="N60" s="320"/>
      <c r="O60" s="318"/>
      <c r="P60" s="318"/>
      <c r="Q60" s="319"/>
      <c r="R60" s="366" t="s">
        <v>160</v>
      </c>
      <c r="S60" s="320"/>
      <c r="T60" s="318" t="s">
        <v>793</v>
      </c>
      <c r="U60" s="182"/>
      <c r="V60" s="179" t="s">
        <v>160</v>
      </c>
      <c r="W60" s="183"/>
      <c r="X60" s="160"/>
      <c r="Y60" s="197" t="s">
        <v>113</v>
      </c>
      <c r="Z60" s="197" t="s">
        <v>419</v>
      </c>
      <c r="AA60" s="197" t="s">
        <v>117</v>
      </c>
      <c r="AB60" s="197" t="s">
        <v>184</v>
      </c>
      <c r="AC60" s="197" t="s">
        <v>184</v>
      </c>
      <c r="AD60" s="198" t="s">
        <v>481</v>
      </c>
      <c r="AE60" s="161" t="s">
        <v>616</v>
      </c>
      <c r="AF60" s="303"/>
    </row>
    <row r="61" spans="1:32" ht="135" customHeight="1" thickBot="1">
      <c r="A61" s="311" t="s">
        <v>130</v>
      </c>
      <c r="B61" s="198" t="s">
        <v>12</v>
      </c>
      <c r="C61" s="199" t="s">
        <v>349</v>
      </c>
      <c r="D61" s="200" t="s">
        <v>355</v>
      </c>
      <c r="E61" s="201" t="s">
        <v>356</v>
      </c>
      <c r="F61" s="312" t="s">
        <v>780</v>
      </c>
      <c r="G61" s="312"/>
      <c r="H61" s="312" t="s">
        <v>164</v>
      </c>
      <c r="I61" s="313"/>
      <c r="J61" s="318" t="s">
        <v>869</v>
      </c>
      <c r="K61" s="318"/>
      <c r="L61" s="319"/>
      <c r="M61" s="316" t="s">
        <v>171</v>
      </c>
      <c r="N61" s="320"/>
      <c r="O61" s="318"/>
      <c r="P61" s="318"/>
      <c r="Q61" s="319"/>
      <c r="R61" s="366" t="s">
        <v>171</v>
      </c>
      <c r="S61" s="320"/>
      <c r="T61" s="181" t="s">
        <v>978</v>
      </c>
      <c r="U61" s="182"/>
      <c r="V61" s="179" t="s">
        <v>165</v>
      </c>
      <c r="W61" s="183"/>
      <c r="X61" s="160"/>
      <c r="Y61" s="197" t="s">
        <v>113</v>
      </c>
      <c r="Z61" s="197" t="s">
        <v>420</v>
      </c>
      <c r="AA61" s="197" t="s">
        <v>117</v>
      </c>
      <c r="AB61" s="197" t="s">
        <v>184</v>
      </c>
      <c r="AC61" s="197" t="s">
        <v>184</v>
      </c>
      <c r="AD61" s="198" t="s">
        <v>482</v>
      </c>
      <c r="AE61" s="161" t="s">
        <v>617</v>
      </c>
      <c r="AF61" s="302" t="s">
        <v>556</v>
      </c>
    </row>
    <row r="62" spans="1:32" ht="153.75" customHeight="1" thickBot="1">
      <c r="A62" s="311" t="s">
        <v>127</v>
      </c>
      <c r="B62" s="198" t="s">
        <v>13</v>
      </c>
      <c r="C62" s="199" t="s">
        <v>9</v>
      </c>
      <c r="D62" s="200" t="s">
        <v>10</v>
      </c>
      <c r="E62" s="201" t="s">
        <v>260</v>
      </c>
      <c r="F62" s="312" t="s">
        <v>669</v>
      </c>
      <c r="G62" s="312"/>
      <c r="H62" s="312" t="s">
        <v>169</v>
      </c>
      <c r="I62" s="313"/>
      <c r="J62" s="314" t="s">
        <v>795</v>
      </c>
      <c r="K62" s="314"/>
      <c r="L62" s="315"/>
      <c r="M62" s="316" t="s">
        <v>169</v>
      </c>
      <c r="N62" s="317"/>
      <c r="O62" s="314" t="s">
        <v>891</v>
      </c>
      <c r="P62" s="314"/>
      <c r="Q62" s="315"/>
      <c r="R62" s="316" t="s">
        <v>169</v>
      </c>
      <c r="S62" s="317"/>
      <c r="T62" s="177" t="s">
        <v>1012</v>
      </c>
      <c r="U62" s="178"/>
      <c r="V62" s="179" t="s">
        <v>160</v>
      </c>
      <c r="W62" s="180"/>
      <c r="X62" s="160"/>
      <c r="Y62" s="197" t="s">
        <v>113</v>
      </c>
      <c r="Z62" s="197" t="s">
        <v>419</v>
      </c>
      <c r="AA62" s="197" t="s">
        <v>117</v>
      </c>
      <c r="AB62" s="197" t="s">
        <v>184</v>
      </c>
      <c r="AC62" s="197" t="s">
        <v>184</v>
      </c>
      <c r="AD62" s="198" t="s">
        <v>483</v>
      </c>
      <c r="AE62" s="161" t="s">
        <v>618</v>
      </c>
      <c r="AF62" s="303"/>
    </row>
    <row r="63" spans="1:32" ht="90" customHeight="1" thickBot="1">
      <c r="A63" s="311" t="s">
        <v>127</v>
      </c>
      <c r="B63" s="198" t="s">
        <v>15</v>
      </c>
      <c r="C63" s="199" t="s">
        <v>357</v>
      </c>
      <c r="D63" s="200" t="s">
        <v>3</v>
      </c>
      <c r="E63" s="201" t="s">
        <v>358</v>
      </c>
      <c r="F63" s="312" t="s">
        <v>670</v>
      </c>
      <c r="G63" s="312"/>
      <c r="H63" s="312" t="s">
        <v>173</v>
      </c>
      <c r="I63" s="313"/>
      <c r="J63" s="318" t="s">
        <v>794</v>
      </c>
      <c r="K63" s="318"/>
      <c r="L63" s="319"/>
      <c r="M63" s="316" t="s">
        <v>169</v>
      </c>
      <c r="N63" s="320"/>
      <c r="O63" s="318" t="s">
        <v>949</v>
      </c>
      <c r="P63" s="318"/>
      <c r="Q63" s="319"/>
      <c r="R63" s="316" t="s">
        <v>169</v>
      </c>
      <c r="S63" s="320"/>
      <c r="T63" s="181" t="s">
        <v>1011</v>
      </c>
      <c r="U63" s="182"/>
      <c r="V63" s="179" t="s">
        <v>160</v>
      </c>
      <c r="W63" s="183"/>
      <c r="X63" s="160"/>
      <c r="Y63" s="197" t="s">
        <v>113</v>
      </c>
      <c r="Z63" s="197" t="s">
        <v>419</v>
      </c>
      <c r="AA63" s="197" t="s">
        <v>117</v>
      </c>
      <c r="AB63" s="197" t="s">
        <v>184</v>
      </c>
      <c r="AC63" s="197" t="s">
        <v>184</v>
      </c>
      <c r="AD63" s="198" t="s">
        <v>484</v>
      </c>
      <c r="AE63" s="161" t="s">
        <v>619</v>
      </c>
      <c r="AF63" s="303"/>
    </row>
    <row r="64" spans="1:32" ht="90" customHeight="1" thickBot="1">
      <c r="A64" s="311" t="s">
        <v>127</v>
      </c>
      <c r="B64" s="198" t="s">
        <v>16</v>
      </c>
      <c r="C64" s="199" t="s">
        <v>359</v>
      </c>
      <c r="D64" s="200" t="s">
        <v>5</v>
      </c>
      <c r="E64" s="201" t="s">
        <v>260</v>
      </c>
      <c r="F64" s="312" t="s">
        <v>754</v>
      </c>
      <c r="G64" s="312"/>
      <c r="H64" s="312" t="s">
        <v>168</v>
      </c>
      <c r="I64" s="313"/>
      <c r="J64" s="358" t="s">
        <v>790</v>
      </c>
      <c r="K64" s="324" t="s">
        <v>788</v>
      </c>
      <c r="L64" s="324" t="s">
        <v>788</v>
      </c>
      <c r="M64" s="316" t="s">
        <v>168</v>
      </c>
      <c r="N64" s="320"/>
      <c r="O64" s="318"/>
      <c r="P64" s="318"/>
      <c r="Q64" s="318"/>
      <c r="R64" s="366" t="s">
        <v>168</v>
      </c>
      <c r="S64" s="320"/>
      <c r="T64" s="358" t="s">
        <v>1033</v>
      </c>
      <c r="U64" s="182"/>
      <c r="V64" s="179" t="s">
        <v>168</v>
      </c>
      <c r="W64" s="183"/>
      <c r="X64" s="160"/>
      <c r="Y64" s="197" t="s">
        <v>113</v>
      </c>
      <c r="Z64" s="197" t="s">
        <v>419</v>
      </c>
      <c r="AA64" s="197" t="s">
        <v>117</v>
      </c>
      <c r="AB64" s="197" t="s">
        <v>184</v>
      </c>
      <c r="AC64" s="197" t="s">
        <v>184</v>
      </c>
      <c r="AD64" s="198" t="s">
        <v>485</v>
      </c>
      <c r="AE64" s="161" t="s">
        <v>620</v>
      </c>
      <c r="AF64" s="302" t="s">
        <v>556</v>
      </c>
    </row>
    <row r="65" spans="1:32" ht="90" customHeight="1" thickBot="1">
      <c r="A65" s="311" t="s">
        <v>127</v>
      </c>
      <c r="B65" s="198" t="s">
        <v>17</v>
      </c>
      <c r="C65" s="199" t="s">
        <v>7</v>
      </c>
      <c r="D65" s="200" t="s">
        <v>360</v>
      </c>
      <c r="E65" s="201" t="s">
        <v>767</v>
      </c>
      <c r="F65" s="321" t="s">
        <v>671</v>
      </c>
      <c r="G65" s="312"/>
      <c r="H65" s="312" t="s">
        <v>169</v>
      </c>
      <c r="I65" s="313"/>
      <c r="J65" s="314" t="s">
        <v>870</v>
      </c>
      <c r="K65" s="314"/>
      <c r="L65" s="315"/>
      <c r="M65" s="316" t="s">
        <v>169</v>
      </c>
      <c r="N65" s="317"/>
      <c r="O65" s="314" t="s">
        <v>973</v>
      </c>
      <c r="P65" s="314"/>
      <c r="Q65" s="315"/>
      <c r="R65" s="316" t="s">
        <v>160</v>
      </c>
      <c r="S65" s="317"/>
      <c r="T65" s="314" t="s">
        <v>973</v>
      </c>
      <c r="U65" s="178"/>
      <c r="V65" s="179" t="s">
        <v>160</v>
      </c>
      <c r="W65" s="180"/>
      <c r="X65" s="160"/>
      <c r="Y65" s="197" t="s">
        <v>113</v>
      </c>
      <c r="Z65" s="197" t="s">
        <v>419</v>
      </c>
      <c r="AA65" s="197" t="s">
        <v>117</v>
      </c>
      <c r="AB65" s="197" t="s">
        <v>184</v>
      </c>
      <c r="AC65" s="197" t="s">
        <v>184</v>
      </c>
      <c r="AD65" s="198" t="s">
        <v>486</v>
      </c>
      <c r="AE65" s="161" t="s">
        <v>621</v>
      </c>
      <c r="AF65" s="302" t="s">
        <v>556</v>
      </c>
    </row>
    <row r="66" spans="1:32" ht="90" customHeight="1" thickBot="1">
      <c r="A66" s="311" t="s">
        <v>126</v>
      </c>
      <c r="B66" s="198" t="s">
        <v>18</v>
      </c>
      <c r="C66" s="199" t="s">
        <v>361</v>
      </c>
      <c r="D66" s="200" t="s">
        <v>362</v>
      </c>
      <c r="E66" s="201" t="s">
        <v>356</v>
      </c>
      <c r="F66" s="321" t="s">
        <v>731</v>
      </c>
      <c r="G66" s="312"/>
      <c r="H66" s="312" t="s">
        <v>160</v>
      </c>
      <c r="I66" s="313"/>
      <c r="J66" s="318"/>
      <c r="K66" s="318"/>
      <c r="L66" s="319"/>
      <c r="M66" s="316" t="s">
        <v>160</v>
      </c>
      <c r="N66" s="320"/>
      <c r="O66" s="318"/>
      <c r="P66" s="318"/>
      <c r="Q66" s="319"/>
      <c r="R66" s="316" t="s">
        <v>160</v>
      </c>
      <c r="S66" s="320"/>
      <c r="T66" s="181"/>
      <c r="U66" s="182"/>
      <c r="V66" s="179" t="s">
        <v>160</v>
      </c>
      <c r="W66" s="183"/>
      <c r="X66" s="160"/>
      <c r="Y66" s="197" t="s">
        <v>113</v>
      </c>
      <c r="Z66" s="197" t="s">
        <v>125</v>
      </c>
      <c r="AA66" s="197" t="s">
        <v>117</v>
      </c>
      <c r="AB66" s="197" t="s">
        <v>184</v>
      </c>
      <c r="AC66" s="197" t="s">
        <v>184</v>
      </c>
      <c r="AD66" s="198" t="s">
        <v>487</v>
      </c>
      <c r="AE66" s="161" t="s">
        <v>622</v>
      </c>
      <c r="AF66" s="302" t="s">
        <v>556</v>
      </c>
    </row>
    <row r="67" spans="1:32" ht="114.75" customHeight="1" thickBot="1">
      <c r="A67" s="311" t="s">
        <v>126</v>
      </c>
      <c r="B67" s="198" t="s">
        <v>19</v>
      </c>
      <c r="C67" s="199" t="s">
        <v>363</v>
      </c>
      <c r="D67" s="200" t="s">
        <v>364</v>
      </c>
      <c r="E67" s="201" t="s">
        <v>356</v>
      </c>
      <c r="F67" s="312" t="s">
        <v>786</v>
      </c>
      <c r="G67" s="312"/>
      <c r="H67" s="312" t="s">
        <v>164</v>
      </c>
      <c r="I67" s="313"/>
      <c r="J67" s="318" t="s">
        <v>880</v>
      </c>
      <c r="K67" s="318"/>
      <c r="L67" s="319"/>
      <c r="M67" s="316" t="s">
        <v>164</v>
      </c>
      <c r="N67" s="320"/>
      <c r="O67" s="368" t="s">
        <v>977</v>
      </c>
      <c r="P67" s="318"/>
      <c r="Q67" s="319"/>
      <c r="R67" s="366" t="s">
        <v>164</v>
      </c>
      <c r="S67" s="320"/>
      <c r="T67" s="314" t="s">
        <v>1052</v>
      </c>
      <c r="U67" s="182"/>
      <c r="V67" s="179" t="s">
        <v>164</v>
      </c>
      <c r="W67" s="183"/>
      <c r="X67" s="160"/>
      <c r="Y67" s="197" t="s">
        <v>113</v>
      </c>
      <c r="Z67" s="197" t="s">
        <v>125</v>
      </c>
      <c r="AA67" s="197" t="s">
        <v>117</v>
      </c>
      <c r="AB67" s="197" t="s">
        <v>184</v>
      </c>
      <c r="AC67" s="197" t="s">
        <v>184</v>
      </c>
      <c r="AD67" s="198" t="s">
        <v>488</v>
      </c>
      <c r="AE67" s="161" t="s">
        <v>623</v>
      </c>
      <c r="AF67" s="302" t="s">
        <v>556</v>
      </c>
    </row>
    <row r="68" spans="1:32" ht="90" customHeight="1" thickBot="1">
      <c r="A68" s="311" t="s">
        <v>254</v>
      </c>
      <c r="B68" s="198" t="s">
        <v>20</v>
      </c>
      <c r="C68" s="199" t="s">
        <v>14</v>
      </c>
      <c r="D68" s="200" t="s">
        <v>365</v>
      </c>
      <c r="E68" s="201" t="s">
        <v>276</v>
      </c>
      <c r="F68" s="346" t="s">
        <v>755</v>
      </c>
      <c r="G68" s="347"/>
      <c r="H68" s="312" t="s">
        <v>169</v>
      </c>
      <c r="I68" s="313"/>
      <c r="J68" s="318" t="s">
        <v>837</v>
      </c>
      <c r="K68" s="348"/>
      <c r="L68" s="319"/>
      <c r="M68" s="316" t="s">
        <v>169</v>
      </c>
      <c r="N68" s="320"/>
      <c r="O68" s="318" t="s">
        <v>932</v>
      </c>
      <c r="P68" s="349"/>
      <c r="Q68" s="319"/>
      <c r="R68" s="366" t="s">
        <v>160</v>
      </c>
      <c r="S68" s="320"/>
      <c r="T68" s="181" t="s">
        <v>1021</v>
      </c>
      <c r="U68" s="381"/>
      <c r="V68" s="179" t="s">
        <v>160</v>
      </c>
      <c r="W68" s="183"/>
      <c r="X68" s="162"/>
      <c r="Y68" s="197" t="s">
        <v>113</v>
      </c>
      <c r="Z68" s="197" t="s">
        <v>420</v>
      </c>
      <c r="AA68" s="197" t="s">
        <v>117</v>
      </c>
      <c r="AB68" s="197" t="s">
        <v>184</v>
      </c>
      <c r="AC68" s="197" t="s">
        <v>184</v>
      </c>
      <c r="AD68" s="198" t="s">
        <v>489</v>
      </c>
      <c r="AE68" s="161" t="s">
        <v>624</v>
      </c>
      <c r="AF68" s="303"/>
    </row>
    <row r="69" spans="1:32" ht="90" customHeight="1" thickBot="1">
      <c r="A69" s="311" t="s">
        <v>254</v>
      </c>
      <c r="B69" s="198" t="s">
        <v>21</v>
      </c>
      <c r="C69" s="199" t="s">
        <v>14</v>
      </c>
      <c r="D69" s="200" t="s">
        <v>366</v>
      </c>
      <c r="E69" s="201" t="s">
        <v>260</v>
      </c>
      <c r="F69" s="346" t="s">
        <v>768</v>
      </c>
      <c r="G69" s="312"/>
      <c r="H69" s="312" t="s">
        <v>173</v>
      </c>
      <c r="I69" s="313"/>
      <c r="J69" s="318" t="s">
        <v>838</v>
      </c>
      <c r="K69" s="318"/>
      <c r="L69" s="319"/>
      <c r="M69" s="316" t="s">
        <v>173</v>
      </c>
      <c r="N69" s="320"/>
      <c r="O69" s="318" t="s">
        <v>889</v>
      </c>
      <c r="P69" s="318"/>
      <c r="Q69" s="319"/>
      <c r="R69" s="366" t="s">
        <v>169</v>
      </c>
      <c r="S69" s="320"/>
      <c r="T69" s="181"/>
      <c r="U69" s="193">
        <v>0.83</v>
      </c>
      <c r="V69" s="179" t="s">
        <v>160</v>
      </c>
      <c r="W69" s="183"/>
      <c r="X69" s="162"/>
      <c r="Y69" s="197" t="s">
        <v>113</v>
      </c>
      <c r="Z69" s="197" t="s">
        <v>420</v>
      </c>
      <c r="AA69" s="197" t="s">
        <v>117</v>
      </c>
      <c r="AB69" s="197" t="s">
        <v>184</v>
      </c>
      <c r="AC69" s="197" t="s">
        <v>184</v>
      </c>
      <c r="AD69" s="198" t="s">
        <v>490</v>
      </c>
      <c r="AE69" s="161" t="s">
        <v>625</v>
      </c>
      <c r="AF69" s="303"/>
    </row>
    <row r="70" spans="1:32" ht="130.5" customHeight="1" thickBot="1">
      <c r="A70" s="311" t="s">
        <v>254</v>
      </c>
      <c r="B70" s="198" t="s">
        <v>23</v>
      </c>
      <c r="C70" s="199" t="s">
        <v>14</v>
      </c>
      <c r="D70" s="200" t="s">
        <v>367</v>
      </c>
      <c r="E70" s="201" t="s">
        <v>260</v>
      </c>
      <c r="F70" s="326" t="s">
        <v>721</v>
      </c>
      <c r="G70" s="326"/>
      <c r="H70" s="326" t="s">
        <v>169</v>
      </c>
      <c r="I70" s="327"/>
      <c r="J70" s="328" t="s">
        <v>839</v>
      </c>
      <c r="K70" s="339"/>
      <c r="L70" s="329"/>
      <c r="M70" s="316" t="s">
        <v>169</v>
      </c>
      <c r="N70" s="330"/>
      <c r="O70" s="328" t="s">
        <v>888</v>
      </c>
      <c r="P70" s="339"/>
      <c r="Q70" s="329"/>
      <c r="R70" s="367" t="s">
        <v>169</v>
      </c>
      <c r="S70" s="330"/>
      <c r="T70" s="184" t="s">
        <v>1048</v>
      </c>
      <c r="U70" s="185"/>
      <c r="V70" s="179" t="s">
        <v>160</v>
      </c>
      <c r="W70" s="186"/>
      <c r="X70" s="163"/>
      <c r="Y70" s="197" t="s">
        <v>113</v>
      </c>
      <c r="Z70" s="197" t="s">
        <v>420</v>
      </c>
      <c r="AA70" s="197" t="s">
        <v>117</v>
      </c>
      <c r="AB70" s="197" t="s">
        <v>184</v>
      </c>
      <c r="AC70" s="197" t="s">
        <v>184</v>
      </c>
      <c r="AD70" s="198" t="s">
        <v>491</v>
      </c>
      <c r="AE70" s="161" t="s">
        <v>626</v>
      </c>
      <c r="AF70" s="303"/>
    </row>
    <row r="71" spans="1:32" ht="181.5" customHeight="1" thickBot="1">
      <c r="A71" s="311" t="s">
        <v>130</v>
      </c>
      <c r="B71" s="198" t="s">
        <v>25</v>
      </c>
      <c r="C71" s="199" t="s">
        <v>368</v>
      </c>
      <c r="D71" s="200" t="s">
        <v>369</v>
      </c>
      <c r="E71" s="201" t="s">
        <v>260</v>
      </c>
      <c r="F71" s="326"/>
      <c r="G71" s="326"/>
      <c r="H71" s="326" t="s">
        <v>173</v>
      </c>
      <c r="I71" s="327"/>
      <c r="J71" s="328" t="s">
        <v>845</v>
      </c>
      <c r="K71" s="339"/>
      <c r="L71" s="329"/>
      <c r="M71" s="316" t="s">
        <v>173</v>
      </c>
      <c r="N71" s="330"/>
      <c r="O71" s="328" t="s">
        <v>933</v>
      </c>
      <c r="P71" s="339"/>
      <c r="Q71" s="329"/>
      <c r="R71" s="367" t="s">
        <v>169</v>
      </c>
      <c r="S71" s="330"/>
      <c r="T71" s="184" t="s">
        <v>1049</v>
      </c>
      <c r="U71" s="185"/>
      <c r="V71" s="179" t="s">
        <v>160</v>
      </c>
      <c r="W71" s="186"/>
      <c r="X71" s="163"/>
      <c r="Y71" s="197" t="s">
        <v>113</v>
      </c>
      <c r="Z71" s="197" t="s">
        <v>421</v>
      </c>
      <c r="AA71" s="197" t="s">
        <v>117</v>
      </c>
      <c r="AB71" s="197" t="s">
        <v>184</v>
      </c>
      <c r="AC71" s="197" t="s">
        <v>184</v>
      </c>
      <c r="AD71" s="198" t="s">
        <v>492</v>
      </c>
      <c r="AE71" s="161" t="s">
        <v>627</v>
      </c>
      <c r="AF71" s="303"/>
    </row>
    <row r="72" spans="1:32" ht="90" customHeight="1" thickBot="1">
      <c r="A72" s="311" t="s">
        <v>130</v>
      </c>
      <c r="B72" s="198" t="s">
        <v>27</v>
      </c>
      <c r="C72" s="199" t="s">
        <v>370</v>
      </c>
      <c r="D72" s="200" t="s">
        <v>371</v>
      </c>
      <c r="E72" s="201" t="s">
        <v>276</v>
      </c>
      <c r="F72" s="326" t="s">
        <v>756</v>
      </c>
      <c r="G72" s="326"/>
      <c r="H72" s="326" t="s">
        <v>168</v>
      </c>
      <c r="I72" s="327"/>
      <c r="J72" s="358" t="s">
        <v>790</v>
      </c>
      <c r="K72" s="324" t="s">
        <v>788</v>
      </c>
      <c r="L72" s="324" t="s">
        <v>788</v>
      </c>
      <c r="M72" s="316" t="s">
        <v>168</v>
      </c>
      <c r="N72" s="330"/>
      <c r="O72" s="328"/>
      <c r="P72" s="339"/>
      <c r="Q72" s="329"/>
      <c r="R72" s="367" t="s">
        <v>168</v>
      </c>
      <c r="S72" s="330"/>
      <c r="T72" s="358" t="s">
        <v>1033</v>
      </c>
      <c r="U72" s="185"/>
      <c r="V72" s="179" t="s">
        <v>168</v>
      </c>
      <c r="W72" s="186"/>
      <c r="X72" s="163"/>
      <c r="Y72" s="197" t="s">
        <v>114</v>
      </c>
      <c r="Z72" s="197" t="s">
        <v>420</v>
      </c>
      <c r="AA72" s="197" t="s">
        <v>117</v>
      </c>
      <c r="AB72" s="197" t="s">
        <v>184</v>
      </c>
      <c r="AC72" s="197" t="s">
        <v>184</v>
      </c>
      <c r="AD72" s="198" t="s">
        <v>493</v>
      </c>
      <c r="AE72" s="161" t="s">
        <v>628</v>
      </c>
      <c r="AF72" s="302" t="s">
        <v>556</v>
      </c>
    </row>
    <row r="73" spans="1:32" ht="90" customHeight="1" thickBot="1">
      <c r="A73" s="311" t="s">
        <v>139</v>
      </c>
      <c r="B73" s="198" t="s">
        <v>542</v>
      </c>
      <c r="C73" s="199" t="s">
        <v>543</v>
      </c>
      <c r="D73" s="200" t="s">
        <v>546</v>
      </c>
      <c r="E73" s="201"/>
      <c r="F73" s="331">
        <v>0.28699999999999998</v>
      </c>
      <c r="G73" s="332">
        <v>0.98</v>
      </c>
      <c r="H73" s="312" t="s">
        <v>169</v>
      </c>
      <c r="I73" s="313" t="s">
        <v>704</v>
      </c>
      <c r="J73" s="362">
        <v>0.56620000000000004</v>
      </c>
      <c r="K73" s="362">
        <v>0.56620000000000004</v>
      </c>
      <c r="L73" s="324">
        <v>0.98</v>
      </c>
      <c r="M73" s="316" t="s">
        <v>170</v>
      </c>
      <c r="N73" s="320" t="s">
        <v>802</v>
      </c>
      <c r="O73" s="362">
        <v>0.83979999999999999</v>
      </c>
      <c r="P73" s="362">
        <v>0.83979999999999999</v>
      </c>
      <c r="Q73" s="324">
        <v>0.98</v>
      </c>
      <c r="R73" s="366" t="s">
        <v>169</v>
      </c>
      <c r="S73" s="320" t="s">
        <v>758</v>
      </c>
      <c r="T73" s="382">
        <v>0.96840000000000004</v>
      </c>
      <c r="U73" s="383">
        <v>0.98640000000000005</v>
      </c>
      <c r="V73" s="179" t="s">
        <v>160</v>
      </c>
      <c r="W73" s="385" t="s">
        <v>1051</v>
      </c>
      <c r="X73" s="160"/>
      <c r="Y73" s="197" t="s">
        <v>113</v>
      </c>
      <c r="Z73" s="197" t="s">
        <v>140</v>
      </c>
      <c r="AA73" s="197" t="s">
        <v>117</v>
      </c>
      <c r="AB73" s="197" t="s">
        <v>183</v>
      </c>
      <c r="AC73" s="197" t="s">
        <v>183</v>
      </c>
      <c r="AD73" s="198" t="s">
        <v>494</v>
      </c>
      <c r="AE73" s="161" t="s">
        <v>629</v>
      </c>
      <c r="AF73" s="302" t="s">
        <v>556</v>
      </c>
    </row>
    <row r="74" spans="1:32" ht="132" customHeight="1" thickBot="1">
      <c r="A74" s="311" t="s">
        <v>139</v>
      </c>
      <c r="B74" s="198" t="s">
        <v>541</v>
      </c>
      <c r="C74" s="199" t="s">
        <v>544</v>
      </c>
      <c r="D74" s="200" t="s">
        <v>545</v>
      </c>
      <c r="E74" s="201"/>
      <c r="F74" s="331">
        <v>0.25509999999999999</v>
      </c>
      <c r="G74" s="332">
        <v>0.99</v>
      </c>
      <c r="H74" s="312" t="s">
        <v>169</v>
      </c>
      <c r="I74" s="313" t="s">
        <v>703</v>
      </c>
      <c r="J74" s="362">
        <v>0.52690000000000003</v>
      </c>
      <c r="K74" s="362">
        <v>0.52690000000000003</v>
      </c>
      <c r="L74" s="324">
        <v>0.98</v>
      </c>
      <c r="M74" s="316" t="s">
        <v>169</v>
      </c>
      <c r="N74" s="320" t="s">
        <v>803</v>
      </c>
      <c r="O74" s="362" t="s">
        <v>950</v>
      </c>
      <c r="P74" s="362">
        <v>0.80969999999999998</v>
      </c>
      <c r="Q74" s="324">
        <v>0.96</v>
      </c>
      <c r="R74" s="366" t="s">
        <v>170</v>
      </c>
      <c r="S74" s="320"/>
      <c r="T74" s="382">
        <v>0.95089999999999997</v>
      </c>
      <c r="U74" s="383">
        <v>0.95089999999999997</v>
      </c>
      <c r="V74" s="179" t="s">
        <v>161</v>
      </c>
      <c r="W74" s="183" t="s">
        <v>1001</v>
      </c>
      <c r="X74" s="160"/>
      <c r="Y74" s="197" t="s">
        <v>113</v>
      </c>
      <c r="Z74" s="197" t="s">
        <v>140</v>
      </c>
      <c r="AA74" s="197" t="s">
        <v>117</v>
      </c>
      <c r="AB74" s="197" t="s">
        <v>183</v>
      </c>
      <c r="AC74" s="197" t="s">
        <v>183</v>
      </c>
      <c r="AD74" s="198" t="s">
        <v>494</v>
      </c>
      <c r="AE74" s="161" t="s">
        <v>630</v>
      </c>
      <c r="AF74" s="302" t="s">
        <v>556</v>
      </c>
    </row>
    <row r="75" spans="1:32" ht="147.75" customHeight="1" thickBot="1">
      <c r="A75" s="311" t="s">
        <v>139</v>
      </c>
      <c r="B75" s="198" t="s">
        <v>547</v>
      </c>
      <c r="C75" s="199" t="s">
        <v>372</v>
      </c>
      <c r="D75" s="200" t="s">
        <v>782</v>
      </c>
      <c r="E75" s="201"/>
      <c r="F75" s="335">
        <v>2220350.39</v>
      </c>
      <c r="G75" s="335">
        <v>2000000</v>
      </c>
      <c r="H75" s="312" t="s">
        <v>169</v>
      </c>
      <c r="I75" s="313" t="s">
        <v>757</v>
      </c>
      <c r="J75" s="363">
        <v>2220063.52</v>
      </c>
      <c r="K75" s="337">
        <v>2220063.52</v>
      </c>
      <c r="L75" s="338">
        <v>2500000</v>
      </c>
      <c r="M75" s="316" t="s">
        <v>169</v>
      </c>
      <c r="N75" s="317"/>
      <c r="O75" s="375" t="s">
        <v>951</v>
      </c>
      <c r="P75" s="375">
        <v>2190835</v>
      </c>
      <c r="Q75" s="338">
        <v>2100000</v>
      </c>
      <c r="R75" s="316" t="s">
        <v>169</v>
      </c>
      <c r="S75" s="317"/>
      <c r="T75" s="384">
        <v>2134290.88</v>
      </c>
      <c r="U75" s="384">
        <v>2134290.88</v>
      </c>
      <c r="V75" s="179" t="s">
        <v>160</v>
      </c>
      <c r="W75" s="180"/>
      <c r="X75" s="160"/>
      <c r="Y75" s="197" t="s">
        <v>113</v>
      </c>
      <c r="Z75" s="197" t="s">
        <v>140</v>
      </c>
      <c r="AA75" s="197" t="s">
        <v>117</v>
      </c>
      <c r="AB75" s="197" t="s">
        <v>183</v>
      </c>
      <c r="AC75" s="197" t="s">
        <v>183</v>
      </c>
      <c r="AD75" s="198" t="s">
        <v>495</v>
      </c>
      <c r="AE75" s="161" t="s">
        <v>631</v>
      </c>
      <c r="AF75" s="302" t="s">
        <v>556</v>
      </c>
    </row>
    <row r="76" spans="1:32" ht="128.25" customHeight="1" thickBot="1">
      <c r="A76" s="311" t="s">
        <v>139</v>
      </c>
      <c r="B76" s="198" t="s">
        <v>548</v>
      </c>
      <c r="C76" s="199" t="s">
        <v>372</v>
      </c>
      <c r="D76" s="200" t="s">
        <v>783</v>
      </c>
      <c r="E76" s="201"/>
      <c r="F76" s="335">
        <v>2155042.42</v>
      </c>
      <c r="G76" s="335">
        <v>2000000</v>
      </c>
      <c r="H76" s="312" t="s">
        <v>169</v>
      </c>
      <c r="I76" s="313" t="s">
        <v>757</v>
      </c>
      <c r="J76" s="363">
        <v>2434472.23</v>
      </c>
      <c r="K76" s="337">
        <v>2434472.23</v>
      </c>
      <c r="L76" s="338">
        <v>2000000</v>
      </c>
      <c r="M76" s="316" t="s">
        <v>169</v>
      </c>
      <c r="N76" s="317" t="s">
        <v>804</v>
      </c>
      <c r="O76" s="375" t="s">
        <v>952</v>
      </c>
      <c r="P76" s="375">
        <v>2140037</v>
      </c>
      <c r="Q76" s="338">
        <v>2000000</v>
      </c>
      <c r="R76" s="316" t="s">
        <v>169</v>
      </c>
      <c r="S76" s="317"/>
      <c r="T76" s="384">
        <v>1271987.3500000001</v>
      </c>
      <c r="U76" s="384">
        <v>1271987.3500000001</v>
      </c>
      <c r="V76" s="179" t="s">
        <v>160</v>
      </c>
      <c r="W76" s="180"/>
      <c r="X76" s="160"/>
      <c r="Y76" s="197" t="s">
        <v>113</v>
      </c>
      <c r="Z76" s="197" t="s">
        <v>140</v>
      </c>
      <c r="AA76" s="197" t="s">
        <v>117</v>
      </c>
      <c r="AB76" s="197" t="s">
        <v>183</v>
      </c>
      <c r="AC76" s="197" t="s">
        <v>183</v>
      </c>
      <c r="AD76" s="198" t="s">
        <v>495</v>
      </c>
      <c r="AE76" s="161" t="s">
        <v>632</v>
      </c>
      <c r="AF76" s="302" t="s">
        <v>556</v>
      </c>
    </row>
    <row r="77" spans="1:32" ht="90" customHeight="1" thickBot="1">
      <c r="A77" s="311" t="s">
        <v>139</v>
      </c>
      <c r="B77" s="198" t="s">
        <v>549</v>
      </c>
      <c r="C77" s="199" t="s">
        <v>372</v>
      </c>
      <c r="D77" s="200" t="s">
        <v>784</v>
      </c>
      <c r="E77" s="201"/>
      <c r="F77" s="336">
        <v>0</v>
      </c>
      <c r="G77" s="335">
        <v>40000</v>
      </c>
      <c r="H77" s="312" t="s">
        <v>169</v>
      </c>
      <c r="I77" s="313" t="s">
        <v>758</v>
      </c>
      <c r="J77" s="363">
        <v>34598.629999999997</v>
      </c>
      <c r="K77" s="337">
        <v>34598.629999999997</v>
      </c>
      <c r="L77" s="338">
        <v>80000</v>
      </c>
      <c r="M77" s="316" t="s">
        <v>169</v>
      </c>
      <c r="N77" s="317"/>
      <c r="O77" s="375" t="s">
        <v>953</v>
      </c>
      <c r="P77" s="375">
        <v>74606</v>
      </c>
      <c r="Q77" s="338">
        <v>80000</v>
      </c>
      <c r="R77" s="316" t="s">
        <v>169</v>
      </c>
      <c r="S77" s="317"/>
      <c r="T77" s="384">
        <v>83831.17</v>
      </c>
      <c r="U77" s="384">
        <v>83831.17</v>
      </c>
      <c r="V77" s="179" t="s">
        <v>161</v>
      </c>
      <c r="W77" s="180" t="s">
        <v>1053</v>
      </c>
      <c r="X77" s="160"/>
      <c r="Y77" s="197" t="s">
        <v>113</v>
      </c>
      <c r="Z77" s="197" t="s">
        <v>140</v>
      </c>
      <c r="AA77" s="197" t="s">
        <v>117</v>
      </c>
      <c r="AB77" s="197" t="s">
        <v>183</v>
      </c>
      <c r="AC77" s="197" t="s">
        <v>183</v>
      </c>
      <c r="AD77" s="198" t="s">
        <v>495</v>
      </c>
      <c r="AE77" s="161" t="s">
        <v>633</v>
      </c>
      <c r="AF77" s="302" t="s">
        <v>556</v>
      </c>
    </row>
    <row r="78" spans="1:32" ht="90" customHeight="1" thickBot="1">
      <c r="A78" s="311" t="s">
        <v>139</v>
      </c>
      <c r="B78" s="198" t="s">
        <v>550</v>
      </c>
      <c r="C78" s="199" t="s">
        <v>44</v>
      </c>
      <c r="D78" s="200" t="s">
        <v>552</v>
      </c>
      <c r="E78" s="201"/>
      <c r="F78" s="312" t="s">
        <v>705</v>
      </c>
      <c r="G78" s="312" t="s">
        <v>230</v>
      </c>
      <c r="H78" s="312" t="s">
        <v>173</v>
      </c>
      <c r="I78" s="313" t="s">
        <v>706</v>
      </c>
      <c r="J78" s="325">
        <v>0</v>
      </c>
      <c r="K78" s="325">
        <v>0</v>
      </c>
      <c r="L78" s="324">
        <v>0.99</v>
      </c>
      <c r="M78" s="316" t="s">
        <v>169</v>
      </c>
      <c r="N78" s="320" t="s">
        <v>805</v>
      </c>
      <c r="O78" s="325" t="s">
        <v>954</v>
      </c>
      <c r="P78" s="339">
        <v>1</v>
      </c>
      <c r="Q78" s="324">
        <v>1</v>
      </c>
      <c r="R78" s="366" t="s">
        <v>169</v>
      </c>
      <c r="S78" s="320"/>
      <c r="T78" s="382">
        <v>0</v>
      </c>
      <c r="U78" s="382">
        <v>1</v>
      </c>
      <c r="V78" s="179" t="s">
        <v>160</v>
      </c>
      <c r="W78" s="183" t="s">
        <v>1002</v>
      </c>
      <c r="X78" s="160"/>
      <c r="Y78" s="197" t="s">
        <v>113</v>
      </c>
      <c r="Z78" s="197" t="s">
        <v>140</v>
      </c>
      <c r="AA78" s="197" t="s">
        <v>117</v>
      </c>
      <c r="AB78" s="197" t="s">
        <v>183</v>
      </c>
      <c r="AC78" s="197" t="s">
        <v>183</v>
      </c>
      <c r="AD78" s="198" t="s">
        <v>496</v>
      </c>
      <c r="AE78" s="161" t="s">
        <v>634</v>
      </c>
      <c r="AF78" s="302" t="s">
        <v>556</v>
      </c>
    </row>
    <row r="79" spans="1:32" ht="180" customHeight="1" thickBot="1">
      <c r="A79" s="311" t="s">
        <v>139</v>
      </c>
      <c r="B79" s="198" t="s">
        <v>551</v>
      </c>
      <c r="C79" s="199" t="s">
        <v>44</v>
      </c>
      <c r="D79" s="200" t="s">
        <v>553</v>
      </c>
      <c r="E79" s="201"/>
      <c r="F79" s="332" t="s">
        <v>732</v>
      </c>
      <c r="G79" s="332">
        <v>0.75</v>
      </c>
      <c r="H79" s="312" t="s">
        <v>169</v>
      </c>
      <c r="I79" s="313"/>
      <c r="J79" s="325">
        <v>0.66</v>
      </c>
      <c r="K79" s="325">
        <v>0.68</v>
      </c>
      <c r="L79" s="324">
        <v>0.75</v>
      </c>
      <c r="M79" s="316" t="s">
        <v>169</v>
      </c>
      <c r="N79" s="320" t="s">
        <v>871</v>
      </c>
      <c r="O79" s="325" t="s">
        <v>955</v>
      </c>
      <c r="P79" s="339">
        <v>0.76</v>
      </c>
      <c r="Q79" s="324">
        <v>0.75</v>
      </c>
      <c r="R79" s="366" t="s">
        <v>169</v>
      </c>
      <c r="S79" s="320"/>
      <c r="T79" s="382">
        <v>0.84</v>
      </c>
      <c r="U79" s="382">
        <v>0.82</v>
      </c>
      <c r="V79" s="179" t="s">
        <v>160</v>
      </c>
      <c r="W79" s="183"/>
      <c r="X79" s="160"/>
      <c r="Y79" s="197" t="s">
        <v>113</v>
      </c>
      <c r="Z79" s="197" t="s">
        <v>140</v>
      </c>
      <c r="AA79" s="197" t="s">
        <v>117</v>
      </c>
      <c r="AB79" s="197" t="s">
        <v>183</v>
      </c>
      <c r="AC79" s="197" t="s">
        <v>183</v>
      </c>
      <c r="AD79" s="198" t="s">
        <v>496</v>
      </c>
      <c r="AE79" s="161" t="s">
        <v>635</v>
      </c>
      <c r="AF79" s="302" t="s">
        <v>556</v>
      </c>
    </row>
    <row r="80" spans="1:32" ht="124.5" customHeight="1" thickBot="1">
      <c r="A80" s="311" t="s">
        <v>139</v>
      </c>
      <c r="B80" s="198" t="s">
        <v>28</v>
      </c>
      <c r="C80" s="199" t="s">
        <v>373</v>
      </c>
      <c r="D80" s="200" t="s">
        <v>759</v>
      </c>
      <c r="E80" s="201"/>
      <c r="F80" s="312" t="s">
        <v>733</v>
      </c>
      <c r="G80" s="312" t="s">
        <v>707</v>
      </c>
      <c r="H80" s="312" t="s">
        <v>169</v>
      </c>
      <c r="I80" s="313"/>
      <c r="J80" s="318" t="s">
        <v>806</v>
      </c>
      <c r="K80" s="318" t="s">
        <v>807</v>
      </c>
      <c r="L80" s="319" t="s">
        <v>707</v>
      </c>
      <c r="M80" s="316" t="s">
        <v>169</v>
      </c>
      <c r="N80" s="320"/>
      <c r="O80" s="318" t="s">
        <v>956</v>
      </c>
      <c r="P80" s="314" t="s">
        <v>903</v>
      </c>
      <c r="Q80" s="319" t="s">
        <v>707</v>
      </c>
      <c r="R80" s="366" t="s">
        <v>169</v>
      </c>
      <c r="S80" s="320"/>
      <c r="T80" s="181" t="s">
        <v>1003</v>
      </c>
      <c r="U80" s="182" t="s">
        <v>1004</v>
      </c>
      <c r="V80" s="179" t="s">
        <v>160</v>
      </c>
      <c r="W80" s="183"/>
      <c r="X80" s="160"/>
      <c r="Y80" s="197" t="s">
        <v>113</v>
      </c>
      <c r="Z80" s="197" t="s">
        <v>140</v>
      </c>
      <c r="AA80" s="197" t="s">
        <v>117</v>
      </c>
      <c r="AB80" s="197" t="s">
        <v>183</v>
      </c>
      <c r="AC80" s="197" t="s">
        <v>183</v>
      </c>
      <c r="AD80" s="198" t="s">
        <v>497</v>
      </c>
      <c r="AE80" s="161" t="s">
        <v>636</v>
      </c>
      <c r="AF80" s="302" t="s">
        <v>556</v>
      </c>
    </row>
    <row r="81" spans="1:32" ht="96.75" customHeight="1" thickBot="1">
      <c r="A81" s="311" t="s">
        <v>139</v>
      </c>
      <c r="B81" s="198" t="s">
        <v>766</v>
      </c>
      <c r="C81" s="199" t="s">
        <v>555</v>
      </c>
      <c r="D81" s="200" t="s">
        <v>760</v>
      </c>
      <c r="E81" s="201"/>
      <c r="F81" s="332">
        <v>1.4525999999999999</v>
      </c>
      <c r="G81" s="332">
        <v>0.8</v>
      </c>
      <c r="H81" s="312" t="s">
        <v>169</v>
      </c>
      <c r="I81" s="313"/>
      <c r="J81" s="362">
        <v>1.9977</v>
      </c>
      <c r="K81" s="362">
        <v>1.6981999999999999</v>
      </c>
      <c r="L81" s="324">
        <v>1</v>
      </c>
      <c r="M81" s="316" t="s">
        <v>169</v>
      </c>
      <c r="N81" s="320"/>
      <c r="O81" s="362" t="s">
        <v>957</v>
      </c>
      <c r="P81" s="362">
        <v>1.5846</v>
      </c>
      <c r="Q81" s="324">
        <v>1.5</v>
      </c>
      <c r="R81" s="366" t="s">
        <v>169</v>
      </c>
      <c r="S81" s="320"/>
      <c r="T81" s="382">
        <v>0.72819999999999996</v>
      </c>
      <c r="U81" s="383">
        <v>1.1545000000000001</v>
      </c>
      <c r="V81" s="179" t="s">
        <v>160</v>
      </c>
      <c r="W81" s="183"/>
      <c r="X81" s="162"/>
      <c r="Y81" s="197" t="s">
        <v>113</v>
      </c>
      <c r="Z81" s="197" t="s">
        <v>140</v>
      </c>
      <c r="AA81" s="197" t="s">
        <v>117</v>
      </c>
      <c r="AB81" s="197" t="s">
        <v>183</v>
      </c>
      <c r="AC81" s="197" t="s">
        <v>183</v>
      </c>
      <c r="AD81" s="198" t="s">
        <v>498</v>
      </c>
      <c r="AE81" s="161" t="s">
        <v>637</v>
      </c>
      <c r="AF81" s="302" t="s">
        <v>556</v>
      </c>
    </row>
    <row r="82" spans="1:32" ht="186.75" customHeight="1" thickBot="1">
      <c r="A82" s="311" t="s">
        <v>139</v>
      </c>
      <c r="B82" s="198" t="s">
        <v>765</v>
      </c>
      <c r="C82" s="199" t="s">
        <v>555</v>
      </c>
      <c r="D82" s="200" t="s">
        <v>762</v>
      </c>
      <c r="E82" s="201"/>
      <c r="F82" s="332">
        <v>0.69</v>
      </c>
      <c r="G82" s="332">
        <v>0.7</v>
      </c>
      <c r="H82" s="312" t="s">
        <v>169</v>
      </c>
      <c r="I82" s="313"/>
      <c r="J82" s="362">
        <v>0.74299999999999999</v>
      </c>
      <c r="K82" s="362">
        <v>0.47799999999999998</v>
      </c>
      <c r="L82" s="324">
        <v>0.7</v>
      </c>
      <c r="M82" s="316" t="s">
        <v>169</v>
      </c>
      <c r="N82" s="320" t="s">
        <v>808</v>
      </c>
      <c r="O82" s="318" t="s">
        <v>967</v>
      </c>
      <c r="P82" s="362">
        <v>0.53859999999999997</v>
      </c>
      <c r="Q82" s="324">
        <v>0.6</v>
      </c>
      <c r="R82" s="366" t="s">
        <v>170</v>
      </c>
      <c r="S82" s="320" t="s">
        <v>914</v>
      </c>
      <c r="T82" s="382">
        <v>0.38900000000000001</v>
      </c>
      <c r="U82" s="383">
        <v>0.46800000000000003</v>
      </c>
      <c r="V82" s="179" t="s">
        <v>164</v>
      </c>
      <c r="W82" s="183" t="s">
        <v>1054</v>
      </c>
      <c r="X82" s="162"/>
      <c r="Y82" s="197" t="s">
        <v>113</v>
      </c>
      <c r="Z82" s="197" t="s">
        <v>140</v>
      </c>
      <c r="AA82" s="197" t="s">
        <v>117</v>
      </c>
      <c r="AB82" s="197" t="s">
        <v>183</v>
      </c>
      <c r="AC82" s="197" t="s">
        <v>183</v>
      </c>
      <c r="AD82" s="198" t="s">
        <v>498</v>
      </c>
      <c r="AE82" s="161" t="s">
        <v>638</v>
      </c>
      <c r="AF82" s="302" t="s">
        <v>556</v>
      </c>
    </row>
    <row r="83" spans="1:32" ht="102.75" customHeight="1" thickBot="1">
      <c r="A83" s="311" t="s">
        <v>139</v>
      </c>
      <c r="B83" s="198" t="s">
        <v>554</v>
      </c>
      <c r="C83" s="199" t="s">
        <v>555</v>
      </c>
      <c r="D83" s="200" t="s">
        <v>761</v>
      </c>
      <c r="E83" s="201"/>
      <c r="F83" s="332">
        <v>0.91</v>
      </c>
      <c r="G83" s="332">
        <v>0.9</v>
      </c>
      <c r="H83" s="312" t="s">
        <v>169</v>
      </c>
      <c r="I83" s="313"/>
      <c r="J83" s="362">
        <v>0.92400000000000004</v>
      </c>
      <c r="K83" s="362">
        <v>0.91700000000000004</v>
      </c>
      <c r="L83" s="324">
        <v>0.9</v>
      </c>
      <c r="M83" s="316" t="s">
        <v>169</v>
      </c>
      <c r="N83" s="320"/>
      <c r="O83" s="362" t="s">
        <v>958</v>
      </c>
      <c r="P83" s="325">
        <v>0.92</v>
      </c>
      <c r="Q83" s="324">
        <v>0.9</v>
      </c>
      <c r="R83" s="366" t="s">
        <v>169</v>
      </c>
      <c r="S83" s="320"/>
      <c r="T83" s="382">
        <v>0.89200000000000002</v>
      </c>
      <c r="U83" s="383">
        <v>0.91500000000000004</v>
      </c>
      <c r="V83" s="179" t="s">
        <v>160</v>
      </c>
      <c r="W83" s="183"/>
      <c r="X83" s="162"/>
      <c r="Y83" s="197" t="s">
        <v>113</v>
      </c>
      <c r="Z83" s="197" t="s">
        <v>140</v>
      </c>
      <c r="AA83" s="197" t="s">
        <v>117</v>
      </c>
      <c r="AB83" s="197" t="s">
        <v>183</v>
      </c>
      <c r="AC83" s="197" t="s">
        <v>183</v>
      </c>
      <c r="AD83" s="198" t="s">
        <v>498</v>
      </c>
      <c r="AE83" s="161" t="s">
        <v>638</v>
      </c>
      <c r="AF83" s="302" t="s">
        <v>556</v>
      </c>
    </row>
    <row r="84" spans="1:32" ht="90" customHeight="1" thickBot="1">
      <c r="A84" s="311" t="s">
        <v>139</v>
      </c>
      <c r="B84" s="198" t="s">
        <v>29</v>
      </c>
      <c r="C84" s="199" t="s">
        <v>374</v>
      </c>
      <c r="D84" s="200" t="s">
        <v>375</v>
      </c>
      <c r="E84" s="201" t="s">
        <v>376</v>
      </c>
      <c r="F84" s="312" t="s">
        <v>708</v>
      </c>
      <c r="G84" s="312" t="s">
        <v>230</v>
      </c>
      <c r="H84" s="312" t="s">
        <v>160</v>
      </c>
      <c r="I84" s="313"/>
      <c r="J84" s="318"/>
      <c r="K84" s="318"/>
      <c r="L84" s="319"/>
      <c r="M84" s="316" t="s">
        <v>160</v>
      </c>
      <c r="N84" s="320"/>
      <c r="O84" s="318"/>
      <c r="P84" s="314"/>
      <c r="Q84" s="319"/>
      <c r="R84" s="366" t="s">
        <v>160</v>
      </c>
      <c r="S84" s="320"/>
      <c r="T84" s="312" t="s">
        <v>708</v>
      </c>
      <c r="U84" s="182"/>
      <c r="V84" s="179" t="s">
        <v>160</v>
      </c>
      <c r="W84" s="183"/>
      <c r="X84" s="162"/>
      <c r="Y84" s="197" t="s">
        <v>113</v>
      </c>
      <c r="Z84" s="197" t="s">
        <v>140</v>
      </c>
      <c r="AA84" s="197" t="s">
        <v>117</v>
      </c>
      <c r="AB84" s="197" t="s">
        <v>183</v>
      </c>
      <c r="AC84" s="197" t="s">
        <v>183</v>
      </c>
      <c r="AD84" s="198" t="s">
        <v>499</v>
      </c>
      <c r="AE84" s="161" t="s">
        <v>639</v>
      </c>
      <c r="AF84" s="302" t="s">
        <v>556</v>
      </c>
    </row>
    <row r="85" spans="1:32" ht="90" customHeight="1" thickBot="1">
      <c r="A85" s="311" t="s">
        <v>139</v>
      </c>
      <c r="B85" s="198" t="s">
        <v>30</v>
      </c>
      <c r="C85" s="199" t="s">
        <v>377</v>
      </c>
      <c r="D85" s="200" t="s">
        <v>378</v>
      </c>
      <c r="E85" s="201" t="s">
        <v>260</v>
      </c>
      <c r="F85" s="312" t="s">
        <v>763</v>
      </c>
      <c r="G85" s="312"/>
      <c r="H85" s="312" t="s">
        <v>167</v>
      </c>
      <c r="I85" s="313" t="s">
        <v>709</v>
      </c>
      <c r="J85" s="358" t="s">
        <v>789</v>
      </c>
      <c r="K85" s="324" t="s">
        <v>788</v>
      </c>
      <c r="L85" s="324" t="s">
        <v>788</v>
      </c>
      <c r="M85" s="316" t="s">
        <v>167</v>
      </c>
      <c r="N85" s="317"/>
      <c r="O85" s="358" t="s">
        <v>789</v>
      </c>
      <c r="P85" s="314"/>
      <c r="Q85" s="315"/>
      <c r="R85" s="316" t="s">
        <v>167</v>
      </c>
      <c r="S85" s="317"/>
      <c r="T85" s="358" t="s">
        <v>1034</v>
      </c>
      <c r="U85" s="178"/>
      <c r="V85" s="179" t="s">
        <v>167</v>
      </c>
      <c r="W85" s="180"/>
      <c r="X85" s="160"/>
      <c r="Y85" s="197" t="s">
        <v>113</v>
      </c>
      <c r="Z85" s="197" t="s">
        <v>140</v>
      </c>
      <c r="AA85" s="197" t="s">
        <v>117</v>
      </c>
      <c r="AB85" s="197" t="s">
        <v>183</v>
      </c>
      <c r="AC85" s="197" t="s">
        <v>183</v>
      </c>
      <c r="AD85" s="198" t="s">
        <v>500</v>
      </c>
      <c r="AE85" s="161" t="s">
        <v>640</v>
      </c>
      <c r="AF85" s="302" t="s">
        <v>556</v>
      </c>
    </row>
    <row r="86" spans="1:32" ht="90" customHeight="1" thickBot="1">
      <c r="A86" s="311" t="s">
        <v>135</v>
      </c>
      <c r="B86" s="198" t="s">
        <v>31</v>
      </c>
      <c r="C86" s="199" t="s">
        <v>37</v>
      </c>
      <c r="D86" s="200" t="s">
        <v>379</v>
      </c>
      <c r="E86" s="201" t="s">
        <v>260</v>
      </c>
      <c r="F86" s="312" t="s">
        <v>696</v>
      </c>
      <c r="G86" s="312"/>
      <c r="H86" s="312" t="s">
        <v>169</v>
      </c>
      <c r="I86" s="313"/>
      <c r="J86" s="314" t="s">
        <v>799</v>
      </c>
      <c r="K86" s="314"/>
      <c r="L86" s="315"/>
      <c r="M86" s="316" t="s">
        <v>169</v>
      </c>
      <c r="N86" s="317"/>
      <c r="O86" s="314" t="s">
        <v>974</v>
      </c>
      <c r="P86" s="314"/>
      <c r="Q86" s="315"/>
      <c r="R86" s="316" t="s">
        <v>169</v>
      </c>
      <c r="S86" s="317"/>
      <c r="T86" s="177" t="s">
        <v>993</v>
      </c>
      <c r="U86" s="178"/>
      <c r="V86" s="179" t="s">
        <v>160</v>
      </c>
      <c r="W86" s="180"/>
      <c r="X86" s="160"/>
      <c r="Y86" s="197" t="s">
        <v>113</v>
      </c>
      <c r="Z86" s="197" t="s">
        <v>110</v>
      </c>
      <c r="AA86" s="197" t="s">
        <v>117</v>
      </c>
      <c r="AB86" s="197" t="s">
        <v>183</v>
      </c>
      <c r="AC86" s="197" t="s">
        <v>183</v>
      </c>
      <c r="AD86" s="198" t="s">
        <v>501</v>
      </c>
      <c r="AE86" s="161" t="s">
        <v>641</v>
      </c>
      <c r="AF86" s="302" t="s">
        <v>556</v>
      </c>
    </row>
    <row r="87" spans="1:32" ht="90" customHeight="1" thickBot="1">
      <c r="A87" s="311" t="s">
        <v>135</v>
      </c>
      <c r="B87" s="198" t="s">
        <v>33</v>
      </c>
      <c r="C87" s="199" t="s">
        <v>39</v>
      </c>
      <c r="D87" s="200" t="s">
        <v>380</v>
      </c>
      <c r="E87" s="201" t="s">
        <v>260</v>
      </c>
      <c r="F87" s="312"/>
      <c r="G87" s="312"/>
      <c r="H87" s="312" t="s">
        <v>173</v>
      </c>
      <c r="I87" s="313"/>
      <c r="J87" s="318" t="s">
        <v>800</v>
      </c>
      <c r="K87" s="318"/>
      <c r="L87" s="319"/>
      <c r="M87" s="316" t="s">
        <v>169</v>
      </c>
      <c r="N87" s="320"/>
      <c r="O87" s="318" t="s">
        <v>894</v>
      </c>
      <c r="P87" s="318"/>
      <c r="Q87" s="319"/>
      <c r="R87" s="366" t="s">
        <v>169</v>
      </c>
      <c r="S87" s="320"/>
      <c r="T87" s="181" t="s">
        <v>992</v>
      </c>
      <c r="U87" s="182"/>
      <c r="V87" s="179" t="s">
        <v>160</v>
      </c>
      <c r="W87" s="183"/>
      <c r="X87" s="162"/>
      <c r="Y87" s="197" t="s">
        <v>113</v>
      </c>
      <c r="Z87" s="197" t="s">
        <v>110</v>
      </c>
      <c r="AA87" s="197" t="s">
        <v>117</v>
      </c>
      <c r="AB87" s="197" t="s">
        <v>183</v>
      </c>
      <c r="AC87" s="197" t="s">
        <v>183</v>
      </c>
      <c r="AD87" s="198" t="s">
        <v>502</v>
      </c>
      <c r="AE87" s="161" t="s">
        <v>642</v>
      </c>
      <c r="AF87" s="302" t="s">
        <v>556</v>
      </c>
    </row>
    <row r="88" spans="1:32" ht="90" customHeight="1" thickBot="1">
      <c r="A88" s="311" t="s">
        <v>135</v>
      </c>
      <c r="B88" s="198" t="s">
        <v>34</v>
      </c>
      <c r="C88" s="199" t="s">
        <v>381</v>
      </c>
      <c r="D88" s="200" t="s">
        <v>382</v>
      </c>
      <c r="E88" s="201" t="s">
        <v>356</v>
      </c>
      <c r="F88" s="312" t="s">
        <v>672</v>
      </c>
      <c r="G88" s="312"/>
      <c r="H88" s="312" t="s">
        <v>160</v>
      </c>
      <c r="I88" s="313"/>
      <c r="J88" s="318"/>
      <c r="K88" s="318"/>
      <c r="L88" s="319"/>
      <c r="M88" s="316" t="s">
        <v>160</v>
      </c>
      <c r="N88" s="320"/>
      <c r="O88" s="318"/>
      <c r="P88" s="318"/>
      <c r="Q88" s="319"/>
      <c r="R88" s="366" t="s">
        <v>160</v>
      </c>
      <c r="S88" s="320"/>
      <c r="T88" s="312" t="s">
        <v>672</v>
      </c>
      <c r="U88" s="182"/>
      <c r="V88" s="179" t="s">
        <v>160</v>
      </c>
      <c r="W88" s="183"/>
      <c r="X88" s="160"/>
      <c r="Y88" s="197" t="s">
        <v>113</v>
      </c>
      <c r="Z88" s="197" t="s">
        <v>110</v>
      </c>
      <c r="AA88" s="197" t="s">
        <v>117</v>
      </c>
      <c r="AB88" s="197" t="s">
        <v>183</v>
      </c>
      <c r="AC88" s="197" t="s">
        <v>183</v>
      </c>
      <c r="AD88" s="198" t="s">
        <v>503</v>
      </c>
      <c r="AE88" s="161" t="s">
        <v>643</v>
      </c>
      <c r="AF88" s="302" t="s">
        <v>556</v>
      </c>
    </row>
    <row r="89" spans="1:32" ht="132.75" customHeight="1" thickBot="1">
      <c r="A89" s="311" t="s">
        <v>135</v>
      </c>
      <c r="B89" s="198" t="s">
        <v>35</v>
      </c>
      <c r="C89" s="199" t="s">
        <v>381</v>
      </c>
      <c r="D89" s="200" t="s">
        <v>383</v>
      </c>
      <c r="E89" s="201" t="s">
        <v>338</v>
      </c>
      <c r="F89" s="312" t="s">
        <v>673</v>
      </c>
      <c r="G89" s="312"/>
      <c r="H89" s="312" t="s">
        <v>169</v>
      </c>
      <c r="I89" s="313"/>
      <c r="J89" s="318" t="s">
        <v>872</v>
      </c>
      <c r="K89" s="349"/>
      <c r="L89" s="348"/>
      <c r="M89" s="316" t="s">
        <v>170</v>
      </c>
      <c r="N89" s="320"/>
      <c r="O89" s="318" t="s">
        <v>892</v>
      </c>
      <c r="P89" s="349"/>
      <c r="Q89" s="319"/>
      <c r="R89" s="366" t="s">
        <v>164</v>
      </c>
      <c r="S89" s="320"/>
      <c r="T89" s="181" t="s">
        <v>1055</v>
      </c>
      <c r="U89" s="381"/>
      <c r="V89" s="179" t="s">
        <v>165</v>
      </c>
      <c r="W89" s="183"/>
      <c r="X89" s="162"/>
      <c r="Y89" s="197" t="s">
        <v>113</v>
      </c>
      <c r="Z89" s="197" t="s">
        <v>110</v>
      </c>
      <c r="AA89" s="197" t="s">
        <v>117</v>
      </c>
      <c r="AB89" s="197" t="s">
        <v>183</v>
      </c>
      <c r="AC89" s="197" t="s">
        <v>183</v>
      </c>
      <c r="AD89" s="198" t="s">
        <v>504</v>
      </c>
      <c r="AE89" s="161" t="s">
        <v>644</v>
      </c>
      <c r="AF89" s="303"/>
    </row>
    <row r="90" spans="1:32" ht="90" customHeight="1" thickBot="1">
      <c r="A90" s="311" t="s">
        <v>135</v>
      </c>
      <c r="B90" s="198" t="s">
        <v>36</v>
      </c>
      <c r="C90" s="199" t="s">
        <v>42</v>
      </c>
      <c r="D90" s="200" t="s">
        <v>384</v>
      </c>
      <c r="E90" s="201" t="s">
        <v>260</v>
      </c>
      <c r="F90" s="331" t="s">
        <v>697</v>
      </c>
      <c r="G90" s="347">
        <v>99.97</v>
      </c>
      <c r="H90" s="312" t="s">
        <v>169</v>
      </c>
      <c r="I90" s="313"/>
      <c r="J90" s="318" t="s">
        <v>697</v>
      </c>
      <c r="K90" s="318"/>
      <c r="L90" s="319"/>
      <c r="M90" s="316" t="s">
        <v>169</v>
      </c>
      <c r="N90" s="320"/>
      <c r="O90" s="318" t="s">
        <v>697</v>
      </c>
      <c r="P90" s="318"/>
      <c r="Q90" s="319"/>
      <c r="R90" s="366" t="s">
        <v>169</v>
      </c>
      <c r="S90" s="320"/>
      <c r="T90" s="181" t="s">
        <v>697</v>
      </c>
      <c r="U90" s="182"/>
      <c r="V90" s="179" t="s">
        <v>160</v>
      </c>
      <c r="W90" s="183"/>
      <c r="X90" s="162"/>
      <c r="Y90" s="197" t="s">
        <v>113</v>
      </c>
      <c r="Z90" s="197" t="s">
        <v>110</v>
      </c>
      <c r="AA90" s="197" t="s">
        <v>117</v>
      </c>
      <c r="AB90" s="197" t="s">
        <v>183</v>
      </c>
      <c r="AC90" s="197" t="s">
        <v>183</v>
      </c>
      <c r="AD90" s="198" t="s">
        <v>505</v>
      </c>
      <c r="AE90" s="161" t="s">
        <v>645</v>
      </c>
      <c r="AF90" s="302" t="s">
        <v>556</v>
      </c>
    </row>
    <row r="91" spans="1:32" ht="90" customHeight="1" thickBot="1">
      <c r="A91" s="311" t="s">
        <v>135</v>
      </c>
      <c r="B91" s="198" t="s">
        <v>38</v>
      </c>
      <c r="C91" s="199" t="s">
        <v>255</v>
      </c>
      <c r="D91" s="200" t="s">
        <v>43</v>
      </c>
      <c r="E91" s="201"/>
      <c r="F91" s="312" t="s">
        <v>674</v>
      </c>
      <c r="G91" s="312"/>
      <c r="H91" s="312" t="s">
        <v>173</v>
      </c>
      <c r="I91" s="313"/>
      <c r="J91" s="312" t="s">
        <v>859</v>
      </c>
      <c r="K91" s="318"/>
      <c r="L91" s="319"/>
      <c r="M91" s="316" t="s">
        <v>173</v>
      </c>
      <c r="N91" s="320"/>
      <c r="O91" s="318" t="s">
        <v>893</v>
      </c>
      <c r="P91" s="318"/>
      <c r="Q91" s="319"/>
      <c r="R91" s="366" t="s">
        <v>173</v>
      </c>
      <c r="S91" s="320"/>
      <c r="T91" s="181" t="s">
        <v>1035</v>
      </c>
      <c r="U91" s="182"/>
      <c r="V91" s="179" t="s">
        <v>160</v>
      </c>
      <c r="W91" s="181" t="s">
        <v>1036</v>
      </c>
      <c r="X91" s="162"/>
      <c r="Y91" s="197" t="s">
        <v>113</v>
      </c>
      <c r="Z91" s="197" t="s">
        <v>110</v>
      </c>
      <c r="AA91" s="197" t="s">
        <v>117</v>
      </c>
      <c r="AB91" s="197" t="s">
        <v>183</v>
      </c>
      <c r="AC91" s="197" t="s">
        <v>183</v>
      </c>
      <c r="AD91" s="198" t="s">
        <v>506</v>
      </c>
      <c r="AE91" s="161" t="s">
        <v>646</v>
      </c>
      <c r="AF91" s="302"/>
    </row>
    <row r="92" spans="1:32" ht="90" customHeight="1" thickBot="1">
      <c r="A92" s="311" t="s">
        <v>130</v>
      </c>
      <c r="B92" s="198" t="s">
        <v>385</v>
      </c>
      <c r="C92" s="199" t="s">
        <v>386</v>
      </c>
      <c r="D92" s="200" t="s">
        <v>387</v>
      </c>
      <c r="E92" s="201"/>
      <c r="F92" s="321" t="s">
        <v>720</v>
      </c>
      <c r="G92" s="312"/>
      <c r="H92" s="312" t="s">
        <v>169</v>
      </c>
      <c r="I92" s="313"/>
      <c r="J92" s="321" t="s">
        <v>846</v>
      </c>
      <c r="K92" s="318"/>
      <c r="L92" s="319"/>
      <c r="M92" s="316" t="s">
        <v>169</v>
      </c>
      <c r="N92" s="320"/>
      <c r="O92" s="318" t="s">
        <v>934</v>
      </c>
      <c r="P92" s="318"/>
      <c r="Q92" s="319"/>
      <c r="R92" s="316" t="s">
        <v>169</v>
      </c>
      <c r="S92" s="320"/>
      <c r="T92" s="181" t="s">
        <v>1026</v>
      </c>
      <c r="U92" s="182"/>
      <c r="V92" s="179" t="s">
        <v>160</v>
      </c>
      <c r="W92" s="183"/>
      <c r="X92" s="162"/>
      <c r="Y92" s="197" t="s">
        <v>115</v>
      </c>
      <c r="Z92" s="197" t="s">
        <v>131</v>
      </c>
      <c r="AA92" s="197" t="s">
        <v>117</v>
      </c>
      <c r="AB92" s="197" t="s">
        <v>938</v>
      </c>
      <c r="AC92" s="197" t="s">
        <v>215</v>
      </c>
      <c r="AD92" s="198" t="s">
        <v>507</v>
      </c>
      <c r="AE92" s="161" t="s">
        <v>647</v>
      </c>
      <c r="AF92" s="303"/>
    </row>
    <row r="93" spans="1:32" ht="130.5" customHeight="1" thickBot="1">
      <c r="A93" s="311" t="s">
        <v>130</v>
      </c>
      <c r="B93" s="198" t="s">
        <v>40</v>
      </c>
      <c r="C93" s="199" t="s">
        <v>388</v>
      </c>
      <c r="D93" s="200" t="s">
        <v>389</v>
      </c>
      <c r="E93" s="201" t="s">
        <v>358</v>
      </c>
      <c r="F93" s="312"/>
      <c r="G93" s="312"/>
      <c r="H93" s="312" t="s">
        <v>173</v>
      </c>
      <c r="I93" s="313"/>
      <c r="J93" s="318"/>
      <c r="K93" s="318"/>
      <c r="L93" s="319"/>
      <c r="M93" s="316" t="s">
        <v>173</v>
      </c>
      <c r="N93" s="320"/>
      <c r="O93" s="318" t="s">
        <v>935</v>
      </c>
      <c r="P93" s="318"/>
      <c r="Q93" s="319"/>
      <c r="R93" s="366" t="s">
        <v>169</v>
      </c>
      <c r="S93" s="320"/>
      <c r="T93" s="181" t="s">
        <v>1027</v>
      </c>
      <c r="U93" s="182"/>
      <c r="V93" s="179" t="s">
        <v>160</v>
      </c>
      <c r="W93" s="183"/>
      <c r="X93" s="162"/>
      <c r="Y93" s="197" t="s">
        <v>115</v>
      </c>
      <c r="Z93" s="197" t="s">
        <v>131</v>
      </c>
      <c r="AA93" s="197" t="s">
        <v>117</v>
      </c>
      <c r="AB93" s="197" t="s">
        <v>938</v>
      </c>
      <c r="AC93" s="197" t="s">
        <v>215</v>
      </c>
      <c r="AD93" s="198" t="s">
        <v>508</v>
      </c>
      <c r="AE93" s="161" t="s">
        <v>648</v>
      </c>
      <c r="AF93" s="302" t="s">
        <v>556</v>
      </c>
    </row>
    <row r="94" spans="1:32" ht="127.5" customHeight="1" thickBot="1">
      <c r="A94" s="311" t="s">
        <v>130</v>
      </c>
      <c r="B94" s="198" t="s">
        <v>41</v>
      </c>
      <c r="C94" s="199" t="s">
        <v>390</v>
      </c>
      <c r="D94" s="200" t="s">
        <v>391</v>
      </c>
      <c r="E94" s="201" t="s">
        <v>338</v>
      </c>
      <c r="F94" s="312" t="s">
        <v>764</v>
      </c>
      <c r="G94" s="312"/>
      <c r="H94" s="312" t="s">
        <v>167</v>
      </c>
      <c r="I94" s="313"/>
      <c r="J94" s="358" t="s">
        <v>789</v>
      </c>
      <c r="K94" s="324" t="s">
        <v>788</v>
      </c>
      <c r="L94" s="324" t="s">
        <v>788</v>
      </c>
      <c r="M94" s="316" t="s">
        <v>167</v>
      </c>
      <c r="N94" s="320"/>
      <c r="O94" s="358" t="s">
        <v>789</v>
      </c>
      <c r="P94" s="318"/>
      <c r="Q94" s="319"/>
      <c r="R94" s="366" t="s">
        <v>167</v>
      </c>
      <c r="S94" s="320"/>
      <c r="T94" s="358" t="s">
        <v>1034</v>
      </c>
      <c r="U94" s="358"/>
      <c r="V94" s="179" t="s">
        <v>167</v>
      </c>
      <c r="W94" s="183"/>
      <c r="X94" s="160"/>
      <c r="Y94" s="197" t="s">
        <v>115</v>
      </c>
      <c r="Z94" s="197" t="s">
        <v>131</v>
      </c>
      <c r="AA94" s="197" t="s">
        <v>117</v>
      </c>
      <c r="AB94" s="197" t="s">
        <v>938</v>
      </c>
      <c r="AC94" s="197" t="s">
        <v>215</v>
      </c>
      <c r="AD94" s="198" t="s">
        <v>509</v>
      </c>
      <c r="AE94" s="161" t="s">
        <v>649</v>
      </c>
      <c r="AF94" s="302" t="s">
        <v>556</v>
      </c>
    </row>
    <row r="95" spans="1:32" ht="90" customHeight="1" thickBot="1">
      <c r="A95" s="311" t="s">
        <v>137</v>
      </c>
      <c r="B95" s="198" t="s">
        <v>776</v>
      </c>
      <c r="C95" s="199" t="s">
        <v>392</v>
      </c>
      <c r="D95" s="200" t="s">
        <v>778</v>
      </c>
      <c r="E95" s="201" t="s">
        <v>376</v>
      </c>
      <c r="F95" s="312" t="s">
        <v>742</v>
      </c>
      <c r="G95" s="312"/>
      <c r="H95" s="312" t="s">
        <v>171</v>
      </c>
      <c r="I95" s="313"/>
      <c r="J95" s="318"/>
      <c r="K95" s="318"/>
      <c r="L95" s="319"/>
      <c r="M95" s="316" t="s">
        <v>171</v>
      </c>
      <c r="N95" s="320"/>
      <c r="O95" s="318"/>
      <c r="P95" s="318"/>
      <c r="Q95" s="319"/>
      <c r="R95" s="316" t="s">
        <v>171</v>
      </c>
      <c r="S95" s="320"/>
      <c r="T95" s="181"/>
      <c r="U95" s="182"/>
      <c r="V95" s="179" t="s">
        <v>166</v>
      </c>
      <c r="W95" s="183"/>
      <c r="X95" s="162"/>
      <c r="Y95" s="197" t="s">
        <v>115</v>
      </c>
      <c r="Z95" s="197" t="s">
        <v>136</v>
      </c>
      <c r="AA95" s="197" t="s">
        <v>117</v>
      </c>
      <c r="AB95" s="197" t="s">
        <v>938</v>
      </c>
      <c r="AC95" s="197" t="s">
        <v>215</v>
      </c>
      <c r="AD95" s="198" t="s">
        <v>510</v>
      </c>
      <c r="AE95" s="161" t="s">
        <v>650</v>
      </c>
      <c r="AF95" s="302" t="s">
        <v>556</v>
      </c>
    </row>
    <row r="96" spans="1:32" ht="115.5" customHeight="1" thickBot="1">
      <c r="A96" s="311" t="s">
        <v>137</v>
      </c>
      <c r="B96" s="198" t="s">
        <v>777</v>
      </c>
      <c r="C96" s="199" t="s">
        <v>392</v>
      </c>
      <c r="D96" s="200" t="s">
        <v>779</v>
      </c>
      <c r="E96" s="201" t="s">
        <v>260</v>
      </c>
      <c r="F96" s="312"/>
      <c r="G96" s="312"/>
      <c r="H96" s="312" t="s">
        <v>173</v>
      </c>
      <c r="I96" s="313"/>
      <c r="J96" s="318" t="s">
        <v>860</v>
      </c>
      <c r="K96" s="318"/>
      <c r="L96" s="319"/>
      <c r="M96" s="316" t="s">
        <v>173</v>
      </c>
      <c r="N96" s="320"/>
      <c r="O96" s="318" t="s">
        <v>897</v>
      </c>
      <c r="P96" s="318"/>
      <c r="Q96" s="319"/>
      <c r="R96" s="316" t="s">
        <v>169</v>
      </c>
      <c r="S96" s="320"/>
      <c r="T96" s="181" t="s">
        <v>1024</v>
      </c>
      <c r="U96" s="182"/>
      <c r="V96" s="179" t="s">
        <v>160</v>
      </c>
      <c r="W96" s="183"/>
      <c r="X96" s="162"/>
      <c r="Y96" s="197" t="s">
        <v>115</v>
      </c>
      <c r="Z96" s="197" t="s">
        <v>136</v>
      </c>
      <c r="AA96" s="197" t="s">
        <v>117</v>
      </c>
      <c r="AB96" s="197" t="s">
        <v>938</v>
      </c>
      <c r="AC96" s="197" t="s">
        <v>215</v>
      </c>
      <c r="AD96" s="198" t="s">
        <v>510</v>
      </c>
      <c r="AE96" s="161" t="s">
        <v>650</v>
      </c>
      <c r="AF96" s="302" t="s">
        <v>556</v>
      </c>
    </row>
    <row r="97" spans="1:32" ht="111.75" customHeight="1" thickBot="1">
      <c r="A97" s="311" t="s">
        <v>137</v>
      </c>
      <c r="B97" s="198" t="s">
        <v>138</v>
      </c>
      <c r="C97" s="199" t="s">
        <v>392</v>
      </c>
      <c r="D97" s="200" t="s">
        <v>739</v>
      </c>
      <c r="E97" s="201" t="s">
        <v>260</v>
      </c>
      <c r="F97" s="312" t="s">
        <v>715</v>
      </c>
      <c r="G97" s="312"/>
      <c r="H97" s="312" t="s">
        <v>170</v>
      </c>
      <c r="I97" s="313"/>
      <c r="J97" s="318" t="s">
        <v>801</v>
      </c>
      <c r="K97" s="318"/>
      <c r="L97" s="319"/>
      <c r="M97" s="316" t="s">
        <v>173</v>
      </c>
      <c r="N97" s="320"/>
      <c r="O97" s="318" t="s">
        <v>1050</v>
      </c>
      <c r="P97" s="318"/>
      <c r="Q97" s="319"/>
      <c r="R97" s="366" t="s">
        <v>169</v>
      </c>
      <c r="S97" s="320"/>
      <c r="T97" s="181" t="s">
        <v>1013</v>
      </c>
      <c r="U97" s="182" t="s">
        <v>1025</v>
      </c>
      <c r="V97" s="179" t="s">
        <v>160</v>
      </c>
      <c r="W97" s="183"/>
      <c r="X97" s="160"/>
      <c r="Y97" s="197" t="s">
        <v>115</v>
      </c>
      <c r="Z97" s="197" t="s">
        <v>136</v>
      </c>
      <c r="AA97" s="197" t="s">
        <v>117</v>
      </c>
      <c r="AB97" s="197" t="s">
        <v>938</v>
      </c>
      <c r="AC97" s="197" t="s">
        <v>215</v>
      </c>
      <c r="AD97" s="198" t="s">
        <v>511</v>
      </c>
      <c r="AE97" s="161" t="s">
        <v>651</v>
      </c>
      <c r="AF97" s="302" t="s">
        <v>556</v>
      </c>
    </row>
    <row r="98" spans="1:32" ht="90" customHeight="1" thickBot="1">
      <c r="A98" s="311" t="s">
        <v>133</v>
      </c>
      <c r="B98" s="198" t="s">
        <v>393</v>
      </c>
      <c r="C98" s="199" t="s">
        <v>394</v>
      </c>
      <c r="D98" s="200" t="s">
        <v>395</v>
      </c>
      <c r="E98" s="201" t="s">
        <v>260</v>
      </c>
      <c r="F98" s="326" t="s">
        <v>695</v>
      </c>
      <c r="G98" s="326"/>
      <c r="H98" s="326" t="s">
        <v>169</v>
      </c>
      <c r="I98" s="327"/>
      <c r="J98" s="350" t="s">
        <v>826</v>
      </c>
      <c r="K98" s="350"/>
      <c r="L98" s="351"/>
      <c r="M98" s="316" t="s">
        <v>169</v>
      </c>
      <c r="N98" s="352"/>
      <c r="O98" s="350" t="s">
        <v>959</v>
      </c>
      <c r="P98" s="350"/>
      <c r="Q98" s="351"/>
      <c r="R98" s="376" t="s">
        <v>169</v>
      </c>
      <c r="S98" s="352"/>
      <c r="T98" s="355" t="s">
        <v>1037</v>
      </c>
      <c r="U98" s="193"/>
      <c r="V98" s="179" t="s">
        <v>160</v>
      </c>
      <c r="W98" s="190"/>
      <c r="X98" s="165"/>
      <c r="Y98" s="197" t="s">
        <v>115</v>
      </c>
      <c r="Z98" s="197" t="s">
        <v>417</v>
      </c>
      <c r="AA98" s="197" t="s">
        <v>117</v>
      </c>
      <c r="AB98" s="197" t="s">
        <v>938</v>
      </c>
      <c r="AC98" s="197" t="s">
        <v>215</v>
      </c>
      <c r="AD98" s="198" t="s">
        <v>512</v>
      </c>
      <c r="AE98" s="161" t="s">
        <v>652</v>
      </c>
      <c r="AF98" s="303"/>
    </row>
    <row r="99" spans="1:32" ht="129.75" customHeight="1" thickBot="1">
      <c r="A99" s="311" t="s">
        <v>133</v>
      </c>
      <c r="B99" s="198" t="s">
        <v>396</v>
      </c>
      <c r="C99" s="199" t="s">
        <v>397</v>
      </c>
      <c r="D99" s="200" t="s">
        <v>740</v>
      </c>
      <c r="E99" s="201" t="s">
        <v>260</v>
      </c>
      <c r="F99" s="326"/>
      <c r="G99" s="326"/>
      <c r="H99" s="326" t="s">
        <v>173</v>
      </c>
      <c r="I99" s="327"/>
      <c r="J99" s="350"/>
      <c r="K99" s="350"/>
      <c r="L99" s="351"/>
      <c r="M99" s="316" t="s">
        <v>173</v>
      </c>
      <c r="N99" s="352"/>
      <c r="O99" s="350" t="s">
        <v>975</v>
      </c>
      <c r="P99" s="350"/>
      <c r="Q99" s="351"/>
      <c r="R99" s="376" t="s">
        <v>169</v>
      </c>
      <c r="S99" s="352"/>
      <c r="T99" s="355" t="s">
        <v>1038</v>
      </c>
      <c r="U99" s="193"/>
      <c r="V99" s="179" t="s">
        <v>160</v>
      </c>
      <c r="W99" s="190"/>
      <c r="X99" s="163"/>
      <c r="Y99" s="197" t="s">
        <v>115</v>
      </c>
      <c r="Z99" s="197" t="s">
        <v>417</v>
      </c>
      <c r="AA99" s="197" t="s">
        <v>117</v>
      </c>
      <c r="AB99" s="197" t="s">
        <v>938</v>
      </c>
      <c r="AC99" s="197" t="s">
        <v>215</v>
      </c>
      <c r="AD99" s="198" t="s">
        <v>513</v>
      </c>
      <c r="AE99" s="161" t="s">
        <v>653</v>
      </c>
      <c r="AF99" s="303"/>
    </row>
    <row r="100" spans="1:32" ht="151.5" customHeight="1" thickBot="1">
      <c r="A100" s="311" t="s">
        <v>151</v>
      </c>
      <c r="B100" s="198" t="s">
        <v>398</v>
      </c>
      <c r="C100" s="199" t="s">
        <v>399</v>
      </c>
      <c r="D100" s="200" t="s">
        <v>400</v>
      </c>
      <c r="E100" s="201" t="s">
        <v>260</v>
      </c>
      <c r="F100" s="326" t="s">
        <v>691</v>
      </c>
      <c r="G100" s="326"/>
      <c r="H100" s="326" t="s">
        <v>173</v>
      </c>
      <c r="I100" s="327"/>
      <c r="J100" s="350" t="s">
        <v>881</v>
      </c>
      <c r="K100" s="350"/>
      <c r="L100" s="351"/>
      <c r="M100" s="316" t="s">
        <v>173</v>
      </c>
      <c r="N100" s="352"/>
      <c r="O100" s="350" t="s">
        <v>883</v>
      </c>
      <c r="P100" s="350"/>
      <c r="Q100" s="351"/>
      <c r="R100" s="376" t="s">
        <v>167</v>
      </c>
      <c r="S100" s="352"/>
      <c r="T100" s="350" t="s">
        <v>1029</v>
      </c>
      <c r="U100" s="193"/>
      <c r="V100" s="179" t="s">
        <v>167</v>
      </c>
      <c r="W100" s="190"/>
      <c r="X100" s="163"/>
      <c r="Y100" s="197" t="s">
        <v>115</v>
      </c>
      <c r="Z100" s="197" t="s">
        <v>152</v>
      </c>
      <c r="AA100" s="197" t="s">
        <v>117</v>
      </c>
      <c r="AB100" s="197" t="s">
        <v>939</v>
      </c>
      <c r="AC100" s="197" t="s">
        <v>215</v>
      </c>
      <c r="AD100" s="198" t="s">
        <v>514</v>
      </c>
      <c r="AE100" s="161" t="s">
        <v>654</v>
      </c>
      <c r="AF100" s="302" t="s">
        <v>556</v>
      </c>
    </row>
    <row r="101" spans="1:32" ht="119.25" customHeight="1" thickBot="1">
      <c r="A101" s="311" t="s">
        <v>151</v>
      </c>
      <c r="B101" s="198" t="s">
        <v>401</v>
      </c>
      <c r="C101" s="199" t="s">
        <v>32</v>
      </c>
      <c r="D101" s="200" t="s">
        <v>402</v>
      </c>
      <c r="E101" s="201" t="s">
        <v>276</v>
      </c>
      <c r="F101" s="326" t="s">
        <v>690</v>
      </c>
      <c r="G101" s="326"/>
      <c r="H101" s="312" t="s">
        <v>170</v>
      </c>
      <c r="I101" s="327"/>
      <c r="J101" s="350" t="s">
        <v>882</v>
      </c>
      <c r="K101" s="350"/>
      <c r="L101" s="351"/>
      <c r="M101" s="316" t="s">
        <v>169</v>
      </c>
      <c r="N101" s="320"/>
      <c r="O101" s="350" t="s">
        <v>883</v>
      </c>
      <c r="P101" s="350"/>
      <c r="Q101" s="351"/>
      <c r="R101" s="376" t="s">
        <v>167</v>
      </c>
      <c r="S101" s="352"/>
      <c r="T101" s="350" t="s">
        <v>1029</v>
      </c>
      <c r="U101" s="193"/>
      <c r="V101" s="179" t="s">
        <v>167</v>
      </c>
      <c r="W101" s="190"/>
      <c r="X101" s="163"/>
      <c r="Y101" s="197" t="s">
        <v>115</v>
      </c>
      <c r="Z101" s="197" t="s">
        <v>152</v>
      </c>
      <c r="AA101" s="197" t="s">
        <v>117</v>
      </c>
      <c r="AB101" s="197" t="s">
        <v>939</v>
      </c>
      <c r="AC101" s="197" t="s">
        <v>215</v>
      </c>
      <c r="AD101" s="198" t="s">
        <v>515</v>
      </c>
      <c r="AE101" s="161" t="s">
        <v>655</v>
      </c>
      <c r="AF101" s="302" t="s">
        <v>556</v>
      </c>
    </row>
    <row r="102" spans="1:32" ht="90" customHeight="1" thickBot="1">
      <c r="A102" s="311" t="s">
        <v>791</v>
      </c>
      <c r="B102" s="198" t="s">
        <v>45</v>
      </c>
      <c r="C102" s="199" t="s">
        <v>56</v>
      </c>
      <c r="D102" s="200" t="s">
        <v>403</v>
      </c>
      <c r="E102" s="201" t="s">
        <v>260</v>
      </c>
      <c r="F102" s="326"/>
      <c r="G102" s="326"/>
      <c r="H102" s="326" t="s">
        <v>173</v>
      </c>
      <c r="I102" s="327"/>
      <c r="J102" s="350" t="s">
        <v>851</v>
      </c>
      <c r="K102" s="350"/>
      <c r="L102" s="351"/>
      <c r="M102" s="316" t="s">
        <v>169</v>
      </c>
      <c r="N102" s="320"/>
      <c r="O102" s="350"/>
      <c r="P102" s="350"/>
      <c r="Q102" s="351"/>
      <c r="R102" s="376" t="s">
        <v>169</v>
      </c>
      <c r="S102" s="352"/>
      <c r="T102" s="188" t="s">
        <v>1060</v>
      </c>
      <c r="U102" s="189"/>
      <c r="V102" s="179" t="s">
        <v>160</v>
      </c>
      <c r="W102" s="190"/>
      <c r="X102" s="163"/>
      <c r="Y102" s="197" t="s">
        <v>113</v>
      </c>
      <c r="Z102" s="197" t="s">
        <v>111</v>
      </c>
      <c r="AA102" s="197" t="s">
        <v>117</v>
      </c>
      <c r="AB102" s="197" t="s">
        <v>181</v>
      </c>
      <c r="AC102" s="197" t="s">
        <v>181</v>
      </c>
      <c r="AD102" s="198" t="s">
        <v>516</v>
      </c>
      <c r="AE102" s="161" t="s">
        <v>656</v>
      </c>
      <c r="AF102" s="303"/>
    </row>
    <row r="103" spans="1:32" ht="90" customHeight="1" thickBot="1">
      <c r="A103" s="311" t="s">
        <v>791</v>
      </c>
      <c r="B103" s="198" t="s">
        <v>404</v>
      </c>
      <c r="C103" s="199" t="s">
        <v>56</v>
      </c>
      <c r="D103" s="200" t="s">
        <v>405</v>
      </c>
      <c r="E103" s="201" t="s">
        <v>260</v>
      </c>
      <c r="F103" s="326"/>
      <c r="G103" s="326"/>
      <c r="H103" s="326" t="s">
        <v>173</v>
      </c>
      <c r="I103" s="327"/>
      <c r="J103" s="350" t="s">
        <v>851</v>
      </c>
      <c r="K103" s="350"/>
      <c r="L103" s="351"/>
      <c r="M103" s="316" t="s">
        <v>169</v>
      </c>
      <c r="N103" s="320"/>
      <c r="O103" s="350"/>
      <c r="P103" s="350"/>
      <c r="Q103" s="351"/>
      <c r="R103" s="376" t="s">
        <v>169</v>
      </c>
      <c r="S103" s="352"/>
      <c r="T103" s="188" t="s">
        <v>1061</v>
      </c>
      <c r="U103" s="189"/>
      <c r="V103" s="179" t="s">
        <v>160</v>
      </c>
      <c r="W103" s="190"/>
      <c r="X103" s="163"/>
      <c r="Y103" s="197" t="s">
        <v>113</v>
      </c>
      <c r="Z103" s="197" t="s">
        <v>111</v>
      </c>
      <c r="AA103" s="197" t="s">
        <v>117</v>
      </c>
      <c r="AB103" s="197" t="s">
        <v>181</v>
      </c>
      <c r="AC103" s="197" t="s">
        <v>181</v>
      </c>
      <c r="AD103" s="198" t="s">
        <v>517</v>
      </c>
      <c r="AE103" s="161" t="s">
        <v>657</v>
      </c>
      <c r="AF103" s="303"/>
    </row>
    <row r="104" spans="1:32" ht="90" customHeight="1" thickBot="1">
      <c r="A104" s="311" t="s">
        <v>791</v>
      </c>
      <c r="B104" s="198" t="s">
        <v>46</v>
      </c>
      <c r="C104" s="199" t="s">
        <v>50</v>
      </c>
      <c r="D104" s="200" t="s">
        <v>51</v>
      </c>
      <c r="E104" s="201"/>
      <c r="F104" s="326" t="s">
        <v>679</v>
      </c>
      <c r="G104" s="326"/>
      <c r="H104" s="326" t="s">
        <v>169</v>
      </c>
      <c r="I104" s="327"/>
      <c r="J104" s="350" t="s">
        <v>852</v>
      </c>
      <c r="K104" s="350"/>
      <c r="L104" s="351"/>
      <c r="M104" s="316" t="s">
        <v>169</v>
      </c>
      <c r="N104" s="320"/>
      <c r="O104" s="350" t="s">
        <v>964</v>
      </c>
      <c r="P104" s="350"/>
      <c r="Q104" s="351"/>
      <c r="R104" s="376" t="s">
        <v>169</v>
      </c>
      <c r="S104" s="352"/>
      <c r="T104" s="188"/>
      <c r="U104" s="189">
        <v>2</v>
      </c>
      <c r="V104" s="179" t="s">
        <v>160</v>
      </c>
      <c r="W104" s="190"/>
      <c r="X104" s="163"/>
      <c r="Y104" s="197" t="s">
        <v>113</v>
      </c>
      <c r="Z104" s="197" t="s">
        <v>111</v>
      </c>
      <c r="AA104" s="197" t="s">
        <v>117</v>
      </c>
      <c r="AB104" s="197" t="s">
        <v>181</v>
      </c>
      <c r="AC104" s="197" t="s">
        <v>181</v>
      </c>
      <c r="AD104" s="198" t="s">
        <v>518</v>
      </c>
      <c r="AE104" s="161" t="s">
        <v>658</v>
      </c>
      <c r="AF104" s="302" t="s">
        <v>556</v>
      </c>
    </row>
    <row r="105" spans="1:32" ht="117" customHeight="1" thickBot="1">
      <c r="A105" s="311" t="s">
        <v>791</v>
      </c>
      <c r="B105" s="198" t="s">
        <v>47</v>
      </c>
      <c r="C105" s="199" t="s">
        <v>50</v>
      </c>
      <c r="D105" s="200" t="s">
        <v>406</v>
      </c>
      <c r="E105" s="201"/>
      <c r="F105" s="326" t="s">
        <v>680</v>
      </c>
      <c r="G105" s="326"/>
      <c r="H105" s="326" t="s">
        <v>169</v>
      </c>
      <c r="I105" s="327"/>
      <c r="J105" s="351" t="s">
        <v>861</v>
      </c>
      <c r="K105" s="350"/>
      <c r="L105" s="351"/>
      <c r="M105" s="316" t="s">
        <v>169</v>
      </c>
      <c r="O105" s="350">
        <v>6</v>
      </c>
      <c r="P105" s="350"/>
      <c r="Q105" s="351"/>
      <c r="R105" s="376" t="s">
        <v>169</v>
      </c>
      <c r="S105" s="352"/>
      <c r="T105" s="188" t="s">
        <v>1059</v>
      </c>
      <c r="U105" s="189">
        <v>10</v>
      </c>
      <c r="V105" s="179" t="s">
        <v>160</v>
      </c>
      <c r="W105" s="190"/>
      <c r="X105" s="163"/>
      <c r="Y105" s="197" t="s">
        <v>113</v>
      </c>
      <c r="Z105" s="197" t="s">
        <v>111</v>
      </c>
      <c r="AA105" s="197" t="s">
        <v>117</v>
      </c>
      <c r="AB105" s="197" t="s">
        <v>181</v>
      </c>
      <c r="AC105" s="197" t="s">
        <v>181</v>
      </c>
      <c r="AD105" s="198" t="s">
        <v>519</v>
      </c>
      <c r="AE105" s="161" t="s">
        <v>659</v>
      </c>
      <c r="AF105" s="302" t="s">
        <v>556</v>
      </c>
    </row>
    <row r="106" spans="1:32" ht="90" customHeight="1" thickBot="1">
      <c r="A106" s="311" t="s">
        <v>791</v>
      </c>
      <c r="B106" s="198" t="s">
        <v>48</v>
      </c>
      <c r="C106" s="199" t="s">
        <v>54</v>
      </c>
      <c r="D106" s="200" t="s">
        <v>407</v>
      </c>
      <c r="E106" s="201" t="s">
        <v>266</v>
      </c>
      <c r="F106" s="312" t="s">
        <v>681</v>
      </c>
      <c r="G106" s="312"/>
      <c r="H106" s="312" t="s">
        <v>169</v>
      </c>
      <c r="I106" s="313"/>
      <c r="J106" s="351" t="s">
        <v>853</v>
      </c>
      <c r="K106" s="318"/>
      <c r="L106" s="319"/>
      <c r="M106" s="316" t="s">
        <v>169</v>
      </c>
      <c r="N106" s="320"/>
      <c r="O106" s="318" t="s">
        <v>965</v>
      </c>
      <c r="P106" s="318"/>
      <c r="Q106" s="319"/>
      <c r="R106" s="316" t="s">
        <v>160</v>
      </c>
      <c r="S106" s="320"/>
      <c r="T106" s="318" t="s">
        <v>965</v>
      </c>
      <c r="U106" s="182"/>
      <c r="V106" s="179" t="s">
        <v>160</v>
      </c>
      <c r="W106" s="183"/>
      <c r="X106" s="162"/>
      <c r="Y106" s="197" t="s">
        <v>113</v>
      </c>
      <c r="Z106" s="197" t="s">
        <v>111</v>
      </c>
      <c r="AA106" s="197" t="s">
        <v>117</v>
      </c>
      <c r="AB106" s="197" t="s">
        <v>181</v>
      </c>
      <c r="AC106" s="197" t="s">
        <v>181</v>
      </c>
      <c r="AD106" s="198" t="s">
        <v>520</v>
      </c>
      <c r="AE106" s="161" t="s">
        <v>660</v>
      </c>
      <c r="AF106" s="303"/>
    </row>
    <row r="107" spans="1:32" ht="90" customHeight="1" thickBot="1">
      <c r="A107" s="311" t="s">
        <v>791</v>
      </c>
      <c r="B107" s="198" t="s">
        <v>49</v>
      </c>
      <c r="C107" s="199" t="s">
        <v>54</v>
      </c>
      <c r="D107" s="200" t="s">
        <v>408</v>
      </c>
      <c r="E107" s="201" t="s">
        <v>276</v>
      </c>
      <c r="F107" s="312" t="s">
        <v>682</v>
      </c>
      <c r="G107" s="312"/>
      <c r="H107" s="312" t="s">
        <v>169</v>
      </c>
      <c r="I107" s="313"/>
      <c r="J107" s="351" t="s">
        <v>854</v>
      </c>
      <c r="K107" s="318"/>
      <c r="L107" s="319"/>
      <c r="M107" s="316" t="s">
        <v>169</v>
      </c>
      <c r="N107" s="320"/>
      <c r="O107" s="318" t="s">
        <v>966</v>
      </c>
      <c r="P107" s="318"/>
      <c r="Q107" s="319"/>
      <c r="R107" s="316" t="s">
        <v>160</v>
      </c>
      <c r="S107" s="320"/>
      <c r="T107" s="318" t="s">
        <v>966</v>
      </c>
      <c r="U107" s="182"/>
      <c r="V107" s="179" t="s">
        <v>160</v>
      </c>
      <c r="W107" s="183"/>
      <c r="X107" s="160"/>
      <c r="Y107" s="197" t="s">
        <v>113</v>
      </c>
      <c r="Z107" s="197" t="s">
        <v>111</v>
      </c>
      <c r="AA107" s="197" t="s">
        <v>117</v>
      </c>
      <c r="AB107" s="197" t="s">
        <v>181</v>
      </c>
      <c r="AC107" s="197" t="s">
        <v>181</v>
      </c>
      <c r="AD107" s="198" t="s">
        <v>521</v>
      </c>
      <c r="AE107" s="161" t="s">
        <v>661</v>
      </c>
      <c r="AF107" s="303"/>
    </row>
    <row r="108" spans="1:32" ht="90" customHeight="1" thickBot="1">
      <c r="A108" s="311" t="s">
        <v>791</v>
      </c>
      <c r="B108" s="198" t="s">
        <v>52</v>
      </c>
      <c r="C108" s="199" t="s">
        <v>274</v>
      </c>
      <c r="D108" s="200" t="s">
        <v>409</v>
      </c>
      <c r="E108" s="201" t="s">
        <v>410</v>
      </c>
      <c r="F108" s="312" t="s">
        <v>681</v>
      </c>
      <c r="G108" s="312"/>
      <c r="H108" s="312" t="s">
        <v>169</v>
      </c>
      <c r="I108" s="313"/>
      <c r="J108" s="351" t="s">
        <v>853</v>
      </c>
      <c r="K108" s="318"/>
      <c r="L108" s="319"/>
      <c r="M108" s="316" t="s">
        <v>169</v>
      </c>
      <c r="N108" s="320"/>
      <c r="O108" s="318" t="s">
        <v>965</v>
      </c>
      <c r="P108" s="318"/>
      <c r="Q108" s="319"/>
      <c r="R108" s="316" t="s">
        <v>160</v>
      </c>
      <c r="S108" s="320"/>
      <c r="T108" s="318" t="s">
        <v>965</v>
      </c>
      <c r="U108" s="182"/>
      <c r="V108" s="179" t="s">
        <v>160</v>
      </c>
      <c r="W108" s="183"/>
      <c r="X108" s="160"/>
      <c r="Y108" s="197" t="s">
        <v>113</v>
      </c>
      <c r="Z108" s="197" t="s">
        <v>111</v>
      </c>
      <c r="AA108" s="197" t="s">
        <v>117</v>
      </c>
      <c r="AB108" s="197" t="s">
        <v>181</v>
      </c>
      <c r="AC108" s="197" t="s">
        <v>181</v>
      </c>
      <c r="AD108" s="198" t="s">
        <v>522</v>
      </c>
      <c r="AE108" s="161" t="s">
        <v>662</v>
      </c>
      <c r="AF108" s="303"/>
    </row>
    <row r="109" spans="1:32" ht="90" customHeight="1" thickBot="1">
      <c r="A109" s="311" t="s">
        <v>153</v>
      </c>
      <c r="B109" s="198" t="s">
        <v>53</v>
      </c>
      <c r="C109" s="199" t="s">
        <v>411</v>
      </c>
      <c r="D109" s="200" t="s">
        <v>412</v>
      </c>
      <c r="E109" s="201" t="s">
        <v>410</v>
      </c>
      <c r="F109" s="312" t="s">
        <v>666</v>
      </c>
      <c r="G109" s="312"/>
      <c r="H109" s="312" t="s">
        <v>169</v>
      </c>
      <c r="I109" s="313"/>
      <c r="J109" s="318" t="s">
        <v>810</v>
      </c>
      <c r="K109" s="318"/>
      <c r="L109" s="319"/>
      <c r="M109" s="316" t="s">
        <v>169</v>
      </c>
      <c r="N109" s="320"/>
      <c r="O109" s="318" t="s">
        <v>884</v>
      </c>
      <c r="P109" s="318"/>
      <c r="Q109" s="319"/>
      <c r="R109" s="366" t="s">
        <v>170</v>
      </c>
      <c r="S109" s="320"/>
      <c r="T109" s="318" t="s">
        <v>1056</v>
      </c>
      <c r="U109" s="182"/>
      <c r="V109" s="179" t="s">
        <v>164</v>
      </c>
      <c r="W109" s="183"/>
      <c r="X109" s="160"/>
      <c r="Y109" s="197" t="s">
        <v>115</v>
      </c>
      <c r="Z109" s="197" t="s">
        <v>134</v>
      </c>
      <c r="AA109" s="197" t="s">
        <v>117</v>
      </c>
      <c r="AB109" s="197" t="s">
        <v>939</v>
      </c>
      <c r="AC109" s="197" t="s">
        <v>182</v>
      </c>
      <c r="AD109" s="198" t="s">
        <v>523</v>
      </c>
      <c r="AE109" s="161" t="s">
        <v>663</v>
      </c>
      <c r="AF109" s="303"/>
    </row>
    <row r="110" spans="1:32" ht="90" customHeight="1" thickBot="1">
      <c r="A110" s="311" t="s">
        <v>153</v>
      </c>
      <c r="B110" s="198" t="s">
        <v>55</v>
      </c>
      <c r="C110" s="199" t="s">
        <v>411</v>
      </c>
      <c r="D110" s="200" t="s">
        <v>413</v>
      </c>
      <c r="E110" s="201" t="s">
        <v>262</v>
      </c>
      <c r="F110" s="312" t="s">
        <v>741</v>
      </c>
      <c r="G110" s="312"/>
      <c r="H110" s="312" t="s">
        <v>169</v>
      </c>
      <c r="I110" s="313"/>
      <c r="J110" s="318" t="s">
        <v>862</v>
      </c>
      <c r="K110" s="318"/>
      <c r="L110" s="319"/>
      <c r="M110" s="316" t="s">
        <v>169</v>
      </c>
      <c r="N110" s="320"/>
      <c r="O110" s="318" t="s">
        <v>885</v>
      </c>
      <c r="P110" s="318"/>
      <c r="Q110" s="319"/>
      <c r="R110" s="366" t="s">
        <v>160</v>
      </c>
      <c r="S110" s="320"/>
      <c r="T110" s="181" t="s">
        <v>1039</v>
      </c>
      <c r="U110" s="182"/>
      <c r="V110" s="179" t="s">
        <v>160</v>
      </c>
      <c r="W110" s="183"/>
      <c r="X110" s="162"/>
      <c r="Y110" s="197" t="s">
        <v>115</v>
      </c>
      <c r="Z110" s="197" t="s">
        <v>418</v>
      </c>
      <c r="AA110" s="197" t="s">
        <v>117</v>
      </c>
      <c r="AB110" s="197" t="s">
        <v>939</v>
      </c>
      <c r="AC110" s="197" t="s">
        <v>182</v>
      </c>
      <c r="AD110" s="198" t="s">
        <v>524</v>
      </c>
      <c r="AE110" s="161" t="s">
        <v>664</v>
      </c>
      <c r="AF110" s="303"/>
    </row>
    <row r="111" spans="1:32" ht="409.5" customHeight="1" thickBot="1">
      <c r="A111" s="311" t="s">
        <v>153</v>
      </c>
      <c r="B111" s="198" t="s">
        <v>57</v>
      </c>
      <c r="C111" s="199" t="s">
        <v>414</v>
      </c>
      <c r="D111" s="200" t="s">
        <v>415</v>
      </c>
      <c r="E111" s="201" t="s">
        <v>358</v>
      </c>
      <c r="F111" s="312" t="s">
        <v>735</v>
      </c>
      <c r="G111" s="312"/>
      <c r="H111" s="312" t="s">
        <v>169</v>
      </c>
      <c r="I111" s="313" t="s">
        <v>667</v>
      </c>
      <c r="J111" s="318" t="s">
        <v>873</v>
      </c>
      <c r="K111" s="318"/>
      <c r="L111" s="319"/>
      <c r="M111" s="316" t="s">
        <v>169</v>
      </c>
      <c r="N111" s="320"/>
      <c r="O111" s="318" t="s">
        <v>886</v>
      </c>
      <c r="P111" s="318"/>
      <c r="Q111" s="319"/>
      <c r="R111" s="366" t="s">
        <v>169</v>
      </c>
      <c r="S111" s="320"/>
      <c r="T111" s="181" t="s">
        <v>1022</v>
      </c>
      <c r="U111" s="182"/>
      <c r="V111" s="179" t="s">
        <v>160</v>
      </c>
      <c r="W111" s="183"/>
      <c r="X111" s="162"/>
      <c r="Y111" s="197" t="s">
        <v>115</v>
      </c>
      <c r="Z111" s="197" t="s">
        <v>141</v>
      </c>
      <c r="AA111" s="197" t="s">
        <v>117</v>
      </c>
      <c r="AB111" s="197" t="s">
        <v>939</v>
      </c>
      <c r="AC111" s="197" t="s">
        <v>182</v>
      </c>
      <c r="AD111" s="198" t="s">
        <v>525</v>
      </c>
      <c r="AE111" s="161" t="s">
        <v>665</v>
      </c>
      <c r="AF111" s="303"/>
    </row>
    <row r="112" spans="1:32">
      <c r="F112" s="353"/>
      <c r="G112" s="353"/>
      <c r="H112" s="353"/>
      <c r="I112" s="353"/>
      <c r="J112" s="353"/>
      <c r="K112" s="353"/>
      <c r="L112" s="353"/>
      <c r="M112" s="353"/>
      <c r="N112" s="353"/>
      <c r="O112" s="353"/>
      <c r="P112" s="353"/>
      <c r="Q112" s="353"/>
      <c r="R112" s="353"/>
      <c r="S112" s="353"/>
      <c r="T112" s="191"/>
      <c r="U112" s="191"/>
      <c r="V112" s="191"/>
      <c r="W112" s="191"/>
    </row>
    <row r="114" spans="6:6">
      <c r="F114" s="354" t="s">
        <v>734</v>
      </c>
    </row>
    <row r="146" spans="1:1">
      <c r="A146" s="1" t="s">
        <v>159</v>
      </c>
    </row>
    <row r="147" spans="1:1">
      <c r="A147" s="1" t="s">
        <v>160</v>
      </c>
    </row>
    <row r="148" spans="1:1">
      <c r="A148" s="1" t="s">
        <v>161</v>
      </c>
    </row>
    <row r="149" spans="1:1">
      <c r="A149" s="1" t="s">
        <v>162</v>
      </c>
    </row>
    <row r="150" spans="1:1">
      <c r="A150" s="1" t="s">
        <v>163</v>
      </c>
    </row>
    <row r="151" spans="1:1">
      <c r="A151" s="1" t="s">
        <v>164</v>
      </c>
    </row>
    <row r="152" spans="1:1">
      <c r="A152" s="1" t="s">
        <v>165</v>
      </c>
    </row>
    <row r="153" spans="1:1">
      <c r="A153" s="1" t="s">
        <v>166</v>
      </c>
    </row>
    <row r="154" spans="1:1">
      <c r="A154" s="1" t="s">
        <v>167</v>
      </c>
    </row>
    <row r="155" spans="1:1">
      <c r="A155" s="1" t="s">
        <v>168</v>
      </c>
    </row>
    <row r="156" spans="1:1">
      <c r="A156" s="2"/>
    </row>
    <row r="157" spans="1:1">
      <c r="A157" s="2"/>
    </row>
    <row r="158" spans="1:1">
      <c r="A158" s="2"/>
    </row>
    <row r="159" spans="1:1">
      <c r="A159" s="3"/>
    </row>
    <row r="160" spans="1:1">
      <c r="A160" s="3"/>
    </row>
    <row r="161" spans="1:1">
      <c r="A161" s="2"/>
    </row>
    <row r="162" spans="1:1">
      <c r="A162" s="2"/>
    </row>
    <row r="163" spans="1:1">
      <c r="A163" s="2"/>
    </row>
    <row r="164" spans="1:1">
      <c r="A164" s="5" t="s">
        <v>160</v>
      </c>
    </row>
    <row r="165" spans="1:1">
      <c r="A165" s="5" t="s">
        <v>169</v>
      </c>
    </row>
    <row r="166" spans="1:1">
      <c r="A166" s="5" t="s">
        <v>170</v>
      </c>
    </row>
    <row r="167" spans="1:1">
      <c r="A167" s="5" t="s">
        <v>164</v>
      </c>
    </row>
    <row r="168" spans="1:1">
      <c r="A168" s="5" t="s">
        <v>171</v>
      </c>
    </row>
    <row r="169" spans="1:1">
      <c r="A169" s="6" t="s">
        <v>168</v>
      </c>
    </row>
    <row r="170" spans="1:1">
      <c r="A170" s="5" t="s">
        <v>173</v>
      </c>
    </row>
    <row r="171" spans="1:1">
      <c r="A171" s="5" t="s">
        <v>172</v>
      </c>
    </row>
    <row r="172" spans="1:1">
      <c r="A172" s="4" t="s">
        <v>167</v>
      </c>
    </row>
  </sheetData>
  <sheetProtection selectLockedCells="1" autoFilter="0" pivotTables="0"/>
  <autoFilter ref="A2:AF111"/>
  <mergeCells count="4">
    <mergeCell ref="F1:I1"/>
    <mergeCell ref="J1:N1"/>
    <mergeCell ref="O1:S1"/>
    <mergeCell ref="T1:W1"/>
  </mergeCells>
  <conditionalFormatting sqref="H39 H42 H44 H46:H47 H49 R49:R73 R75 H78 R78 R80:R81 R84:R95 H3:H4 H7:H15 H17:H37 H51:H53 H55:H73 H84:H95 H97:H111 R97:R111 M3:M111 R3:R37">
    <cfRule type="containsText" dxfId="4250" priority="1067" operator="containsText" text="Deferred">
      <formula>NOT(ISERROR(SEARCH("Deferred",H3)))</formula>
    </cfRule>
    <cfRule type="containsText" dxfId="4249" priority="1069" operator="containsText" text="Update Not Provided">
      <formula>NOT(ISERROR(SEARCH("Update Not Provided",H3)))</formula>
    </cfRule>
    <cfRule type="containsText" dxfId="4248" priority="1070" operator="containsText" text="Not Yet Due">
      <formula>NOT(ISERROR(SEARCH("Not Yet Due",H3)))</formula>
    </cfRule>
    <cfRule type="containsText" dxfId="4247" priority="1071" operator="containsText" text="Deleted">
      <formula>NOT(ISERROR(SEARCH("Deleted",H3)))</formula>
    </cfRule>
    <cfRule type="containsText" dxfId="4246" priority="1072" operator="containsText" text="Completed Behind Schedule">
      <formula>NOT(ISERROR(SEARCH("Completed Behind Schedule",H3)))</formula>
    </cfRule>
    <cfRule type="containsText" dxfId="4245" priority="1073" operator="containsText" text="Off Target">
      <formula>NOT(ISERROR(SEARCH("Off Target",H3)))</formula>
    </cfRule>
    <cfRule type="containsText" dxfId="4244" priority="1074" operator="containsText" text="In Danger of Falling Behind Target">
      <formula>NOT(ISERROR(SEARCH("In Danger of Falling Behind Target",H3)))</formula>
    </cfRule>
    <cfRule type="containsText" dxfId="4243" priority="1075" operator="containsText" text="Fully Achieved">
      <formula>NOT(ISERROR(SEARCH("Fully Achieved",H3)))</formula>
    </cfRule>
    <cfRule type="containsText" dxfId="4242" priority="1076" operator="containsText" text="On track to be achieved">
      <formula>NOT(ISERROR(SEARCH("On track to be achieved",H3)))</formula>
    </cfRule>
  </conditionalFormatting>
  <conditionalFormatting sqref="R39 R42 R46:R47 R44">
    <cfRule type="containsText" dxfId="4241" priority="1022" operator="containsText" text="Deferred">
      <formula>NOT(ISERROR(SEARCH("Deferred",R39)))</formula>
    </cfRule>
    <cfRule type="containsText" dxfId="4240" priority="1023" operator="containsText" text="Update Not Provided">
      <formula>NOT(ISERROR(SEARCH("Update Not Provided",R39)))</formula>
    </cfRule>
    <cfRule type="containsText" dxfId="4239" priority="1024" operator="containsText" text="Not Yet Due">
      <formula>NOT(ISERROR(SEARCH("Not Yet Due",R39)))</formula>
    </cfRule>
    <cfRule type="containsText" dxfId="4238" priority="1025" operator="containsText" text="Deleted">
      <formula>NOT(ISERROR(SEARCH("Deleted",R39)))</formula>
    </cfRule>
    <cfRule type="containsText" dxfId="4237" priority="1026" operator="containsText" text="Completed Behind Schedule">
      <formula>NOT(ISERROR(SEARCH("Completed Behind Schedule",R39)))</formula>
    </cfRule>
    <cfRule type="containsText" dxfId="4236" priority="1027" operator="containsText" text="Off Target">
      <formula>NOT(ISERROR(SEARCH("Off Target",R39)))</formula>
    </cfRule>
    <cfRule type="containsText" dxfId="4235" priority="1028" operator="containsText" text="In Danger of Falling Behind Target">
      <formula>NOT(ISERROR(SEARCH("In Danger of Falling Behind Target",R39)))</formula>
    </cfRule>
    <cfRule type="containsText" dxfId="4234" priority="1029" operator="containsText" text="Fully Achieved">
      <formula>NOT(ISERROR(SEARCH("Fully Achieved",R39)))</formula>
    </cfRule>
    <cfRule type="containsText" dxfId="4233" priority="1030" operator="containsText" text="On track to be achieved">
      <formula>NOT(ISERROR(SEARCH("On track to be achieved",R39)))</formula>
    </cfRule>
  </conditionalFormatting>
  <conditionalFormatting sqref="H38">
    <cfRule type="containsText" dxfId="4232" priority="1003" operator="containsText" text="Deferred">
      <formula>NOT(ISERROR(SEARCH("Deferred",H38)))</formula>
    </cfRule>
    <cfRule type="containsText" dxfId="4231" priority="1004" operator="containsText" text="Update Not Provided">
      <formula>NOT(ISERROR(SEARCH("Update Not Provided",H38)))</formula>
    </cfRule>
    <cfRule type="containsText" dxfId="4230" priority="1005" operator="containsText" text="Not Yet Due">
      <formula>NOT(ISERROR(SEARCH("Not Yet Due",H38)))</formula>
    </cfRule>
    <cfRule type="containsText" dxfId="4229" priority="1006" operator="containsText" text="Deleted">
      <formula>NOT(ISERROR(SEARCH("Deleted",H38)))</formula>
    </cfRule>
    <cfRule type="containsText" dxfId="4228" priority="1007" operator="containsText" text="Completed Behind Schedule">
      <formula>NOT(ISERROR(SEARCH("Completed Behind Schedule",H38)))</formula>
    </cfRule>
    <cfRule type="containsText" dxfId="4227" priority="1008" operator="containsText" text="Off Target">
      <formula>NOT(ISERROR(SEARCH("Off Target",H38)))</formula>
    </cfRule>
    <cfRule type="containsText" dxfId="4226" priority="1009" operator="containsText" text="In Danger of Falling Behind Target">
      <formula>NOT(ISERROR(SEARCH("In Danger of Falling Behind Target",H38)))</formula>
    </cfRule>
    <cfRule type="containsText" dxfId="4225" priority="1010" operator="containsText" text="Fully Achieved">
      <formula>NOT(ISERROR(SEARCH("Fully Achieved",H38)))</formula>
    </cfRule>
    <cfRule type="containsText" dxfId="4224" priority="1011" operator="containsText" text="On track to be achieved">
      <formula>NOT(ISERROR(SEARCH("On track to be achieved",H38)))</formula>
    </cfRule>
  </conditionalFormatting>
  <conditionalFormatting sqref="R38">
    <cfRule type="containsText" dxfId="4223" priority="976" operator="containsText" text="Deferred">
      <formula>NOT(ISERROR(SEARCH("Deferred",R38)))</formula>
    </cfRule>
    <cfRule type="containsText" dxfId="4222" priority="977" operator="containsText" text="Update Not Provided">
      <formula>NOT(ISERROR(SEARCH("Update Not Provided",R38)))</formula>
    </cfRule>
    <cfRule type="containsText" dxfId="4221" priority="978" operator="containsText" text="Not Yet Due">
      <formula>NOT(ISERROR(SEARCH("Not Yet Due",R38)))</formula>
    </cfRule>
    <cfRule type="containsText" dxfId="4220" priority="979" operator="containsText" text="Deleted">
      <formula>NOT(ISERROR(SEARCH("Deleted",R38)))</formula>
    </cfRule>
    <cfRule type="containsText" dxfId="4219" priority="980" operator="containsText" text="Completed Behind Schedule">
      <formula>NOT(ISERROR(SEARCH("Completed Behind Schedule",R38)))</formula>
    </cfRule>
    <cfRule type="containsText" dxfId="4218" priority="981" operator="containsText" text="Off Target">
      <formula>NOT(ISERROR(SEARCH("Off Target",R38)))</formula>
    </cfRule>
    <cfRule type="containsText" dxfId="4217" priority="982" operator="containsText" text="In Danger of Falling Behind Target">
      <formula>NOT(ISERROR(SEARCH("In Danger of Falling Behind Target",R38)))</formula>
    </cfRule>
    <cfRule type="containsText" dxfId="4216" priority="983" operator="containsText" text="Fully Achieved">
      <formula>NOT(ISERROR(SEARCH("Fully Achieved",R38)))</formula>
    </cfRule>
    <cfRule type="containsText" dxfId="4215" priority="984" operator="containsText" text="On track to be achieved">
      <formula>NOT(ISERROR(SEARCH("On track to be achieved",R38)))</formula>
    </cfRule>
  </conditionalFormatting>
  <conditionalFormatting sqref="H40">
    <cfRule type="containsText" dxfId="4214" priority="957" operator="containsText" text="Deferred">
      <formula>NOT(ISERROR(SEARCH("Deferred",H40)))</formula>
    </cfRule>
    <cfRule type="containsText" dxfId="4213" priority="958" operator="containsText" text="Update Not Provided">
      <formula>NOT(ISERROR(SEARCH("Update Not Provided",H40)))</formula>
    </cfRule>
    <cfRule type="containsText" dxfId="4212" priority="959" operator="containsText" text="Not Yet Due">
      <formula>NOT(ISERROR(SEARCH("Not Yet Due",H40)))</formula>
    </cfRule>
    <cfRule type="containsText" dxfId="4211" priority="960" operator="containsText" text="Deleted">
      <formula>NOT(ISERROR(SEARCH("Deleted",H40)))</formula>
    </cfRule>
    <cfRule type="containsText" dxfId="4210" priority="961" operator="containsText" text="Completed Behind Schedule">
      <formula>NOT(ISERROR(SEARCH("Completed Behind Schedule",H40)))</formula>
    </cfRule>
    <cfRule type="containsText" dxfId="4209" priority="962" operator="containsText" text="Off Target">
      <formula>NOT(ISERROR(SEARCH("Off Target",H40)))</formula>
    </cfRule>
    <cfRule type="containsText" dxfId="4208" priority="963" operator="containsText" text="In Danger of Falling Behind Target">
      <formula>NOT(ISERROR(SEARCH("In Danger of Falling Behind Target",H40)))</formula>
    </cfRule>
    <cfRule type="containsText" dxfId="4207" priority="964" operator="containsText" text="Fully Achieved">
      <formula>NOT(ISERROR(SEARCH("Fully Achieved",H40)))</formula>
    </cfRule>
    <cfRule type="containsText" dxfId="4206" priority="965" operator="containsText" text="On track to be achieved">
      <formula>NOT(ISERROR(SEARCH("On track to be achieved",H40)))</formula>
    </cfRule>
  </conditionalFormatting>
  <conditionalFormatting sqref="R40">
    <cfRule type="containsText" dxfId="4205" priority="930" operator="containsText" text="Deferred">
      <formula>NOT(ISERROR(SEARCH("Deferred",R40)))</formula>
    </cfRule>
    <cfRule type="containsText" dxfId="4204" priority="931" operator="containsText" text="Update Not Provided">
      <formula>NOT(ISERROR(SEARCH("Update Not Provided",R40)))</formula>
    </cfRule>
    <cfRule type="containsText" dxfId="4203" priority="932" operator="containsText" text="Not Yet Due">
      <formula>NOT(ISERROR(SEARCH("Not Yet Due",R40)))</formula>
    </cfRule>
    <cfRule type="containsText" dxfId="4202" priority="933" operator="containsText" text="Deleted">
      <formula>NOT(ISERROR(SEARCH("Deleted",R40)))</formula>
    </cfRule>
    <cfRule type="containsText" dxfId="4201" priority="934" operator="containsText" text="Completed Behind Schedule">
      <formula>NOT(ISERROR(SEARCH("Completed Behind Schedule",R40)))</formula>
    </cfRule>
    <cfRule type="containsText" dxfId="4200" priority="935" operator="containsText" text="Off Target">
      <formula>NOT(ISERROR(SEARCH("Off Target",R40)))</formula>
    </cfRule>
    <cfRule type="containsText" dxfId="4199" priority="936" operator="containsText" text="In Danger of Falling Behind Target">
      <formula>NOT(ISERROR(SEARCH("In Danger of Falling Behind Target",R40)))</formula>
    </cfRule>
    <cfRule type="containsText" dxfId="4198" priority="937" operator="containsText" text="Fully Achieved">
      <formula>NOT(ISERROR(SEARCH("Fully Achieved",R40)))</formula>
    </cfRule>
    <cfRule type="containsText" dxfId="4197" priority="938" operator="containsText" text="On track to be achieved">
      <formula>NOT(ISERROR(SEARCH("On track to be achieved",R40)))</formula>
    </cfRule>
  </conditionalFormatting>
  <conditionalFormatting sqref="H41">
    <cfRule type="containsText" dxfId="4196" priority="911" operator="containsText" text="Deferred">
      <formula>NOT(ISERROR(SEARCH("Deferred",H41)))</formula>
    </cfRule>
    <cfRule type="containsText" dxfId="4195" priority="912" operator="containsText" text="Update Not Provided">
      <formula>NOT(ISERROR(SEARCH("Update Not Provided",H41)))</formula>
    </cfRule>
    <cfRule type="containsText" dxfId="4194" priority="913" operator="containsText" text="Not Yet Due">
      <formula>NOT(ISERROR(SEARCH("Not Yet Due",H41)))</formula>
    </cfRule>
    <cfRule type="containsText" dxfId="4193" priority="914" operator="containsText" text="Deleted">
      <formula>NOT(ISERROR(SEARCH("Deleted",H41)))</formula>
    </cfRule>
    <cfRule type="containsText" dxfId="4192" priority="915" operator="containsText" text="Completed Behind Schedule">
      <formula>NOT(ISERROR(SEARCH("Completed Behind Schedule",H41)))</formula>
    </cfRule>
    <cfRule type="containsText" dxfId="4191" priority="916" operator="containsText" text="Off Target">
      <formula>NOT(ISERROR(SEARCH("Off Target",H41)))</formula>
    </cfRule>
    <cfRule type="containsText" dxfId="4190" priority="917" operator="containsText" text="In Danger of Falling Behind Target">
      <formula>NOT(ISERROR(SEARCH("In Danger of Falling Behind Target",H41)))</formula>
    </cfRule>
    <cfRule type="containsText" dxfId="4189" priority="918" operator="containsText" text="Fully Achieved">
      <formula>NOT(ISERROR(SEARCH("Fully Achieved",H41)))</formula>
    </cfRule>
    <cfRule type="containsText" dxfId="4188" priority="919" operator="containsText" text="On track to be achieved">
      <formula>NOT(ISERROR(SEARCH("On track to be achieved",H41)))</formula>
    </cfRule>
  </conditionalFormatting>
  <conditionalFormatting sqref="R41">
    <cfRule type="containsText" dxfId="4187" priority="884" operator="containsText" text="Deferred">
      <formula>NOT(ISERROR(SEARCH("Deferred",R41)))</formula>
    </cfRule>
    <cfRule type="containsText" dxfId="4186" priority="885" operator="containsText" text="Update Not Provided">
      <formula>NOT(ISERROR(SEARCH("Update Not Provided",R41)))</formula>
    </cfRule>
    <cfRule type="containsText" dxfId="4185" priority="886" operator="containsText" text="Not Yet Due">
      <formula>NOT(ISERROR(SEARCH("Not Yet Due",R41)))</formula>
    </cfRule>
    <cfRule type="containsText" dxfId="4184" priority="887" operator="containsText" text="Deleted">
      <formula>NOT(ISERROR(SEARCH("Deleted",R41)))</formula>
    </cfRule>
    <cfRule type="containsText" dxfId="4183" priority="888" operator="containsText" text="Completed Behind Schedule">
      <formula>NOT(ISERROR(SEARCH("Completed Behind Schedule",R41)))</formula>
    </cfRule>
    <cfRule type="containsText" dxfId="4182" priority="889" operator="containsText" text="Off Target">
      <formula>NOT(ISERROR(SEARCH("Off Target",R41)))</formula>
    </cfRule>
    <cfRule type="containsText" dxfId="4181" priority="890" operator="containsText" text="In Danger of Falling Behind Target">
      <formula>NOT(ISERROR(SEARCH("In Danger of Falling Behind Target",R41)))</formula>
    </cfRule>
    <cfRule type="containsText" dxfId="4180" priority="891" operator="containsText" text="Fully Achieved">
      <formula>NOT(ISERROR(SEARCH("Fully Achieved",R41)))</formula>
    </cfRule>
    <cfRule type="containsText" dxfId="4179" priority="892" operator="containsText" text="On track to be achieved">
      <formula>NOT(ISERROR(SEARCH("On track to be achieved",R41)))</formula>
    </cfRule>
  </conditionalFormatting>
  <conditionalFormatting sqref="H43">
    <cfRule type="containsText" dxfId="4178" priority="865" operator="containsText" text="Deferred">
      <formula>NOT(ISERROR(SEARCH("Deferred",H43)))</formula>
    </cfRule>
    <cfRule type="containsText" dxfId="4177" priority="866" operator="containsText" text="Update Not Provided">
      <formula>NOT(ISERROR(SEARCH("Update Not Provided",H43)))</formula>
    </cfRule>
    <cfRule type="containsText" dxfId="4176" priority="867" operator="containsText" text="Not Yet Due">
      <formula>NOT(ISERROR(SEARCH("Not Yet Due",H43)))</formula>
    </cfRule>
    <cfRule type="containsText" dxfId="4175" priority="868" operator="containsText" text="Deleted">
      <formula>NOT(ISERROR(SEARCH("Deleted",H43)))</formula>
    </cfRule>
    <cfRule type="containsText" dxfId="4174" priority="869" operator="containsText" text="Completed Behind Schedule">
      <formula>NOT(ISERROR(SEARCH("Completed Behind Schedule",H43)))</formula>
    </cfRule>
    <cfRule type="containsText" dxfId="4173" priority="870" operator="containsText" text="Off Target">
      <formula>NOT(ISERROR(SEARCH("Off Target",H43)))</formula>
    </cfRule>
    <cfRule type="containsText" dxfId="4172" priority="871" operator="containsText" text="In Danger of Falling Behind Target">
      <formula>NOT(ISERROR(SEARCH("In Danger of Falling Behind Target",H43)))</formula>
    </cfRule>
    <cfRule type="containsText" dxfId="4171" priority="872" operator="containsText" text="Fully Achieved">
      <formula>NOT(ISERROR(SEARCH("Fully Achieved",H43)))</formula>
    </cfRule>
    <cfRule type="containsText" dxfId="4170" priority="873" operator="containsText" text="On track to be achieved">
      <formula>NOT(ISERROR(SEARCH("On track to be achieved",H43)))</formula>
    </cfRule>
  </conditionalFormatting>
  <conditionalFormatting sqref="R43">
    <cfRule type="containsText" dxfId="4169" priority="838" operator="containsText" text="Deferred">
      <formula>NOT(ISERROR(SEARCH("Deferred",R43)))</formula>
    </cfRule>
    <cfRule type="containsText" dxfId="4168" priority="839" operator="containsText" text="Update Not Provided">
      <formula>NOT(ISERROR(SEARCH("Update Not Provided",R43)))</formula>
    </cfRule>
    <cfRule type="containsText" dxfId="4167" priority="840" operator="containsText" text="Not Yet Due">
      <formula>NOT(ISERROR(SEARCH("Not Yet Due",R43)))</formula>
    </cfRule>
    <cfRule type="containsText" dxfId="4166" priority="841" operator="containsText" text="Deleted">
      <formula>NOT(ISERROR(SEARCH("Deleted",R43)))</formula>
    </cfRule>
    <cfRule type="containsText" dxfId="4165" priority="842" operator="containsText" text="Completed Behind Schedule">
      <formula>NOT(ISERROR(SEARCH("Completed Behind Schedule",R43)))</formula>
    </cfRule>
    <cfRule type="containsText" dxfId="4164" priority="843" operator="containsText" text="Off Target">
      <formula>NOT(ISERROR(SEARCH("Off Target",R43)))</formula>
    </cfRule>
    <cfRule type="containsText" dxfId="4163" priority="844" operator="containsText" text="In Danger of Falling Behind Target">
      <formula>NOT(ISERROR(SEARCH("In Danger of Falling Behind Target",R43)))</formula>
    </cfRule>
    <cfRule type="containsText" dxfId="4162" priority="845" operator="containsText" text="Fully Achieved">
      <formula>NOT(ISERROR(SEARCH("Fully Achieved",R43)))</formula>
    </cfRule>
    <cfRule type="containsText" dxfId="4161" priority="846" operator="containsText" text="On track to be achieved">
      <formula>NOT(ISERROR(SEARCH("On track to be achieved",R43)))</formula>
    </cfRule>
  </conditionalFormatting>
  <conditionalFormatting sqref="H48">
    <cfRule type="containsText" dxfId="4160" priority="819" operator="containsText" text="Deferred">
      <formula>NOT(ISERROR(SEARCH("Deferred",H48)))</formula>
    </cfRule>
    <cfRule type="containsText" dxfId="4159" priority="820" operator="containsText" text="Update Not Provided">
      <formula>NOT(ISERROR(SEARCH("Update Not Provided",H48)))</formula>
    </cfRule>
    <cfRule type="containsText" dxfId="4158" priority="821" operator="containsText" text="Not Yet Due">
      <formula>NOT(ISERROR(SEARCH("Not Yet Due",H48)))</formula>
    </cfRule>
    <cfRule type="containsText" dxfId="4157" priority="822" operator="containsText" text="Deleted">
      <formula>NOT(ISERROR(SEARCH("Deleted",H48)))</formula>
    </cfRule>
    <cfRule type="containsText" dxfId="4156" priority="823" operator="containsText" text="Completed Behind Schedule">
      <formula>NOT(ISERROR(SEARCH("Completed Behind Schedule",H48)))</formula>
    </cfRule>
    <cfRule type="containsText" dxfId="4155" priority="824" operator="containsText" text="Off Target">
      <formula>NOT(ISERROR(SEARCH("Off Target",H48)))</formula>
    </cfRule>
    <cfRule type="containsText" dxfId="4154" priority="825" operator="containsText" text="In Danger of Falling Behind Target">
      <formula>NOT(ISERROR(SEARCH("In Danger of Falling Behind Target",H48)))</formula>
    </cfRule>
    <cfRule type="containsText" dxfId="4153" priority="826" operator="containsText" text="Fully Achieved">
      <formula>NOT(ISERROR(SEARCH("Fully Achieved",H48)))</formula>
    </cfRule>
    <cfRule type="containsText" dxfId="4152" priority="827" operator="containsText" text="On track to be achieved">
      <formula>NOT(ISERROR(SEARCH("On track to be achieved",H48)))</formula>
    </cfRule>
  </conditionalFormatting>
  <conditionalFormatting sqref="R48">
    <cfRule type="containsText" dxfId="4151" priority="792" operator="containsText" text="Deferred">
      <formula>NOT(ISERROR(SEARCH("Deferred",R48)))</formula>
    </cfRule>
    <cfRule type="containsText" dxfId="4150" priority="793" operator="containsText" text="Update Not Provided">
      <formula>NOT(ISERROR(SEARCH("Update Not Provided",R48)))</formula>
    </cfRule>
    <cfRule type="containsText" dxfId="4149" priority="794" operator="containsText" text="Not Yet Due">
      <formula>NOT(ISERROR(SEARCH("Not Yet Due",R48)))</formula>
    </cfRule>
    <cfRule type="containsText" dxfId="4148" priority="795" operator="containsText" text="Deleted">
      <formula>NOT(ISERROR(SEARCH("Deleted",R48)))</formula>
    </cfRule>
    <cfRule type="containsText" dxfId="4147" priority="796" operator="containsText" text="Completed Behind Schedule">
      <formula>NOT(ISERROR(SEARCH("Completed Behind Schedule",R48)))</formula>
    </cfRule>
    <cfRule type="containsText" dxfId="4146" priority="797" operator="containsText" text="Off Target">
      <formula>NOT(ISERROR(SEARCH("Off Target",R48)))</formula>
    </cfRule>
    <cfRule type="containsText" dxfId="4145" priority="798" operator="containsText" text="In Danger of Falling Behind Target">
      <formula>NOT(ISERROR(SEARCH("In Danger of Falling Behind Target",R48)))</formula>
    </cfRule>
    <cfRule type="containsText" dxfId="4144" priority="799" operator="containsText" text="Fully Achieved">
      <formula>NOT(ISERROR(SEARCH("Fully Achieved",R48)))</formula>
    </cfRule>
    <cfRule type="containsText" dxfId="4143" priority="800" operator="containsText" text="On track to be achieved">
      <formula>NOT(ISERROR(SEARCH("On track to be achieved",R48)))</formula>
    </cfRule>
  </conditionalFormatting>
  <conditionalFormatting sqref="H45">
    <cfRule type="containsText" dxfId="4142" priority="773" operator="containsText" text="Deferred">
      <formula>NOT(ISERROR(SEARCH("Deferred",H45)))</formula>
    </cfRule>
    <cfRule type="containsText" dxfId="4141" priority="774" operator="containsText" text="Update Not Provided">
      <formula>NOT(ISERROR(SEARCH("Update Not Provided",H45)))</formula>
    </cfRule>
    <cfRule type="containsText" dxfId="4140" priority="775" operator="containsText" text="Not Yet Due">
      <formula>NOT(ISERROR(SEARCH("Not Yet Due",H45)))</formula>
    </cfRule>
    <cfRule type="containsText" dxfId="4139" priority="776" operator="containsText" text="Deleted">
      <formula>NOT(ISERROR(SEARCH("Deleted",H45)))</formula>
    </cfRule>
    <cfRule type="containsText" dxfId="4138" priority="777" operator="containsText" text="Completed Behind Schedule">
      <formula>NOT(ISERROR(SEARCH("Completed Behind Schedule",H45)))</formula>
    </cfRule>
    <cfRule type="containsText" dxfId="4137" priority="778" operator="containsText" text="Off Target">
      <formula>NOT(ISERROR(SEARCH("Off Target",H45)))</formula>
    </cfRule>
    <cfRule type="containsText" dxfId="4136" priority="779" operator="containsText" text="In Danger of Falling Behind Target">
      <formula>NOT(ISERROR(SEARCH("In Danger of Falling Behind Target",H45)))</formula>
    </cfRule>
    <cfRule type="containsText" dxfId="4135" priority="780" operator="containsText" text="Fully Achieved">
      <formula>NOT(ISERROR(SEARCH("Fully Achieved",H45)))</formula>
    </cfRule>
    <cfRule type="containsText" dxfId="4134" priority="781" operator="containsText" text="On track to be achieved">
      <formula>NOT(ISERROR(SEARCH("On track to be achieved",H45)))</formula>
    </cfRule>
  </conditionalFormatting>
  <conditionalFormatting sqref="R45">
    <cfRule type="containsText" dxfId="4133" priority="746" operator="containsText" text="Deferred">
      <formula>NOT(ISERROR(SEARCH("Deferred",R45)))</formula>
    </cfRule>
    <cfRule type="containsText" dxfId="4132" priority="747" operator="containsText" text="Update Not Provided">
      <formula>NOT(ISERROR(SEARCH("Update Not Provided",R45)))</formula>
    </cfRule>
    <cfRule type="containsText" dxfId="4131" priority="748" operator="containsText" text="Not Yet Due">
      <formula>NOT(ISERROR(SEARCH("Not Yet Due",R45)))</formula>
    </cfRule>
    <cfRule type="containsText" dxfId="4130" priority="749" operator="containsText" text="Deleted">
      <formula>NOT(ISERROR(SEARCH("Deleted",R45)))</formula>
    </cfRule>
    <cfRule type="containsText" dxfId="4129" priority="750" operator="containsText" text="Completed Behind Schedule">
      <formula>NOT(ISERROR(SEARCH("Completed Behind Schedule",R45)))</formula>
    </cfRule>
    <cfRule type="containsText" dxfId="4128" priority="751" operator="containsText" text="Off Target">
      <formula>NOT(ISERROR(SEARCH("Off Target",R45)))</formula>
    </cfRule>
    <cfRule type="containsText" dxfId="4127" priority="752" operator="containsText" text="In Danger of Falling Behind Target">
      <formula>NOT(ISERROR(SEARCH("In Danger of Falling Behind Target",R45)))</formula>
    </cfRule>
    <cfRule type="containsText" dxfId="4126" priority="753" operator="containsText" text="Fully Achieved">
      <formula>NOT(ISERROR(SEARCH("Fully Achieved",R45)))</formula>
    </cfRule>
    <cfRule type="containsText" dxfId="4125" priority="754" operator="containsText" text="On track to be achieved">
      <formula>NOT(ISERROR(SEARCH("On track to be achieved",R45)))</formula>
    </cfRule>
  </conditionalFormatting>
  <conditionalFormatting sqref="H74 R74">
    <cfRule type="containsText" dxfId="4124" priority="331" operator="containsText" text="Deferred">
      <formula>NOT(ISERROR(SEARCH("Deferred",H74)))</formula>
    </cfRule>
    <cfRule type="containsText" dxfId="4123" priority="332" operator="containsText" text="Update Not Provided">
      <formula>NOT(ISERROR(SEARCH("Update Not Provided",H74)))</formula>
    </cfRule>
    <cfRule type="containsText" dxfId="4122" priority="333" operator="containsText" text="Not Yet Due">
      <formula>NOT(ISERROR(SEARCH("Not Yet Due",H74)))</formula>
    </cfRule>
    <cfRule type="containsText" dxfId="4121" priority="334" operator="containsText" text="Deleted">
      <formula>NOT(ISERROR(SEARCH("Deleted",H74)))</formula>
    </cfRule>
    <cfRule type="containsText" dxfId="4120" priority="335" operator="containsText" text="Completed Behind Schedule">
      <formula>NOT(ISERROR(SEARCH("Completed Behind Schedule",H74)))</formula>
    </cfRule>
    <cfRule type="containsText" dxfId="4119" priority="336" operator="containsText" text="Off Target">
      <formula>NOT(ISERROR(SEARCH("Off Target",H74)))</formula>
    </cfRule>
    <cfRule type="containsText" dxfId="4118" priority="337" operator="containsText" text="In Danger of Falling Behind Target">
      <formula>NOT(ISERROR(SEARCH("In Danger of Falling Behind Target",H74)))</formula>
    </cfRule>
    <cfRule type="containsText" dxfId="4117" priority="338" operator="containsText" text="Fully Achieved">
      <formula>NOT(ISERROR(SEARCH("Fully Achieved",H74)))</formula>
    </cfRule>
    <cfRule type="containsText" dxfId="4116" priority="339" operator="containsText" text="On track to be achieved">
      <formula>NOT(ISERROR(SEARCH("On track to be achieved",H74)))</formula>
    </cfRule>
  </conditionalFormatting>
  <conditionalFormatting sqref="R77">
    <cfRule type="containsText" dxfId="4115" priority="313" operator="containsText" text="Deferred">
      <formula>NOT(ISERROR(SEARCH("Deferred",R77)))</formula>
    </cfRule>
    <cfRule type="containsText" dxfId="4114" priority="314" operator="containsText" text="Update Not Provided">
      <formula>NOT(ISERROR(SEARCH("Update Not Provided",R77)))</formula>
    </cfRule>
    <cfRule type="containsText" dxfId="4113" priority="315" operator="containsText" text="Not Yet Due">
      <formula>NOT(ISERROR(SEARCH("Not Yet Due",R77)))</formula>
    </cfRule>
    <cfRule type="containsText" dxfId="4112" priority="316" operator="containsText" text="Deleted">
      <formula>NOT(ISERROR(SEARCH("Deleted",R77)))</formula>
    </cfRule>
    <cfRule type="containsText" dxfId="4111" priority="317" operator="containsText" text="Completed Behind Schedule">
      <formula>NOT(ISERROR(SEARCH("Completed Behind Schedule",R77)))</formula>
    </cfRule>
    <cfRule type="containsText" dxfId="4110" priority="318" operator="containsText" text="Off Target">
      <formula>NOT(ISERROR(SEARCH("Off Target",R77)))</formula>
    </cfRule>
    <cfRule type="containsText" dxfId="4109" priority="319" operator="containsText" text="In Danger of Falling Behind Target">
      <formula>NOT(ISERROR(SEARCH("In Danger of Falling Behind Target",R77)))</formula>
    </cfRule>
    <cfRule type="containsText" dxfId="4108" priority="320" operator="containsText" text="Fully Achieved">
      <formula>NOT(ISERROR(SEARCH("Fully Achieved",R77)))</formula>
    </cfRule>
    <cfRule type="containsText" dxfId="4107" priority="321" operator="containsText" text="On track to be achieved">
      <formula>NOT(ISERROR(SEARCH("On track to be achieved",R77)))</formula>
    </cfRule>
  </conditionalFormatting>
  <conditionalFormatting sqref="R76">
    <cfRule type="containsText" dxfId="4106" priority="295" operator="containsText" text="Deferred">
      <formula>NOT(ISERROR(SEARCH("Deferred",R76)))</formula>
    </cfRule>
    <cfRule type="containsText" dxfId="4105" priority="296" operator="containsText" text="Update Not Provided">
      <formula>NOT(ISERROR(SEARCH("Update Not Provided",R76)))</formula>
    </cfRule>
    <cfRule type="containsText" dxfId="4104" priority="297" operator="containsText" text="Not Yet Due">
      <formula>NOT(ISERROR(SEARCH("Not Yet Due",R76)))</formula>
    </cfRule>
    <cfRule type="containsText" dxfId="4103" priority="298" operator="containsText" text="Deleted">
      <formula>NOT(ISERROR(SEARCH("Deleted",R76)))</formula>
    </cfRule>
    <cfRule type="containsText" dxfId="4102" priority="299" operator="containsText" text="Completed Behind Schedule">
      <formula>NOT(ISERROR(SEARCH("Completed Behind Schedule",R76)))</formula>
    </cfRule>
    <cfRule type="containsText" dxfId="4101" priority="300" operator="containsText" text="Off Target">
      <formula>NOT(ISERROR(SEARCH("Off Target",R76)))</formula>
    </cfRule>
    <cfRule type="containsText" dxfId="4100" priority="301" operator="containsText" text="In Danger of Falling Behind Target">
      <formula>NOT(ISERROR(SEARCH("In Danger of Falling Behind Target",R76)))</formula>
    </cfRule>
    <cfRule type="containsText" dxfId="4099" priority="302" operator="containsText" text="Fully Achieved">
      <formula>NOT(ISERROR(SEARCH("Fully Achieved",R76)))</formula>
    </cfRule>
    <cfRule type="containsText" dxfId="4098" priority="303" operator="containsText" text="On track to be achieved">
      <formula>NOT(ISERROR(SEARCH("On track to be achieved",R76)))</formula>
    </cfRule>
  </conditionalFormatting>
  <conditionalFormatting sqref="H79 R79">
    <cfRule type="containsText" dxfId="4097" priority="277" operator="containsText" text="Deferred">
      <formula>NOT(ISERROR(SEARCH("Deferred",H79)))</formula>
    </cfRule>
    <cfRule type="containsText" dxfId="4096" priority="278" operator="containsText" text="Update Not Provided">
      <formula>NOT(ISERROR(SEARCH("Update Not Provided",H79)))</formula>
    </cfRule>
    <cfRule type="containsText" dxfId="4095" priority="279" operator="containsText" text="Not Yet Due">
      <formula>NOT(ISERROR(SEARCH("Not Yet Due",H79)))</formula>
    </cfRule>
    <cfRule type="containsText" dxfId="4094" priority="280" operator="containsText" text="Deleted">
      <formula>NOT(ISERROR(SEARCH("Deleted",H79)))</formula>
    </cfRule>
    <cfRule type="containsText" dxfId="4093" priority="281" operator="containsText" text="Completed Behind Schedule">
      <formula>NOT(ISERROR(SEARCH("Completed Behind Schedule",H79)))</formula>
    </cfRule>
    <cfRule type="containsText" dxfId="4092" priority="282" operator="containsText" text="Off Target">
      <formula>NOT(ISERROR(SEARCH("Off Target",H79)))</formula>
    </cfRule>
    <cfRule type="containsText" dxfId="4091" priority="283" operator="containsText" text="In Danger of Falling Behind Target">
      <formula>NOT(ISERROR(SEARCH("In Danger of Falling Behind Target",H79)))</formula>
    </cfRule>
    <cfRule type="containsText" dxfId="4090" priority="284" operator="containsText" text="Fully Achieved">
      <formula>NOT(ISERROR(SEARCH("Fully Achieved",H79)))</formula>
    </cfRule>
    <cfRule type="containsText" dxfId="4089" priority="285" operator="containsText" text="On track to be achieved">
      <formula>NOT(ISERROR(SEARCH("On track to be achieved",H79)))</formula>
    </cfRule>
  </conditionalFormatting>
  <conditionalFormatting sqref="R83">
    <cfRule type="containsText" dxfId="4088" priority="259" operator="containsText" text="Deferred">
      <formula>NOT(ISERROR(SEARCH("Deferred",R83)))</formula>
    </cfRule>
    <cfRule type="containsText" dxfId="4087" priority="260" operator="containsText" text="Update Not Provided">
      <formula>NOT(ISERROR(SEARCH("Update Not Provided",R83)))</formula>
    </cfRule>
    <cfRule type="containsText" dxfId="4086" priority="261" operator="containsText" text="Not Yet Due">
      <formula>NOT(ISERROR(SEARCH("Not Yet Due",R83)))</formula>
    </cfRule>
    <cfRule type="containsText" dxfId="4085" priority="262" operator="containsText" text="Deleted">
      <formula>NOT(ISERROR(SEARCH("Deleted",R83)))</formula>
    </cfRule>
    <cfRule type="containsText" dxfId="4084" priority="263" operator="containsText" text="Completed Behind Schedule">
      <formula>NOT(ISERROR(SEARCH("Completed Behind Schedule",R83)))</formula>
    </cfRule>
    <cfRule type="containsText" dxfId="4083" priority="264" operator="containsText" text="Off Target">
      <formula>NOT(ISERROR(SEARCH("Off Target",R83)))</formula>
    </cfRule>
    <cfRule type="containsText" dxfId="4082" priority="265" operator="containsText" text="In Danger of Falling Behind Target">
      <formula>NOT(ISERROR(SEARCH("In Danger of Falling Behind Target",R83)))</formula>
    </cfRule>
    <cfRule type="containsText" dxfId="4081" priority="266" operator="containsText" text="Fully Achieved">
      <formula>NOT(ISERROR(SEARCH("Fully Achieved",R83)))</formula>
    </cfRule>
    <cfRule type="containsText" dxfId="4080" priority="267" operator="containsText" text="On track to be achieved">
      <formula>NOT(ISERROR(SEARCH("On track to be achieved",R83)))</formula>
    </cfRule>
  </conditionalFormatting>
  <conditionalFormatting sqref="H5">
    <cfRule type="containsText" dxfId="4079" priority="184" operator="containsText" text="Deferred">
      <formula>NOT(ISERROR(SEARCH("Deferred",H5)))</formula>
    </cfRule>
    <cfRule type="containsText" dxfId="4078" priority="185" operator="containsText" text="Update Not Provided">
      <formula>NOT(ISERROR(SEARCH("Update Not Provided",H5)))</formula>
    </cfRule>
    <cfRule type="containsText" dxfId="4077" priority="186" operator="containsText" text="Not Yet Due">
      <formula>NOT(ISERROR(SEARCH("Not Yet Due",H5)))</formula>
    </cfRule>
    <cfRule type="containsText" dxfId="4076" priority="187" operator="containsText" text="Deleted">
      <formula>NOT(ISERROR(SEARCH("Deleted",H5)))</formula>
    </cfRule>
    <cfRule type="containsText" dxfId="4075" priority="188" operator="containsText" text="Completed Behind Schedule">
      <formula>NOT(ISERROR(SEARCH("Completed Behind Schedule",H5)))</formula>
    </cfRule>
    <cfRule type="containsText" dxfId="4074" priority="189" operator="containsText" text="Off Target">
      <formula>NOT(ISERROR(SEARCH("Off Target",H5)))</formula>
    </cfRule>
    <cfRule type="containsText" dxfId="4073" priority="190" operator="containsText" text="In Danger of Falling Behind Target">
      <formula>NOT(ISERROR(SEARCH("In Danger of Falling Behind Target",H5)))</formula>
    </cfRule>
    <cfRule type="containsText" dxfId="4072" priority="191" operator="containsText" text="Fully Achieved">
      <formula>NOT(ISERROR(SEARCH("Fully Achieved",H5)))</formula>
    </cfRule>
    <cfRule type="containsText" dxfId="4071" priority="192" operator="containsText" text="On track to be achieved">
      <formula>NOT(ISERROR(SEARCH("On track to be achieved",H5)))</formula>
    </cfRule>
  </conditionalFormatting>
  <conditionalFormatting sqref="H6">
    <cfRule type="containsText" dxfId="4070" priority="175" operator="containsText" text="Deferred">
      <formula>NOT(ISERROR(SEARCH("Deferred",H6)))</formula>
    </cfRule>
    <cfRule type="containsText" dxfId="4069" priority="176" operator="containsText" text="Update Not Provided">
      <formula>NOT(ISERROR(SEARCH("Update Not Provided",H6)))</formula>
    </cfRule>
    <cfRule type="containsText" dxfId="4068" priority="177" operator="containsText" text="Not Yet Due">
      <formula>NOT(ISERROR(SEARCH("Not Yet Due",H6)))</formula>
    </cfRule>
    <cfRule type="containsText" dxfId="4067" priority="178" operator="containsText" text="Deleted">
      <formula>NOT(ISERROR(SEARCH("Deleted",H6)))</formula>
    </cfRule>
    <cfRule type="containsText" dxfId="4066" priority="179" operator="containsText" text="Completed Behind Schedule">
      <formula>NOT(ISERROR(SEARCH("Completed Behind Schedule",H6)))</formula>
    </cfRule>
    <cfRule type="containsText" dxfId="4065" priority="180" operator="containsText" text="Off Target">
      <formula>NOT(ISERROR(SEARCH("Off Target",H6)))</formula>
    </cfRule>
    <cfRule type="containsText" dxfId="4064" priority="181" operator="containsText" text="In Danger of Falling Behind Target">
      <formula>NOT(ISERROR(SEARCH("In Danger of Falling Behind Target",H6)))</formula>
    </cfRule>
    <cfRule type="containsText" dxfId="4063" priority="182" operator="containsText" text="Fully Achieved">
      <formula>NOT(ISERROR(SEARCH("Fully Achieved",H6)))</formula>
    </cfRule>
    <cfRule type="containsText" dxfId="4062" priority="183" operator="containsText" text="On track to be achieved">
      <formula>NOT(ISERROR(SEARCH("On track to be achieved",H6)))</formula>
    </cfRule>
  </conditionalFormatting>
  <conditionalFormatting sqref="H16">
    <cfRule type="containsText" dxfId="4061" priority="166" operator="containsText" text="Deferred">
      <formula>NOT(ISERROR(SEARCH("Deferred",H16)))</formula>
    </cfRule>
    <cfRule type="containsText" dxfId="4060" priority="167" operator="containsText" text="Update Not Provided">
      <formula>NOT(ISERROR(SEARCH("Update Not Provided",H16)))</formula>
    </cfRule>
    <cfRule type="containsText" dxfId="4059" priority="168" operator="containsText" text="Not Yet Due">
      <formula>NOT(ISERROR(SEARCH("Not Yet Due",H16)))</formula>
    </cfRule>
    <cfRule type="containsText" dxfId="4058" priority="169" operator="containsText" text="Deleted">
      <formula>NOT(ISERROR(SEARCH("Deleted",H16)))</formula>
    </cfRule>
    <cfRule type="containsText" dxfId="4057" priority="170" operator="containsText" text="Completed Behind Schedule">
      <formula>NOT(ISERROR(SEARCH("Completed Behind Schedule",H16)))</formula>
    </cfRule>
    <cfRule type="containsText" dxfId="4056" priority="171" operator="containsText" text="Off Target">
      <formula>NOT(ISERROR(SEARCH("Off Target",H16)))</formula>
    </cfRule>
    <cfRule type="containsText" dxfId="4055" priority="172" operator="containsText" text="In Danger of Falling Behind Target">
      <formula>NOT(ISERROR(SEARCH("In Danger of Falling Behind Target",H16)))</formula>
    </cfRule>
    <cfRule type="containsText" dxfId="4054" priority="173" operator="containsText" text="Fully Achieved">
      <formula>NOT(ISERROR(SEARCH("Fully Achieved",H16)))</formula>
    </cfRule>
    <cfRule type="containsText" dxfId="4053" priority="174" operator="containsText" text="On track to be achieved">
      <formula>NOT(ISERROR(SEARCH("On track to be achieved",H16)))</formula>
    </cfRule>
  </conditionalFormatting>
  <conditionalFormatting sqref="H50">
    <cfRule type="containsText" dxfId="4052" priority="157" operator="containsText" text="Deferred">
      <formula>NOT(ISERROR(SEARCH("Deferred",H50)))</formula>
    </cfRule>
    <cfRule type="containsText" dxfId="4051" priority="158" operator="containsText" text="Update Not Provided">
      <formula>NOT(ISERROR(SEARCH("Update Not Provided",H50)))</formula>
    </cfRule>
    <cfRule type="containsText" dxfId="4050" priority="159" operator="containsText" text="Not Yet Due">
      <formula>NOT(ISERROR(SEARCH("Not Yet Due",H50)))</formula>
    </cfRule>
    <cfRule type="containsText" dxfId="4049" priority="160" operator="containsText" text="Deleted">
      <formula>NOT(ISERROR(SEARCH("Deleted",H50)))</formula>
    </cfRule>
    <cfRule type="containsText" dxfId="4048" priority="161" operator="containsText" text="Completed Behind Schedule">
      <formula>NOT(ISERROR(SEARCH("Completed Behind Schedule",H50)))</formula>
    </cfRule>
    <cfRule type="containsText" dxfId="4047" priority="162" operator="containsText" text="Off Target">
      <formula>NOT(ISERROR(SEARCH("Off Target",H50)))</formula>
    </cfRule>
    <cfRule type="containsText" dxfId="4046" priority="163" operator="containsText" text="In Danger of Falling Behind Target">
      <formula>NOT(ISERROR(SEARCH("In Danger of Falling Behind Target",H50)))</formula>
    </cfRule>
    <cfRule type="containsText" dxfId="4045" priority="164" operator="containsText" text="Fully Achieved">
      <formula>NOT(ISERROR(SEARCH("Fully Achieved",H50)))</formula>
    </cfRule>
    <cfRule type="containsText" dxfId="4044" priority="165" operator="containsText" text="On track to be achieved">
      <formula>NOT(ISERROR(SEARCH("On track to be achieved",H50)))</formula>
    </cfRule>
  </conditionalFormatting>
  <conditionalFormatting sqref="H54">
    <cfRule type="containsText" dxfId="4043" priority="148" operator="containsText" text="Deferred">
      <formula>NOT(ISERROR(SEARCH("Deferred",H54)))</formula>
    </cfRule>
    <cfRule type="containsText" dxfId="4042" priority="149" operator="containsText" text="Update Not Provided">
      <formula>NOT(ISERROR(SEARCH("Update Not Provided",H54)))</formula>
    </cfRule>
    <cfRule type="containsText" dxfId="4041" priority="150" operator="containsText" text="Not Yet Due">
      <formula>NOT(ISERROR(SEARCH("Not Yet Due",H54)))</formula>
    </cfRule>
    <cfRule type="containsText" dxfId="4040" priority="151" operator="containsText" text="Deleted">
      <formula>NOT(ISERROR(SEARCH("Deleted",H54)))</formula>
    </cfRule>
    <cfRule type="containsText" dxfId="4039" priority="152" operator="containsText" text="Completed Behind Schedule">
      <formula>NOT(ISERROR(SEARCH("Completed Behind Schedule",H54)))</formula>
    </cfRule>
    <cfRule type="containsText" dxfId="4038" priority="153" operator="containsText" text="Off Target">
      <formula>NOT(ISERROR(SEARCH("Off Target",H54)))</formula>
    </cfRule>
    <cfRule type="containsText" dxfId="4037" priority="154" operator="containsText" text="In Danger of Falling Behind Target">
      <formula>NOT(ISERROR(SEARCH("In Danger of Falling Behind Target",H54)))</formula>
    </cfRule>
    <cfRule type="containsText" dxfId="4036" priority="155" operator="containsText" text="Fully Achieved">
      <formula>NOT(ISERROR(SEARCH("Fully Achieved",H54)))</formula>
    </cfRule>
    <cfRule type="containsText" dxfId="4035" priority="156" operator="containsText" text="On track to be achieved">
      <formula>NOT(ISERROR(SEARCH("On track to be achieved",H54)))</formula>
    </cfRule>
  </conditionalFormatting>
  <conditionalFormatting sqref="H75">
    <cfRule type="containsText" dxfId="4034" priority="139" operator="containsText" text="Deferred">
      <formula>NOT(ISERROR(SEARCH("Deferred",H75)))</formula>
    </cfRule>
    <cfRule type="containsText" dxfId="4033" priority="140" operator="containsText" text="Update Not Provided">
      <formula>NOT(ISERROR(SEARCH("Update Not Provided",H75)))</formula>
    </cfRule>
    <cfRule type="containsText" dxfId="4032" priority="141" operator="containsText" text="Not Yet Due">
      <formula>NOT(ISERROR(SEARCH("Not Yet Due",H75)))</formula>
    </cfRule>
    <cfRule type="containsText" dxfId="4031" priority="142" operator="containsText" text="Deleted">
      <formula>NOT(ISERROR(SEARCH("Deleted",H75)))</formula>
    </cfRule>
    <cfRule type="containsText" dxfId="4030" priority="143" operator="containsText" text="Completed Behind Schedule">
      <formula>NOT(ISERROR(SEARCH("Completed Behind Schedule",H75)))</formula>
    </cfRule>
    <cfRule type="containsText" dxfId="4029" priority="144" operator="containsText" text="Off Target">
      <formula>NOT(ISERROR(SEARCH("Off Target",H75)))</formula>
    </cfRule>
    <cfRule type="containsText" dxfId="4028" priority="145" operator="containsText" text="In Danger of Falling Behind Target">
      <formula>NOT(ISERROR(SEARCH("In Danger of Falling Behind Target",H75)))</formula>
    </cfRule>
    <cfRule type="containsText" dxfId="4027" priority="146" operator="containsText" text="Fully Achieved">
      <formula>NOT(ISERROR(SEARCH("Fully Achieved",H75)))</formula>
    </cfRule>
    <cfRule type="containsText" dxfId="4026" priority="147" operator="containsText" text="On track to be achieved">
      <formula>NOT(ISERROR(SEARCH("On track to be achieved",H75)))</formula>
    </cfRule>
  </conditionalFormatting>
  <conditionalFormatting sqref="H76">
    <cfRule type="containsText" dxfId="4025" priority="130" operator="containsText" text="Deferred">
      <formula>NOT(ISERROR(SEARCH("Deferred",H76)))</formula>
    </cfRule>
    <cfRule type="containsText" dxfId="4024" priority="131" operator="containsText" text="Update Not Provided">
      <formula>NOT(ISERROR(SEARCH("Update Not Provided",H76)))</formula>
    </cfRule>
    <cfRule type="containsText" dxfId="4023" priority="132" operator="containsText" text="Not Yet Due">
      <formula>NOT(ISERROR(SEARCH("Not Yet Due",H76)))</formula>
    </cfRule>
    <cfRule type="containsText" dxfId="4022" priority="133" operator="containsText" text="Deleted">
      <formula>NOT(ISERROR(SEARCH("Deleted",H76)))</formula>
    </cfRule>
    <cfRule type="containsText" dxfId="4021" priority="134" operator="containsText" text="Completed Behind Schedule">
      <formula>NOT(ISERROR(SEARCH("Completed Behind Schedule",H76)))</formula>
    </cfRule>
    <cfRule type="containsText" dxfId="4020" priority="135" operator="containsText" text="Off Target">
      <formula>NOT(ISERROR(SEARCH("Off Target",H76)))</formula>
    </cfRule>
    <cfRule type="containsText" dxfId="4019" priority="136" operator="containsText" text="In Danger of Falling Behind Target">
      <formula>NOT(ISERROR(SEARCH("In Danger of Falling Behind Target",H76)))</formula>
    </cfRule>
    <cfRule type="containsText" dxfId="4018" priority="137" operator="containsText" text="Fully Achieved">
      <formula>NOT(ISERROR(SEARCH("Fully Achieved",H76)))</formula>
    </cfRule>
    <cfRule type="containsText" dxfId="4017" priority="138" operator="containsText" text="On track to be achieved">
      <formula>NOT(ISERROR(SEARCH("On track to be achieved",H76)))</formula>
    </cfRule>
  </conditionalFormatting>
  <conditionalFormatting sqref="H77">
    <cfRule type="containsText" dxfId="4016" priority="121" operator="containsText" text="Deferred">
      <formula>NOT(ISERROR(SEARCH("Deferred",H77)))</formula>
    </cfRule>
    <cfRule type="containsText" dxfId="4015" priority="122" operator="containsText" text="Update Not Provided">
      <formula>NOT(ISERROR(SEARCH("Update Not Provided",H77)))</formula>
    </cfRule>
    <cfRule type="containsText" dxfId="4014" priority="123" operator="containsText" text="Not Yet Due">
      <formula>NOT(ISERROR(SEARCH("Not Yet Due",H77)))</formula>
    </cfRule>
    <cfRule type="containsText" dxfId="4013" priority="124" operator="containsText" text="Deleted">
      <formula>NOT(ISERROR(SEARCH("Deleted",H77)))</formula>
    </cfRule>
    <cfRule type="containsText" dxfId="4012" priority="125" operator="containsText" text="Completed Behind Schedule">
      <formula>NOT(ISERROR(SEARCH("Completed Behind Schedule",H77)))</formula>
    </cfRule>
    <cfRule type="containsText" dxfId="4011" priority="126" operator="containsText" text="Off Target">
      <formula>NOT(ISERROR(SEARCH("Off Target",H77)))</formula>
    </cfRule>
    <cfRule type="containsText" dxfId="4010" priority="127" operator="containsText" text="In Danger of Falling Behind Target">
      <formula>NOT(ISERROR(SEARCH("In Danger of Falling Behind Target",H77)))</formula>
    </cfRule>
    <cfRule type="containsText" dxfId="4009" priority="128" operator="containsText" text="Fully Achieved">
      <formula>NOT(ISERROR(SEARCH("Fully Achieved",H77)))</formula>
    </cfRule>
    <cfRule type="containsText" dxfId="4008" priority="129" operator="containsText" text="On track to be achieved">
      <formula>NOT(ISERROR(SEARCH("On track to be achieved",H77)))</formula>
    </cfRule>
  </conditionalFormatting>
  <conditionalFormatting sqref="H80">
    <cfRule type="containsText" dxfId="4007" priority="112" operator="containsText" text="Deferred">
      <formula>NOT(ISERROR(SEARCH("Deferred",H80)))</formula>
    </cfRule>
    <cfRule type="containsText" dxfId="4006" priority="113" operator="containsText" text="Update Not Provided">
      <formula>NOT(ISERROR(SEARCH("Update Not Provided",H80)))</formula>
    </cfRule>
    <cfRule type="containsText" dxfId="4005" priority="114" operator="containsText" text="Not Yet Due">
      <formula>NOT(ISERROR(SEARCH("Not Yet Due",H80)))</formula>
    </cfRule>
    <cfRule type="containsText" dxfId="4004" priority="115" operator="containsText" text="Deleted">
      <formula>NOT(ISERROR(SEARCH("Deleted",H80)))</formula>
    </cfRule>
    <cfRule type="containsText" dxfId="4003" priority="116" operator="containsText" text="Completed Behind Schedule">
      <formula>NOT(ISERROR(SEARCH("Completed Behind Schedule",H80)))</formula>
    </cfRule>
    <cfRule type="containsText" dxfId="4002" priority="117" operator="containsText" text="Off Target">
      <formula>NOT(ISERROR(SEARCH("Off Target",H80)))</formula>
    </cfRule>
    <cfRule type="containsText" dxfId="4001" priority="118" operator="containsText" text="In Danger of Falling Behind Target">
      <formula>NOT(ISERROR(SEARCH("In Danger of Falling Behind Target",H80)))</formula>
    </cfRule>
    <cfRule type="containsText" dxfId="4000" priority="119" operator="containsText" text="Fully Achieved">
      <formula>NOT(ISERROR(SEARCH("Fully Achieved",H80)))</formula>
    </cfRule>
    <cfRule type="containsText" dxfId="3999" priority="120" operator="containsText" text="On track to be achieved">
      <formula>NOT(ISERROR(SEARCH("On track to be achieved",H80)))</formula>
    </cfRule>
  </conditionalFormatting>
  <conditionalFormatting sqref="H81">
    <cfRule type="containsText" dxfId="3998" priority="103" operator="containsText" text="Deferred">
      <formula>NOT(ISERROR(SEARCH("Deferred",H81)))</formula>
    </cfRule>
    <cfRule type="containsText" dxfId="3997" priority="104" operator="containsText" text="Update Not Provided">
      <formula>NOT(ISERROR(SEARCH("Update Not Provided",H81)))</formula>
    </cfRule>
    <cfRule type="containsText" dxfId="3996" priority="105" operator="containsText" text="Not Yet Due">
      <formula>NOT(ISERROR(SEARCH("Not Yet Due",H81)))</formula>
    </cfRule>
    <cfRule type="containsText" dxfId="3995" priority="106" operator="containsText" text="Deleted">
      <formula>NOT(ISERROR(SEARCH("Deleted",H81)))</formula>
    </cfRule>
    <cfRule type="containsText" dxfId="3994" priority="107" operator="containsText" text="Completed Behind Schedule">
      <formula>NOT(ISERROR(SEARCH("Completed Behind Schedule",H81)))</formula>
    </cfRule>
    <cfRule type="containsText" dxfId="3993" priority="108" operator="containsText" text="Off Target">
      <formula>NOT(ISERROR(SEARCH("Off Target",H81)))</formula>
    </cfRule>
    <cfRule type="containsText" dxfId="3992" priority="109" operator="containsText" text="In Danger of Falling Behind Target">
      <formula>NOT(ISERROR(SEARCH("In Danger of Falling Behind Target",H81)))</formula>
    </cfRule>
    <cfRule type="containsText" dxfId="3991" priority="110" operator="containsText" text="Fully Achieved">
      <formula>NOT(ISERROR(SEARCH("Fully Achieved",H81)))</formula>
    </cfRule>
    <cfRule type="containsText" dxfId="3990" priority="111" operator="containsText" text="On track to be achieved">
      <formula>NOT(ISERROR(SEARCH("On track to be achieved",H81)))</formula>
    </cfRule>
  </conditionalFormatting>
  <conditionalFormatting sqref="H83">
    <cfRule type="containsText" dxfId="3989" priority="94" operator="containsText" text="Deferred">
      <formula>NOT(ISERROR(SEARCH("Deferred",H83)))</formula>
    </cfRule>
    <cfRule type="containsText" dxfId="3988" priority="95" operator="containsText" text="Update Not Provided">
      <formula>NOT(ISERROR(SEARCH("Update Not Provided",H83)))</formula>
    </cfRule>
    <cfRule type="containsText" dxfId="3987" priority="96" operator="containsText" text="Not Yet Due">
      <formula>NOT(ISERROR(SEARCH("Not Yet Due",H83)))</formula>
    </cfRule>
    <cfRule type="containsText" dxfId="3986" priority="97" operator="containsText" text="Deleted">
      <formula>NOT(ISERROR(SEARCH("Deleted",H83)))</formula>
    </cfRule>
    <cfRule type="containsText" dxfId="3985" priority="98" operator="containsText" text="Completed Behind Schedule">
      <formula>NOT(ISERROR(SEARCH("Completed Behind Schedule",H83)))</formula>
    </cfRule>
    <cfRule type="containsText" dxfId="3984" priority="99" operator="containsText" text="Off Target">
      <formula>NOT(ISERROR(SEARCH("Off Target",H83)))</formula>
    </cfRule>
    <cfRule type="containsText" dxfId="3983" priority="100" operator="containsText" text="In Danger of Falling Behind Target">
      <formula>NOT(ISERROR(SEARCH("In Danger of Falling Behind Target",H83)))</formula>
    </cfRule>
    <cfRule type="containsText" dxfId="3982" priority="101" operator="containsText" text="Fully Achieved">
      <formula>NOT(ISERROR(SEARCH("Fully Achieved",H83)))</formula>
    </cfRule>
    <cfRule type="containsText" dxfId="3981" priority="102" operator="containsText" text="On track to be achieved">
      <formula>NOT(ISERROR(SEARCH("On track to be achieved",H83)))</formula>
    </cfRule>
  </conditionalFormatting>
  <conditionalFormatting sqref="R82">
    <cfRule type="containsText" dxfId="3980" priority="76" operator="containsText" text="Deferred">
      <formula>NOT(ISERROR(SEARCH("Deferred",R82)))</formula>
    </cfRule>
    <cfRule type="containsText" dxfId="3979" priority="77" operator="containsText" text="Update Not Provided">
      <formula>NOT(ISERROR(SEARCH("Update Not Provided",R82)))</formula>
    </cfRule>
    <cfRule type="containsText" dxfId="3978" priority="78" operator="containsText" text="Not Yet Due">
      <formula>NOT(ISERROR(SEARCH("Not Yet Due",R82)))</formula>
    </cfRule>
    <cfRule type="containsText" dxfId="3977" priority="79" operator="containsText" text="Deleted">
      <formula>NOT(ISERROR(SEARCH("Deleted",R82)))</formula>
    </cfRule>
    <cfRule type="containsText" dxfId="3976" priority="80" operator="containsText" text="Completed Behind Schedule">
      <formula>NOT(ISERROR(SEARCH("Completed Behind Schedule",R82)))</formula>
    </cfRule>
    <cfRule type="containsText" dxfId="3975" priority="81" operator="containsText" text="Off Target">
      <formula>NOT(ISERROR(SEARCH("Off Target",R82)))</formula>
    </cfRule>
    <cfRule type="containsText" dxfId="3974" priority="82" operator="containsText" text="In Danger of Falling Behind Target">
      <formula>NOT(ISERROR(SEARCH("In Danger of Falling Behind Target",R82)))</formula>
    </cfRule>
    <cfRule type="containsText" dxfId="3973" priority="83" operator="containsText" text="Fully Achieved">
      <formula>NOT(ISERROR(SEARCH("Fully Achieved",R82)))</formula>
    </cfRule>
    <cfRule type="containsText" dxfId="3972" priority="84" operator="containsText" text="On track to be achieved">
      <formula>NOT(ISERROR(SEARCH("On track to be achieved",R82)))</formula>
    </cfRule>
  </conditionalFormatting>
  <conditionalFormatting sqref="H82">
    <cfRule type="containsText" dxfId="3971" priority="48" operator="containsText" text="Deferred">
      <formula>NOT(ISERROR(SEARCH("Deferred",H82)))</formula>
    </cfRule>
    <cfRule type="containsText" dxfId="3970" priority="49" operator="containsText" text="Update Not Provided">
      <formula>NOT(ISERROR(SEARCH("Update Not Provided",H82)))</formula>
    </cfRule>
    <cfRule type="containsText" dxfId="3969" priority="50" operator="containsText" text="Not Yet Due">
      <formula>NOT(ISERROR(SEARCH("Not Yet Due",H82)))</formula>
    </cfRule>
    <cfRule type="containsText" dxfId="3968" priority="51" operator="containsText" text="Deleted">
      <formula>NOT(ISERROR(SEARCH("Deleted",H82)))</formula>
    </cfRule>
    <cfRule type="containsText" dxfId="3967" priority="52" operator="containsText" text="Completed Behind Schedule">
      <formula>NOT(ISERROR(SEARCH("Completed Behind Schedule",H82)))</formula>
    </cfRule>
    <cfRule type="containsText" dxfId="3966" priority="53" operator="containsText" text="Off Target">
      <formula>NOT(ISERROR(SEARCH("Off Target",H82)))</formula>
    </cfRule>
    <cfRule type="containsText" dxfId="3965" priority="54" operator="containsText" text="In Danger of Falling Behind Target">
      <formula>NOT(ISERROR(SEARCH("In Danger of Falling Behind Target",H82)))</formula>
    </cfRule>
    <cfRule type="containsText" dxfId="3964" priority="55" operator="containsText" text="Fully Achieved">
      <formula>NOT(ISERROR(SEARCH("Fully Achieved",H82)))</formula>
    </cfRule>
    <cfRule type="containsText" dxfId="3963" priority="56" operator="containsText" text="On track to be achieved">
      <formula>NOT(ISERROR(SEARCH("On track to be achieved",H82)))</formula>
    </cfRule>
  </conditionalFormatting>
  <conditionalFormatting sqref="R96 H96">
    <cfRule type="containsText" dxfId="3962" priority="39" operator="containsText" text="Deferred">
      <formula>NOT(ISERROR(SEARCH("Deferred",H96)))</formula>
    </cfRule>
    <cfRule type="containsText" dxfId="3961" priority="40" operator="containsText" text="Update Not Provided">
      <formula>NOT(ISERROR(SEARCH("Update Not Provided",H96)))</formula>
    </cfRule>
    <cfRule type="containsText" dxfId="3960" priority="41" operator="containsText" text="Not Yet Due">
      <formula>NOT(ISERROR(SEARCH("Not Yet Due",H96)))</formula>
    </cfRule>
    <cfRule type="containsText" dxfId="3959" priority="42" operator="containsText" text="Deleted">
      <formula>NOT(ISERROR(SEARCH("Deleted",H96)))</formula>
    </cfRule>
    <cfRule type="containsText" dxfId="3958" priority="43" operator="containsText" text="Completed Behind Schedule">
      <formula>NOT(ISERROR(SEARCH("Completed Behind Schedule",H96)))</formula>
    </cfRule>
    <cfRule type="containsText" dxfId="3957" priority="44" operator="containsText" text="Off Target">
      <formula>NOT(ISERROR(SEARCH("Off Target",H96)))</formula>
    </cfRule>
    <cfRule type="containsText" dxfId="3956" priority="45" operator="containsText" text="In Danger of Falling Behind Target">
      <formula>NOT(ISERROR(SEARCH("In Danger of Falling Behind Target",H96)))</formula>
    </cfRule>
    <cfRule type="containsText" dxfId="3955" priority="46" operator="containsText" text="Fully Achieved">
      <formula>NOT(ISERROR(SEARCH("Fully Achieved",H96)))</formula>
    </cfRule>
    <cfRule type="containsText" dxfId="3954" priority="47" operator="containsText" text="On track to be achieved">
      <formula>NOT(ISERROR(SEARCH("On track to be achieved",H96)))</formula>
    </cfRule>
  </conditionalFormatting>
  <conditionalFormatting sqref="V3:V111">
    <cfRule type="containsText" dxfId="3953" priority="1" operator="containsText" text="Deleted">
      <formula>NOT(ISERROR(SEARCH("Deleted",V3)))</formula>
    </cfRule>
    <cfRule type="containsText" dxfId="3952" priority="2" operator="containsText" text="Deferred">
      <formula>NOT(ISERROR(SEARCH("Deferred",V3)))</formula>
    </cfRule>
    <cfRule type="containsText" dxfId="3951" priority="3" operator="containsText" text="Completion date within reasonable tolerance">
      <formula>NOT(ISERROR(SEARCH("Completion date within reasonable tolerance",V3)))</formula>
    </cfRule>
    <cfRule type="containsText" dxfId="3950" priority="4" operator="containsText" text="completed significantly after target deadline">
      <formula>NOT(ISERROR(SEARCH("completed significantly after target deadline",V3)))</formula>
    </cfRule>
    <cfRule type="containsText" dxfId="3949" priority="5" operator="containsText" text="Off target">
      <formula>NOT(ISERROR(SEARCH("Off target",V3)))</formula>
    </cfRule>
    <cfRule type="containsText" dxfId="3948" priority="6" operator="containsText" text="Target partially met">
      <formula>NOT(ISERROR(SEARCH("Target partially met",V3)))</formula>
    </cfRule>
    <cfRule type="containsText" dxfId="3947" priority="7" operator="containsText" text="Numerical outturn within 10% tolerance">
      <formula>NOT(ISERROR(SEARCH("Numerical outturn within 10% tolerance",V3)))</formula>
    </cfRule>
    <cfRule type="containsText" dxfId="3946" priority="8" operator="containsText" text="Numerical outturn within 5% Tolerance">
      <formula>NOT(ISERROR(SEARCH("Numerical outturn within 5% Tolerance",V3)))</formula>
    </cfRule>
    <cfRule type="containsText" dxfId="3945" priority="9" operator="containsText" text="Fully Achieved">
      <formula>NOT(ISERROR(SEARCH("Fully Achieved",V3)))</formula>
    </cfRule>
    <cfRule type="containsText" dxfId="3944" priority="10" operator="containsText" text="Update Not Provided">
      <formula>NOT(ISERROR(SEARCH("Update Not Provided",V3)))</formula>
    </cfRule>
    <cfRule type="containsText" dxfId="3943" priority="11" operator="containsText" text="Deferred">
      <formula>NOT(ISERROR(SEARCH("Deferred",V3)))</formula>
    </cfRule>
    <cfRule type="containsText" dxfId="3942" priority="12" operator="containsText" text="Update Not Provided">
      <formula>NOT(ISERROR(SEARCH("Update Not Provided",V3)))</formula>
    </cfRule>
    <cfRule type="containsText" dxfId="3941" priority="13" operator="containsText" text="Not Yet Due">
      <formula>NOT(ISERROR(SEARCH("Not Yet Due",V3)))</formula>
    </cfRule>
    <cfRule type="containsText" dxfId="3940" priority="14" operator="containsText" text="Deleted">
      <formula>NOT(ISERROR(SEARCH("Deleted",V3)))</formula>
    </cfRule>
    <cfRule type="containsText" dxfId="3939" priority="15" operator="containsText" text="Completed Behind Schedule">
      <formula>NOT(ISERROR(SEARCH("Completed Behind Schedule",V3)))</formula>
    </cfRule>
    <cfRule type="containsText" dxfId="3938" priority="16" operator="containsText" text="Off Target">
      <formula>NOT(ISERROR(SEARCH("Off Target",V3)))</formula>
    </cfRule>
    <cfRule type="containsText" dxfId="3937" priority="17" operator="containsText" text="In Danger of Falling Behind Target">
      <formula>NOT(ISERROR(SEARCH("In Danger of Falling Behind Target",V3)))</formula>
    </cfRule>
    <cfRule type="containsText" dxfId="3936" priority="18" operator="containsText" text="Fully Achieved">
      <formula>NOT(ISERROR(SEARCH("Fully Achieved",V3)))</formula>
    </cfRule>
    <cfRule type="containsText" dxfId="3935" priority="19" operator="containsText" text="On track to be achieved">
      <formula>NOT(ISERROR(SEARCH("On track to be achieved",V3)))</formula>
    </cfRule>
  </conditionalFormatting>
  <dataValidations xWindow="1108" yWindow="386" count="2">
    <dataValidation type="list" allowBlank="1" showInputMessage="1" showErrorMessage="1" promptTitle="Is target on track?" prompt="Please choose an option from the drop down list that best describes the current situation for this target." sqref="M3:M111 R3:R111 H3:H111">
      <formula1>#REF!</formula1>
    </dataValidation>
    <dataValidation type="list" allowBlank="1" showInputMessage="1" showErrorMessage="1" promptTitle="Is target on track?" prompt="Please choose an option from the drop down list that best describes the current situation for this target." sqref="V3:V111">
      <formula1>$A$146:$A$155</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C14" sqref="C14"/>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209</v>
      </c>
      <c r="D1" s="39"/>
    </row>
    <row r="2" spans="1:40" ht="40.5" customHeight="1" thickTop="1" thickBot="1">
      <c r="B2" s="389" t="s">
        <v>772</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2.2"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Priority'!C6+'2a. % By Priority'!C7</f>
        <v>68</v>
      </c>
      <c r="D5" s="52">
        <f>'2a. % By Priority'!G6</f>
        <v>0.90666666666666673</v>
      </c>
      <c r="E5" s="53">
        <f>'2a. % By Priority'!C9</f>
        <v>4</v>
      </c>
      <c r="F5" s="43">
        <f>'2a. % By Priority'!G9</f>
        <v>5.3333333333333337E-2</v>
      </c>
      <c r="G5" s="63">
        <f>'2a. % By Priority'!C13+'2a. % By Priority'!C14</f>
        <v>3</v>
      </c>
      <c r="H5" s="64">
        <f>'2a. % By Priority'!G13</f>
        <v>0.04</v>
      </c>
      <c r="I5" s="49"/>
      <c r="J5" s="305"/>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214</v>
      </c>
      <c r="C6" s="56"/>
      <c r="D6" s="57"/>
      <c r="E6" s="56"/>
      <c r="F6" s="57"/>
      <c r="G6" s="56"/>
      <c r="H6" s="58"/>
      <c r="I6" s="49"/>
      <c r="J6" s="305"/>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Priority'!C28+'2a. % By Priority'!C29</f>
        <v>32</v>
      </c>
      <c r="D7" s="52">
        <f>'2a. % By Priority'!G28</f>
        <v>0.86486486486486491</v>
      </c>
      <c r="E7" s="59">
        <f>'2a. % By Priority'!C31</f>
        <v>2</v>
      </c>
      <c r="F7" s="43">
        <f>'2a. % By Priority'!G31</f>
        <v>5.4054054054054057E-2</v>
      </c>
      <c r="G7" s="63">
        <f>'2a. % By Priority'!C35+'2a. % By Priority'!C36</f>
        <v>3</v>
      </c>
      <c r="H7" s="64">
        <f>'2a. % By Priority'!G35</f>
        <v>8.1081081081081086E-2</v>
      </c>
      <c r="I7" s="49"/>
      <c r="J7" s="305"/>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Priority'!C50+'2a. % By Priority'!C51</f>
        <v>16</v>
      </c>
      <c r="D8" s="52">
        <f>'2a. % By Priority'!G50</f>
        <v>0.94117647058823528</v>
      </c>
      <c r="E8" s="59">
        <f>'2a. % By Priority'!C53</f>
        <v>1</v>
      </c>
      <c r="F8" s="43">
        <f>'2a. % By Priority'!G53</f>
        <v>5.8823529411764705E-2</v>
      </c>
      <c r="G8" s="63">
        <f>'2a. % By Priority'!C57+'2a. % By Priority'!C58</f>
        <v>0</v>
      </c>
      <c r="H8" s="64">
        <f>'2a. % By Priority'!G57</f>
        <v>0</v>
      </c>
      <c r="I8" s="49"/>
      <c r="J8" s="305"/>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Priority'!C72+'2a. % By Priority'!C73</f>
        <v>20</v>
      </c>
      <c r="D9" s="52">
        <f>'2a. % By Priority'!G72</f>
        <v>0.95238095238095233</v>
      </c>
      <c r="E9" s="59">
        <f>'2a. % By Priority'!C75</f>
        <v>1</v>
      </c>
      <c r="F9" s="43">
        <f>'2a. % By Priority'!G75</f>
        <v>4.7619047619047616E-2</v>
      </c>
      <c r="G9" s="63">
        <f>'2a. % By Priority'!C79+'2a. % By Priority'!C80</f>
        <v>0</v>
      </c>
      <c r="H9" s="64">
        <f>'2a. % By Priority'!G79</f>
        <v>0</v>
      </c>
      <c r="I9" s="49"/>
      <c r="J9" s="305"/>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109</v>
      </c>
      <c r="C10" s="56"/>
      <c r="D10" s="57"/>
      <c r="E10" s="56"/>
      <c r="F10" s="57"/>
      <c r="G10" s="56"/>
      <c r="H10" s="58"/>
      <c r="I10" s="49"/>
      <c r="J10" s="305"/>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Portfolio'!C6+'3a. % by Portfolio'!C7</f>
        <v>11</v>
      </c>
      <c r="D11" s="68">
        <f>'3a. % by Portfolio'!G6</f>
        <v>0.84615384615384626</v>
      </c>
      <c r="E11" s="69">
        <f>'3a. % by Portfolio'!C9</f>
        <v>0</v>
      </c>
      <c r="F11" s="70">
        <f>'3a. % by Portfolio'!G9</f>
        <v>0</v>
      </c>
      <c r="G11" s="71">
        <f>'3a. % by Portfolio'!C13+'3a. % by Portfolio'!C14</f>
        <v>2</v>
      </c>
      <c r="H11" s="72">
        <f>'3a. % by Portfolio'!G13</f>
        <v>0.15384615384615385</v>
      </c>
      <c r="I11" s="49"/>
      <c r="J11" s="305"/>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Portfolio'!C29+'3a. % by Portfolio'!C30</f>
        <v>24</v>
      </c>
      <c r="D12" s="68">
        <f>'3a. % by Portfolio'!G29</f>
        <v>1</v>
      </c>
      <c r="E12" s="73">
        <f>'3a. % by Portfolio'!C32</f>
        <v>0</v>
      </c>
      <c r="F12" s="70">
        <f>'3a. % by Portfolio'!G32</f>
        <v>0</v>
      </c>
      <c r="G12" s="71">
        <f>'3a. % by Portfolio'!C36+'3a. % by Portfolio'!C37</f>
        <v>0</v>
      </c>
      <c r="H12" s="72">
        <f>'3a. % by Portfolio'!G36</f>
        <v>0</v>
      </c>
      <c r="I12" s="49"/>
      <c r="J12" s="305"/>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Portfolio'!C51+'3a. % by Portfolio'!C52</f>
        <v>0</v>
      </c>
      <c r="D13" s="68" t="e">
        <f>'3a. % by Portfolio'!G51</f>
        <v>#DIV/0!</v>
      </c>
      <c r="E13" s="73">
        <f>'3a. % by Portfolio'!C54</f>
        <v>0</v>
      </c>
      <c r="F13" s="70" t="e">
        <f>'3a. % by Portfolio'!G54</f>
        <v>#DIV/0!</v>
      </c>
      <c r="G13" s="71">
        <f>'3a. % by Portfolio'!C58+'3a. % by Portfolio'!C59</f>
        <v>0</v>
      </c>
      <c r="H13" s="72" t="e">
        <f>'3a. % by Portfolio'!G58</f>
        <v>#DIV/0!</v>
      </c>
      <c r="I13" s="49"/>
      <c r="J13" s="305"/>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Portfolio'!C73+'3a. % by Portfolio'!C74</f>
        <v>18</v>
      </c>
      <c r="D14" s="68">
        <f>'3a. % by Portfolio'!G73</f>
        <v>0.94736842105263153</v>
      </c>
      <c r="E14" s="73">
        <f>'3a. % by Portfolio'!C76</f>
        <v>1</v>
      </c>
      <c r="F14" s="70">
        <f>'3a. % by Portfolio'!G76</f>
        <v>5.2631578947368418E-2</v>
      </c>
      <c r="G14" s="71">
        <f>'3a. % by Portfolio'!C80+'3a. % by Portfolio'!C81</f>
        <v>0</v>
      </c>
      <c r="H14" s="72">
        <f>'3a. % by Portfolio'!G80</f>
        <v>0</v>
      </c>
      <c r="I14" s="49"/>
      <c r="J14" s="305"/>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Portfolio'!C95+'3a. % by Portfolio'!C96</f>
        <v>0</v>
      </c>
      <c r="D15" s="68" t="e">
        <f>'3a. % by Portfolio'!G95</f>
        <v>#DIV/0!</v>
      </c>
      <c r="E15" s="73">
        <f>'3a. % by Portfolio'!C98</f>
        <v>0</v>
      </c>
      <c r="F15" s="70" t="e">
        <f>'3a. % by Portfolio'!G98</f>
        <v>#DIV/0!</v>
      </c>
      <c r="G15" s="71">
        <f>'3a. % by Portfolio'!C102+'3a. % by Portfolio'!C103</f>
        <v>0</v>
      </c>
      <c r="H15" s="72" t="e">
        <f>'3a. % by Portfolio'!G102</f>
        <v>#DIV/0!</v>
      </c>
      <c r="I15" s="49"/>
      <c r="J15" s="305"/>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1Jf8en5Iet+PruMlcZpZWvzYr5h9DGX0HV+Sy6ubEaWcmRvxr1KLKu+7vWFIGQZIIF197kmM+ddZDFWGEwHeJg==" saltValue="Jhjk70J0zscR4+z1HC+IJ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3" zoomScale="70" zoomScaleNormal="70" workbookViewId="0">
      <selection activeCell="C8" sqref="C8"/>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209</v>
      </c>
      <c r="D1" s="39"/>
    </row>
    <row r="2" spans="1:40" ht="40.5" customHeight="1" thickTop="1" thickBot="1">
      <c r="B2" s="389" t="s">
        <v>773</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2.2"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Priority'!J6+'2a. % By Priority'!J7</f>
        <v>78</v>
      </c>
      <c r="D5" s="52">
        <f>'2a. % By Priority'!N6</f>
        <v>0.91764705882352937</v>
      </c>
      <c r="E5" s="53">
        <f>'2a. % By Priority'!J9</f>
        <v>4</v>
      </c>
      <c r="F5" s="43">
        <f>'2a. % By Priority'!N9</f>
        <v>4.7058823529411764E-2</v>
      </c>
      <c r="G5" s="63">
        <f>'2a. % By Priority'!J13+'2a. % By Priority'!J14</f>
        <v>3</v>
      </c>
      <c r="H5" s="64">
        <f>'2a. % By Priority'!N13</f>
        <v>3.5294117647058823E-2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Priority'!J28+'2a. % By Priority'!J29</f>
        <v>36</v>
      </c>
      <c r="D7" s="52">
        <f>'2a. % By Priority'!N28</f>
        <v>0.87804878048780488</v>
      </c>
      <c r="E7" s="59">
        <f>'2a. % By Priority'!J31</f>
        <v>2</v>
      </c>
      <c r="F7" s="43">
        <f>'2a. % By Priority'!N31</f>
        <v>4.878048780487805E-2</v>
      </c>
      <c r="G7" s="63">
        <f>'2a. % By Priority'!J35+'2a. % By Priority'!J36</f>
        <v>3</v>
      </c>
      <c r="H7" s="64">
        <f>'2a. % By Priority'!N35</f>
        <v>7.3170731707317083E-2</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Priority'!J50+'2a. % By Priority'!J51</f>
        <v>19</v>
      </c>
      <c r="D8" s="52">
        <f>'2a. % By Priority'!N50</f>
        <v>0.95000000000000007</v>
      </c>
      <c r="E8" s="59">
        <f>'2a. % By Priority'!J53</f>
        <v>1</v>
      </c>
      <c r="F8" s="43">
        <f>'2a. % By Priority'!N53</f>
        <v>0.05</v>
      </c>
      <c r="G8" s="63">
        <f>'2a. % By Priority'!J57+'2a. % By Priority'!J58</f>
        <v>0</v>
      </c>
      <c r="H8" s="64">
        <f>'2a. % By Priority'!N57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Priority'!J72+'2a. % By Priority'!J73</f>
        <v>23</v>
      </c>
      <c r="D9" s="52">
        <f>'2a. % By Priority'!N72</f>
        <v>0.95833333333333337</v>
      </c>
      <c r="E9" s="59">
        <f>'2a. % By Priority'!J75</f>
        <v>1</v>
      </c>
      <c r="F9" s="43">
        <f>'2a. % By Priority'!N75</f>
        <v>4.1666666666666664E-2</v>
      </c>
      <c r="G9" s="63">
        <f>'2a. % By Priority'!J79+'2a. % By Priority'!J80</f>
        <v>0</v>
      </c>
      <c r="H9" s="64">
        <f>'2a. % By Priority'!N79</f>
        <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Portfolio'!J6+'3a. % by Portfolio'!J7</f>
        <v>13</v>
      </c>
      <c r="D11" s="68">
        <f>'3a. % by Portfolio'!N6</f>
        <v>0.8666666666666667</v>
      </c>
      <c r="E11" s="69">
        <f>'3a. % by Portfolio'!J9</f>
        <v>0</v>
      </c>
      <c r="F11" s="70">
        <f>'3a. % by Portfolio'!N9</f>
        <v>0</v>
      </c>
      <c r="G11" s="63">
        <f>'3a. % by Portfolio'!J13+'3a. % by Portfolio'!J14</f>
        <v>2</v>
      </c>
      <c r="H11" s="72">
        <f>'3a. % by Portfolio'!N13</f>
        <v>0.13333333333333333</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Portfolio'!J29+'3a. % by Portfolio'!J30</f>
        <v>28</v>
      </c>
      <c r="D12" s="68">
        <f>'3a. % by Portfolio'!N29</f>
        <v>0.93333333333333335</v>
      </c>
      <c r="E12" s="73">
        <f>'3a. % by Portfolio'!J32</f>
        <v>2</v>
      </c>
      <c r="F12" s="70">
        <f>'3a. % by Portfolio'!N32</f>
        <v>6.6666666666666666E-2</v>
      </c>
      <c r="G12" s="63">
        <f>'3a. % by Portfolio'!J36+'3a. % by Portfolio'!J37</f>
        <v>0</v>
      </c>
      <c r="H12" s="72">
        <f>'3a. % by Portfolio'!N36</f>
        <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Portfolio'!J51+'3a. % by Portfolio'!J52</f>
        <v>0</v>
      </c>
      <c r="D13" s="68" t="e">
        <f>'3a. % by Portfolio'!N51</f>
        <v>#DIV/0!</v>
      </c>
      <c r="E13" s="73">
        <f>'3a. % by Portfolio'!J54</f>
        <v>0</v>
      </c>
      <c r="F13" s="70" t="e">
        <f>'3a. % by Portfolio'!N54</f>
        <v>#DIV/0!</v>
      </c>
      <c r="G13" s="63">
        <f>'3a. % by Portfolio'!J58+'3a. % by Portfolio'!J59</f>
        <v>0</v>
      </c>
      <c r="H13" s="72" t="e">
        <f>'3a. % by Portfolio'!N58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Portfolio'!J73+'3a. % by Portfolio'!J74</f>
        <v>23</v>
      </c>
      <c r="D14" s="68">
        <f>'3a. % by Portfolio'!N73</f>
        <v>1</v>
      </c>
      <c r="E14" s="73">
        <f>'3a. % by Portfolio'!J76</f>
        <v>0</v>
      </c>
      <c r="F14" s="70">
        <f>'3a. % by Portfolio'!N76</f>
        <v>0</v>
      </c>
      <c r="G14" s="63">
        <f>'3a. % by Portfolio'!J80+'3a. % by Portfolio'!J81</f>
        <v>0</v>
      </c>
      <c r="H14" s="72">
        <f>'3a. % by Portfolio'!N80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Portfolio'!J95+'3a. % by Portfolio'!J96</f>
        <v>0</v>
      </c>
      <c r="D15" s="68" t="e">
        <f>'3a. % by Portfolio'!N95</f>
        <v>#DIV/0!</v>
      </c>
      <c r="E15" s="73">
        <f>'3a. % by Portfolio'!J98</f>
        <v>0</v>
      </c>
      <c r="F15" s="70" t="e">
        <f>'3a. % by Portfolio'!N98</f>
        <v>#DIV/0!</v>
      </c>
      <c r="G15" s="63">
        <f>'3a. % by Portfolio'!J102+'3a. % by Portfolio'!J103</f>
        <v>0</v>
      </c>
      <c r="H15" s="72" t="e">
        <f>'3a. % by Portfolio'!N102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E8" sqref="E8"/>
    </sheetView>
  </sheetViews>
  <sheetFormatPr defaultColWidth="9.109375" defaultRowHeight="14.4"/>
  <cols>
    <col min="1" max="1" width="9.109375" style="37"/>
    <col min="2" max="2" width="49.5546875" style="10" customWidth="1"/>
    <col min="3" max="3" width="27.10937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209</v>
      </c>
      <c r="D1" s="39"/>
    </row>
    <row r="2" spans="1:40" ht="40.5" customHeight="1" thickTop="1" thickBot="1">
      <c r="B2" s="389" t="s">
        <v>774</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2.2"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Priority'!Q6+'2a. % By Priority'!Q7</f>
        <v>84</v>
      </c>
      <c r="D5" s="52">
        <f>'2a. % By Priority'!U6</f>
        <v>0.90322580645161299</v>
      </c>
      <c r="E5" s="53">
        <f>'2a. % By Priority'!Q9</f>
        <v>3</v>
      </c>
      <c r="F5" s="43">
        <f>'2a. % By Priority'!U9</f>
        <v>3.2258064516129031E-2</v>
      </c>
      <c r="G5" s="63">
        <f>'2a. % By Priority'!Q13+'2a. % By Priority'!Q14</f>
        <v>6</v>
      </c>
      <c r="H5" s="64">
        <f>'2a. % By Priority'!U13</f>
        <v>6.4516129032258063E-2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Priority'!Q28+'2a. % By Priority'!Q29</f>
        <v>39</v>
      </c>
      <c r="D7" s="52">
        <f>'2a. % By Priority'!U28</f>
        <v>0.82978723404255317</v>
      </c>
      <c r="E7" s="59">
        <f>'2a. % By Priority'!Q31</f>
        <v>3</v>
      </c>
      <c r="F7" s="43">
        <f>'2a. % By Priority'!U31</f>
        <v>6.3829787234042548E-2</v>
      </c>
      <c r="G7" s="63">
        <f>'2a. % By Priority'!Q35+'2a. % By Priority'!Q36</f>
        <v>5</v>
      </c>
      <c r="H7" s="64">
        <f>'2a. % By Priority'!U35</f>
        <v>0.10638297872340424</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Priority'!Q50+'2a. % By Priority'!Q51</f>
        <v>22</v>
      </c>
      <c r="D8" s="52">
        <f>'2a. % By Priority'!U50</f>
        <v>1</v>
      </c>
      <c r="E8" s="59">
        <f>'2a. % By Priority'!Q53</f>
        <v>0</v>
      </c>
      <c r="F8" s="43">
        <f>'2a. % By Priority'!U53</f>
        <v>0</v>
      </c>
      <c r="G8" s="63">
        <f>'2a. % By Priority'!Q57+'2a. % By Priority'!Q58</f>
        <v>0</v>
      </c>
      <c r="H8" s="64">
        <f>'2a. % By Priority'!U57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Priority'!Q72+'2a. % By Priority'!Q73</f>
        <v>23</v>
      </c>
      <c r="D9" s="52">
        <f>'2a. % By Priority'!U72</f>
        <v>0.95833333333333326</v>
      </c>
      <c r="E9" s="59">
        <f>'2a. % By Priority'!Q75</f>
        <v>0</v>
      </c>
      <c r="F9" s="43">
        <f>'2a. % By Priority'!U75</f>
        <v>0</v>
      </c>
      <c r="G9" s="63">
        <f>'2a. % By Priority'!Q79+'2a. % By Priority'!Q80</f>
        <v>1</v>
      </c>
      <c r="H9" s="64">
        <f>'2a. % By Priority'!U79</f>
        <v>4.1666666666666664E-2</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Portfolio'!Q6+'3a. % by Portfolio'!Q7</f>
        <v>16</v>
      </c>
      <c r="D11" s="68">
        <f>'3a. % by Portfolio'!U6</f>
        <v>0.84210526315789469</v>
      </c>
      <c r="E11" s="69">
        <f>'3a. % by Portfolio'!Q9</f>
        <v>0</v>
      </c>
      <c r="F11" s="70">
        <f>'3a. % by Portfolio'!U9</f>
        <v>0</v>
      </c>
      <c r="G11" s="71">
        <f>'3a. % by Portfolio'!Q13+'3a. % by Portfolio'!Q14</f>
        <v>3</v>
      </c>
      <c r="H11" s="72">
        <f>'3a. % by Portfolio'!U13</f>
        <v>0.15789473684210525</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Portfolio'!Q29+'3a. % by Portfolio'!Q30</f>
        <v>27</v>
      </c>
      <c r="D12" s="68">
        <f>'3a. % by Portfolio'!U29</f>
        <v>0.9</v>
      </c>
      <c r="E12" s="73">
        <f>'3a. % by Portfolio'!Q32</f>
        <v>2</v>
      </c>
      <c r="F12" s="70">
        <f>'3a. % by Portfolio'!U32</f>
        <v>6.6666666666666666E-2</v>
      </c>
      <c r="G12" s="71">
        <f>'3a. % by Portfolio'!Q13+'3a. % by Portfolio'!Q14</f>
        <v>3</v>
      </c>
      <c r="H12" s="72">
        <f>'3a. % by Portfolio'!U36</f>
        <v>3.3333333333333333E-2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938</v>
      </c>
      <c r="C13" s="67">
        <f>'3a. % by Portfolio'!Q51+'3a. % by Portfolio'!Q52</f>
        <v>10</v>
      </c>
      <c r="D13" s="68">
        <f>'3a. % by Portfolio'!U51</f>
        <v>0.83333333333333326</v>
      </c>
      <c r="E13" s="73">
        <f>'3a. % by Portfolio'!Q54</f>
        <v>0</v>
      </c>
      <c r="F13" s="70">
        <f>'3a. % by Portfolio'!U54</f>
        <v>0</v>
      </c>
      <c r="G13" s="71">
        <f>'3a. % by Portfolio'!Q58+'3a. % by Portfolio'!Q59</f>
        <v>2</v>
      </c>
      <c r="H13" s="72">
        <f>'3a. % by Portfolio'!U58</f>
        <v>0.16666666666666666</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Portfolio'!Q73+'3a. % by Portfolio'!Q74</f>
        <v>22</v>
      </c>
      <c r="D14" s="68">
        <f>'3a. % by Portfolio'!U73</f>
        <v>1</v>
      </c>
      <c r="E14" s="73">
        <f>'3a. % by Portfolio'!Q76</f>
        <v>0</v>
      </c>
      <c r="F14" s="70">
        <f>'3a. % by Portfolio'!U76</f>
        <v>0</v>
      </c>
      <c r="G14" s="71">
        <f>'3a. % by Portfolio'!Q80+'3a. % by Portfolio'!Q81</f>
        <v>0</v>
      </c>
      <c r="H14" s="72">
        <f>'3a. % by Portfolio'!U80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939</v>
      </c>
      <c r="C15" s="67">
        <f>'3a. % by Portfolio'!Q95+'3a. % by Portfolio'!Q96</f>
        <v>9</v>
      </c>
      <c r="D15" s="68">
        <f>'3a. % by Portfolio'!U95</f>
        <v>0.9</v>
      </c>
      <c r="E15" s="73">
        <f>'3a. % by Portfolio'!Q98</f>
        <v>1</v>
      </c>
      <c r="F15" s="70">
        <f>'3a. % by Portfolio'!U98</f>
        <v>0.1</v>
      </c>
      <c r="G15" s="71">
        <f>'3a. % by Portfolio'!Q102+'3a. % by Portfolio'!Q103</f>
        <v>0</v>
      </c>
      <c r="H15" s="72">
        <f>'3a. % by Portfolio'!U102</f>
        <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abSelected="1" zoomScale="60" zoomScaleNormal="60" workbookViewId="0">
      <selection activeCell="D9" sqref="D9"/>
    </sheetView>
  </sheetViews>
  <sheetFormatPr defaultColWidth="9.109375" defaultRowHeight="14.4"/>
  <cols>
    <col min="1" max="1" width="9.109375" style="37"/>
    <col min="2" max="2" width="49.5546875" style="10" customWidth="1"/>
    <col min="3" max="3" width="27.33203125" style="10" customWidth="1"/>
    <col min="4" max="4" width="27.109375" style="60" customWidth="1"/>
    <col min="5" max="8" width="27.109375" style="10" customWidth="1"/>
    <col min="9" max="40" width="9.109375" style="37"/>
    <col min="41" max="16384" width="9.109375" style="10"/>
  </cols>
  <sheetData>
    <row r="1" spans="1:40" s="37" customFormat="1" ht="33" customHeight="1" thickBot="1">
      <c r="B1" s="38" t="s">
        <v>209</v>
      </c>
      <c r="D1" s="39"/>
    </row>
    <row r="2" spans="1:40" ht="40.5" customHeight="1" thickTop="1" thickBot="1">
      <c r="B2" s="389" t="s">
        <v>775</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2.2"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Priority'!X6+'2a. % By Priority'!X7</f>
        <v>83</v>
      </c>
      <c r="D5" s="52">
        <f>'2a. % By Priority'!AB6</f>
        <v>0.88297872340425532</v>
      </c>
      <c r="E5" s="53">
        <f>'2a. % By Priority'!X9+'2a. % By Priority'!X10+'2a. % By Priority'!X11</f>
        <v>4</v>
      </c>
      <c r="F5" s="43">
        <f>'2a. % By Priority'!AB9</f>
        <v>4.2553191489361701E-2</v>
      </c>
      <c r="G5" s="63">
        <f>'2a. % By Priority'!X13+'2a. % By Priority'!X14</f>
        <v>7</v>
      </c>
      <c r="H5" s="64">
        <f>'2a. % By Priority'!AB13</f>
        <v>7.4468085106382975E-2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2.2"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Priority'!X28+'2a. % By Priority'!X29</f>
        <v>41</v>
      </c>
      <c r="D7" s="52">
        <f>'2a. % By Priority'!AB28</f>
        <v>0.85416666666666663</v>
      </c>
      <c r="E7" s="59">
        <f>'2a. % By Priority'!X31+'2a. % By Priority'!X32+'2a. % By Priority'!X33</f>
        <v>1</v>
      </c>
      <c r="F7" s="43">
        <f>'2a. % By Priority'!AB31</f>
        <v>2.0833333333333332E-2</v>
      </c>
      <c r="G7" s="63">
        <f>'2a. % By Priority'!X35+'2a. % By Priority'!X36</f>
        <v>6</v>
      </c>
      <c r="H7" s="64">
        <f>'2a. % By Priority'!AB35</f>
        <v>0.125</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Priority'!X50+'2a. % By Priority'!X51</f>
        <v>21</v>
      </c>
      <c r="D8" s="52">
        <f>SUM('2a. % By Priority'!AB50:AB51)</f>
        <v>0.95454545454545459</v>
      </c>
      <c r="E8" s="59">
        <f>'2a. % By Priority'!X53+'2a. % By Priority'!X54+'2a. % By Priority'!X55</f>
        <v>1</v>
      </c>
      <c r="F8" s="43">
        <f>'2a. % By Priority'!AB53</f>
        <v>4.5454545454545456E-2</v>
      </c>
      <c r="G8" s="63">
        <f>'2a. % By Priority'!X57+'2a. % By Priority'!X58</f>
        <v>0</v>
      </c>
      <c r="H8" s="64">
        <f>'2a. % By Priority'!AB57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Priority'!X72+'2a. % By Priority'!X73</f>
        <v>21</v>
      </c>
      <c r="D9" s="52">
        <f>'2a. % By Priority'!AB72</f>
        <v>0.875</v>
      </c>
      <c r="E9" s="59">
        <f>'2a. % By Priority'!X75+'2a. % By Priority'!X76+'2a. % By Priority'!X77</f>
        <v>2</v>
      </c>
      <c r="F9" s="43">
        <f>'2a. % By Priority'!AB75</f>
        <v>8.3333333333333329E-2</v>
      </c>
      <c r="G9" s="63">
        <f>'2a. % By Priority'!X79+'2a. % By Priority'!X80</f>
        <v>1</v>
      </c>
      <c r="H9" s="64">
        <f>'2a. % By Priority'!AB79</f>
        <v>4.1666666666666664E-2</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2.2"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51">
        <f>'3a. % by Portfolio'!X6+'3a. % by Portfolio'!X7</f>
        <v>15</v>
      </c>
      <c r="D11" s="52">
        <f>'3a. % by Portfolio'!AB6</f>
        <v>0.78947368421052633</v>
      </c>
      <c r="E11" s="59">
        <f>SUM('3a. % by Portfolio'!X9:X11)</f>
        <v>1</v>
      </c>
      <c r="F11" s="43">
        <f>'3a. % by Portfolio'!AB9</f>
        <v>5.2631578947368418E-2</v>
      </c>
      <c r="G11" s="63">
        <f>'3a. % by Portfolio'!X13+'3a. % by Portfolio'!X14</f>
        <v>3</v>
      </c>
      <c r="H11" s="64">
        <f>'3a. % by Portfolio'!AB13</f>
        <v>0.15789473684210525</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51">
        <f>'3a. % by Portfolio'!X29+'3a. % by Portfolio'!X30</f>
        <v>29</v>
      </c>
      <c r="D12" s="52">
        <f>'3a. % by Portfolio'!AB29</f>
        <v>0.93548387096774199</v>
      </c>
      <c r="E12" s="175">
        <f>'3a. % by Portfolio'!X32+'3a. % by Portfolio'!X33+'3a. % by Portfolio'!X34</f>
        <v>0</v>
      </c>
      <c r="F12" s="43">
        <f>'3a. % by Portfolio'!AB32</f>
        <v>0</v>
      </c>
      <c r="G12" s="63">
        <f>'3a. % by Portfolio'!X13+'3a. % by Portfolio'!X14</f>
        <v>3</v>
      </c>
      <c r="H12" s="64">
        <f>'3a. % by Portfolio'!AB36</f>
        <v>6.4516129032258063E-2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938</v>
      </c>
      <c r="C13" s="51">
        <f>'3a. % by Portfolio'!X51+'3a. % by Portfolio'!X52</f>
        <v>10</v>
      </c>
      <c r="D13" s="52">
        <f>'3a. % by Portfolio'!AB51</f>
        <v>0.83333333333333337</v>
      </c>
      <c r="E13" s="175">
        <f>'3a. % by Portfolio'!X54+'3a. % by Portfolio'!X55+'3a. % by Portfolio'!X56</f>
        <v>1</v>
      </c>
      <c r="F13" s="43">
        <f>'3a. % by Portfolio'!AB54</f>
        <v>8.3333333333333329E-2</v>
      </c>
      <c r="G13" s="63">
        <f>'3a. % by Portfolio'!X58+'3a. % by Portfolio'!X59</f>
        <v>1</v>
      </c>
      <c r="H13" s="64">
        <f>'3a. % by Portfolio'!AB58</f>
        <v>8.3333333333333329E-2</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51">
        <f>'3a. % by Portfolio'!X73+'3a. % by Portfolio'!X74</f>
        <v>21</v>
      </c>
      <c r="D14" s="52">
        <f>'3a. % by Portfolio'!AB73</f>
        <v>0.95454545454545459</v>
      </c>
      <c r="E14" s="175">
        <f>'3a. % by Portfolio'!X76+'3a. % by Portfolio'!X77+'3a. % by Portfolio'!X78</f>
        <v>1</v>
      </c>
      <c r="F14" s="43">
        <f>'3a. % by Portfolio'!AB76</f>
        <v>4.5454545454545456E-2</v>
      </c>
      <c r="G14" s="63">
        <f>'3a. % by Portfolio'!X80+'3a. % by Portfolio'!X81</f>
        <v>0</v>
      </c>
      <c r="H14" s="64">
        <f>'3a. % by Portfolio'!AB80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939</v>
      </c>
      <c r="C15" s="51">
        <f>'3a. % by Portfolio'!X95+'3a. % by Portfolio'!X96</f>
        <v>8</v>
      </c>
      <c r="D15" s="52">
        <f>'3a. % by Portfolio'!AB95</f>
        <v>0.88888888888888884</v>
      </c>
      <c r="E15" s="175">
        <f>'3a. % by Portfolio'!X98+'3a. % by Portfolio'!X99+'3a. % by Portfolio'!X100</f>
        <v>1</v>
      </c>
      <c r="F15" s="43">
        <f>'3a. % by Portfolio'!AB98</f>
        <v>0.1111111111111111</v>
      </c>
      <c r="G15" s="63">
        <f>'3a. % by Portfolio'!X102+'3a. % by Portfolio'!X103</f>
        <v>0</v>
      </c>
      <c r="H15" s="64">
        <f>'3a. % by Portfolio'!AB102</f>
        <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9"/>
  <sheetViews>
    <sheetView topLeftCell="V25" zoomScale="80" zoomScaleNormal="80" workbookViewId="0">
      <selection activeCell="AB50" sqref="AB50:AB51"/>
    </sheetView>
  </sheetViews>
  <sheetFormatPr defaultColWidth="9.109375" defaultRowHeight="13.8"/>
  <cols>
    <col min="1" max="1" width="2.109375" style="216" customWidth="1"/>
    <col min="2" max="2" width="38.88671875" style="216" customWidth="1"/>
    <col min="3" max="3" width="13.6640625" style="213" customWidth="1"/>
    <col min="4" max="4" width="13.88671875" style="213" customWidth="1"/>
    <col min="5" max="5" width="16.33203125" style="213" customWidth="1"/>
    <col min="6" max="6" width="14.109375" style="213" customWidth="1"/>
    <col min="7" max="7" width="17.109375" style="213" customWidth="1"/>
    <col min="8" max="8" width="4.6640625" style="213" customWidth="1"/>
    <col min="9" max="9" width="38.88671875" style="216" customWidth="1"/>
    <col min="10" max="10" width="13.6640625" style="213" customWidth="1"/>
    <col min="11" max="11" width="13.88671875" style="213" customWidth="1"/>
    <col min="12" max="12" width="16.33203125" style="213" customWidth="1"/>
    <col min="13" max="13" width="14.109375" style="213" customWidth="1"/>
    <col min="14" max="14" width="17.109375" style="213" customWidth="1"/>
    <col min="15" max="15" width="4.6640625" style="213" customWidth="1"/>
    <col min="16" max="16" width="38.88671875" style="216" customWidth="1"/>
    <col min="17" max="17" width="13.6640625" style="213" customWidth="1"/>
    <col min="18" max="18" width="13.88671875" style="213" customWidth="1"/>
    <col min="19" max="19" width="16.33203125" style="213" customWidth="1"/>
    <col min="20" max="20" width="14.109375" style="213" customWidth="1"/>
    <col min="21" max="21" width="17.109375" style="213" customWidth="1"/>
    <col min="22" max="22" width="4.6640625" style="213" customWidth="1"/>
    <col min="23" max="23" width="55.33203125" style="213" customWidth="1"/>
    <col min="24" max="24" width="14.5546875" style="213" customWidth="1"/>
    <col min="25" max="27" width="17.109375" style="213" customWidth="1"/>
    <col min="28" max="28" width="17.109375" style="253" customWidth="1"/>
    <col min="29" max="29" width="9.109375" style="216" customWidth="1"/>
    <col min="30" max="30" width="12" style="216" customWidth="1"/>
    <col min="31" max="16384" width="9.109375" style="216"/>
  </cols>
  <sheetData>
    <row r="1" spans="2:30" s="210" customFormat="1" ht="21">
      <c r="B1" s="202" t="s">
        <v>536</v>
      </c>
      <c r="C1" s="203"/>
      <c r="D1" s="204"/>
      <c r="E1" s="204"/>
      <c r="F1" s="204"/>
      <c r="G1" s="204"/>
      <c r="H1" s="205"/>
      <c r="I1" s="202" t="s">
        <v>537</v>
      </c>
      <c r="J1" s="203"/>
      <c r="K1" s="204"/>
      <c r="L1" s="204"/>
      <c r="M1" s="204"/>
      <c r="N1" s="204"/>
      <c r="O1" s="205"/>
      <c r="P1" s="206" t="s">
        <v>538</v>
      </c>
      <c r="Q1" s="203"/>
      <c r="R1" s="204"/>
      <c r="S1" s="204"/>
      <c r="T1" s="204"/>
      <c r="U1" s="204"/>
      <c r="V1" s="205"/>
      <c r="W1" s="207" t="s">
        <v>539</v>
      </c>
      <c r="X1" s="208"/>
      <c r="Y1" s="208"/>
      <c r="Z1" s="208"/>
      <c r="AA1" s="208"/>
      <c r="AB1" s="209"/>
    </row>
    <row r="2" spans="2:30" ht="15.6">
      <c r="B2" s="211"/>
      <c r="C2" s="212"/>
      <c r="D2" s="212"/>
      <c r="E2" s="212"/>
      <c r="F2" s="212"/>
      <c r="G2" s="212"/>
      <c r="I2" s="211"/>
      <c r="J2" s="212"/>
      <c r="K2" s="212"/>
      <c r="L2" s="212"/>
      <c r="M2" s="212"/>
      <c r="N2" s="212"/>
      <c r="P2" s="211"/>
      <c r="Q2" s="212"/>
      <c r="R2" s="212"/>
      <c r="S2" s="212"/>
      <c r="T2" s="212"/>
      <c r="U2" s="212"/>
      <c r="W2" s="214"/>
      <c r="X2" s="214"/>
      <c r="Y2" s="214"/>
      <c r="Z2" s="214"/>
      <c r="AA2" s="214"/>
      <c r="AB2" s="215"/>
    </row>
    <row r="3" spans="2:30" ht="15.6">
      <c r="B3" s="217" t="s">
        <v>185</v>
      </c>
      <c r="C3" s="218"/>
      <c r="D3" s="218"/>
      <c r="E3" s="218"/>
      <c r="F3" s="218"/>
      <c r="G3" s="219"/>
      <c r="I3" s="217" t="s">
        <v>185</v>
      </c>
      <c r="J3" s="218"/>
      <c r="K3" s="218"/>
      <c r="L3" s="218"/>
      <c r="M3" s="218"/>
      <c r="N3" s="219"/>
      <c r="P3" s="217" t="s">
        <v>185</v>
      </c>
      <c r="Q3" s="218"/>
      <c r="R3" s="218"/>
      <c r="S3" s="218"/>
      <c r="T3" s="218"/>
      <c r="U3" s="219"/>
      <c r="W3" s="220" t="s">
        <v>185</v>
      </c>
      <c r="X3" s="221"/>
      <c r="Y3" s="221"/>
      <c r="Z3" s="221"/>
      <c r="AA3" s="221"/>
      <c r="AB3" s="222"/>
    </row>
    <row r="4" spans="2:30" s="213" customFormat="1" ht="39" customHeight="1">
      <c r="B4" s="223" t="s">
        <v>186</v>
      </c>
      <c r="C4" s="223" t="s">
        <v>187</v>
      </c>
      <c r="D4" s="223" t="s">
        <v>188</v>
      </c>
      <c r="E4" s="223" t="s">
        <v>189</v>
      </c>
      <c r="F4" s="223" t="s">
        <v>190</v>
      </c>
      <c r="G4" s="223" t="s">
        <v>191</v>
      </c>
      <c r="I4" s="223" t="s">
        <v>186</v>
      </c>
      <c r="J4" s="223" t="s">
        <v>187</v>
      </c>
      <c r="K4" s="223" t="s">
        <v>188</v>
      </c>
      <c r="L4" s="223" t="s">
        <v>189</v>
      </c>
      <c r="M4" s="223" t="s">
        <v>190</v>
      </c>
      <c r="N4" s="223" t="s">
        <v>191</v>
      </c>
      <c r="P4" s="223" t="s">
        <v>186</v>
      </c>
      <c r="Q4" s="223" t="s">
        <v>187</v>
      </c>
      <c r="R4" s="223" t="s">
        <v>188</v>
      </c>
      <c r="S4" s="223" t="s">
        <v>189</v>
      </c>
      <c r="T4" s="223" t="s">
        <v>190</v>
      </c>
      <c r="U4" s="223" t="s">
        <v>191</v>
      </c>
      <c r="W4" s="223" t="s">
        <v>186</v>
      </c>
      <c r="X4" s="223" t="s">
        <v>187</v>
      </c>
      <c r="Y4" s="223" t="s">
        <v>188</v>
      </c>
      <c r="Z4" s="223" t="s">
        <v>189</v>
      </c>
      <c r="AA4" s="223" t="s">
        <v>190</v>
      </c>
      <c r="AB4" s="223" t="s">
        <v>191</v>
      </c>
    </row>
    <row r="5" spans="2:30" s="227" customFormat="1" ht="5.25" customHeight="1">
      <c r="B5" s="224"/>
      <c r="C5" s="225"/>
      <c r="D5" s="225"/>
      <c r="E5" s="225"/>
      <c r="F5" s="225"/>
      <c r="G5" s="225"/>
      <c r="H5" s="226"/>
      <c r="I5" s="224"/>
      <c r="J5" s="225"/>
      <c r="K5" s="225"/>
      <c r="L5" s="225"/>
      <c r="M5" s="225"/>
      <c r="N5" s="225"/>
      <c r="O5" s="226"/>
      <c r="P5" s="224"/>
      <c r="Q5" s="225"/>
      <c r="R5" s="225"/>
      <c r="S5" s="225"/>
      <c r="T5" s="225"/>
      <c r="U5" s="225"/>
      <c r="V5" s="226"/>
      <c r="W5" s="224"/>
      <c r="X5" s="225"/>
      <c r="Y5" s="225"/>
      <c r="Z5" s="225"/>
      <c r="AA5" s="225"/>
      <c r="AB5" s="225"/>
    </row>
    <row r="6" spans="2:30" ht="30.75" customHeight="1">
      <c r="B6" s="228" t="s">
        <v>192</v>
      </c>
      <c r="C6" s="229">
        <f>COUNTIF('1. All Data'!$H$3:$H$111,"Fully Achieved")</f>
        <v>4</v>
      </c>
      <c r="D6" s="230">
        <f>C6/C20</f>
        <v>3.669724770642202E-2</v>
      </c>
      <c r="E6" s="399">
        <f>D6+D7</f>
        <v>0.62385321100917435</v>
      </c>
      <c r="F6" s="230">
        <f>C6/C21</f>
        <v>5.3333333333333337E-2</v>
      </c>
      <c r="G6" s="398">
        <f>F6+F7</f>
        <v>0.90666666666666673</v>
      </c>
      <c r="I6" s="228" t="s">
        <v>192</v>
      </c>
      <c r="J6" s="229">
        <f>COUNTIF('1. All Data'!$M$3:$M$111,"Fully Achieved")</f>
        <v>8</v>
      </c>
      <c r="K6" s="230">
        <f>J6/J20</f>
        <v>7.3394495412844041E-2</v>
      </c>
      <c r="L6" s="399">
        <f>K6+K7</f>
        <v>0.7155963302752294</v>
      </c>
      <c r="M6" s="230">
        <f>J6/J21</f>
        <v>9.4117647058823528E-2</v>
      </c>
      <c r="N6" s="398">
        <f>M6+M7</f>
        <v>0.91764705882352937</v>
      </c>
      <c r="P6" s="228" t="s">
        <v>192</v>
      </c>
      <c r="Q6" s="229">
        <f>COUNTIF('1. All Data'!$R$3:$R$111,"Fully Achieved")</f>
        <v>29</v>
      </c>
      <c r="R6" s="230">
        <f>Q6/Q20</f>
        <v>0.26605504587155965</v>
      </c>
      <c r="S6" s="399">
        <f>R6+R7</f>
        <v>0.77064220183486243</v>
      </c>
      <c r="T6" s="230">
        <f>Q6/Q21</f>
        <v>0.31182795698924731</v>
      </c>
      <c r="U6" s="398">
        <f>T6+T7</f>
        <v>0.90322580645161299</v>
      </c>
      <c r="W6" s="228" t="s">
        <v>192</v>
      </c>
      <c r="X6" s="229">
        <f>COUNTIF('1. All Data'!$V$3:$V$111,"Fully Achieved")</f>
        <v>81</v>
      </c>
      <c r="Y6" s="230">
        <f>X6/$X$20</f>
        <v>0.74311926605504586</v>
      </c>
      <c r="Z6" s="399">
        <f>SUM(Y6:Y7)</f>
        <v>0.76146788990825687</v>
      </c>
      <c r="AA6" s="230">
        <f>X6/$X$21</f>
        <v>0.86170212765957444</v>
      </c>
      <c r="AB6" s="398">
        <f>AA6+AA7</f>
        <v>0.88297872340425532</v>
      </c>
      <c r="AD6" s="398">
        <f>AB6</f>
        <v>0.88297872340425532</v>
      </c>
    </row>
    <row r="7" spans="2:30" ht="30.75" customHeight="1">
      <c r="B7" s="228" t="s">
        <v>169</v>
      </c>
      <c r="C7" s="229">
        <f>COUNTIF('1. All Data'!$H$3:$H$111,"On Track to be Achieved")</f>
        <v>64</v>
      </c>
      <c r="D7" s="230">
        <f>C7/C20</f>
        <v>0.58715596330275233</v>
      </c>
      <c r="E7" s="399"/>
      <c r="F7" s="230">
        <f>C7/C21</f>
        <v>0.85333333333333339</v>
      </c>
      <c r="G7" s="398"/>
      <c r="I7" s="228" t="s">
        <v>169</v>
      </c>
      <c r="J7" s="229">
        <f>COUNTIF('1. All Data'!$M$3:$M$111,"On Track to be Achieved")</f>
        <v>70</v>
      </c>
      <c r="K7" s="230">
        <f>J7/J20</f>
        <v>0.64220183486238536</v>
      </c>
      <c r="L7" s="399"/>
      <c r="M7" s="230">
        <f>J7/J21</f>
        <v>0.82352941176470584</v>
      </c>
      <c r="N7" s="398"/>
      <c r="P7" s="228" t="s">
        <v>169</v>
      </c>
      <c r="Q7" s="229">
        <f>COUNTIF('1. All Data'!$R$3:$R$111,"On Track to be Achieved")</f>
        <v>55</v>
      </c>
      <c r="R7" s="230">
        <f>Q7/Q20</f>
        <v>0.50458715596330272</v>
      </c>
      <c r="S7" s="399"/>
      <c r="T7" s="230">
        <f>Q7/Q21</f>
        <v>0.59139784946236562</v>
      </c>
      <c r="U7" s="398"/>
      <c r="W7" s="228" t="s">
        <v>161</v>
      </c>
      <c r="X7" s="229">
        <f>COUNTIF('1. All Data'!$V$3:$V$111,"Numerical Outturn Within 5% Tolerance")</f>
        <v>2</v>
      </c>
      <c r="Y7" s="230">
        <f>X7/$X$20</f>
        <v>1.834862385321101E-2</v>
      </c>
      <c r="Z7" s="399"/>
      <c r="AA7" s="230">
        <f>X7/$X$21</f>
        <v>2.1276595744680851E-2</v>
      </c>
      <c r="AB7" s="398"/>
      <c r="AD7" s="398"/>
    </row>
    <row r="8" spans="2:30" s="236" customFormat="1" ht="6" customHeight="1">
      <c r="B8" s="231"/>
      <c r="C8" s="232"/>
      <c r="D8" s="233"/>
      <c r="E8" s="233"/>
      <c r="F8" s="233"/>
      <c r="G8" s="234"/>
      <c r="H8" s="235"/>
      <c r="I8" s="231"/>
      <c r="J8" s="232"/>
      <c r="K8" s="233"/>
      <c r="L8" s="233"/>
      <c r="M8" s="233"/>
      <c r="N8" s="234"/>
      <c r="O8" s="235"/>
      <c r="P8" s="231"/>
      <c r="Q8" s="232"/>
      <c r="R8" s="233"/>
      <c r="S8" s="233"/>
      <c r="T8" s="233"/>
      <c r="U8" s="234"/>
      <c r="V8" s="235"/>
      <c r="W8" s="231"/>
      <c r="X8" s="232"/>
      <c r="Y8" s="230"/>
      <c r="Z8" s="233"/>
      <c r="AA8" s="233"/>
      <c r="AB8" s="234"/>
    </row>
    <row r="9" spans="2:30" ht="18.75" customHeight="1">
      <c r="B9" s="400" t="s">
        <v>170</v>
      </c>
      <c r="C9" s="403">
        <f>COUNTIF('1. All Data'!$H$3:$H$111,"In Danger of Falling Behind Target")</f>
        <v>4</v>
      </c>
      <c r="D9" s="406">
        <f>C9/C20</f>
        <v>3.669724770642202E-2</v>
      </c>
      <c r="E9" s="406">
        <f>D9</f>
        <v>3.669724770642202E-2</v>
      </c>
      <c r="F9" s="406">
        <f>C9/C21</f>
        <v>5.3333333333333337E-2</v>
      </c>
      <c r="G9" s="409">
        <f>F9</f>
        <v>5.3333333333333337E-2</v>
      </c>
      <c r="I9" s="400" t="s">
        <v>170</v>
      </c>
      <c r="J9" s="403">
        <f>COUNTIF('1. All Data'!$M$3:$M$129,"In Danger of Falling Behind Target")</f>
        <v>4</v>
      </c>
      <c r="K9" s="406">
        <f>J9/J20</f>
        <v>3.669724770642202E-2</v>
      </c>
      <c r="L9" s="406">
        <f>K9</f>
        <v>3.669724770642202E-2</v>
      </c>
      <c r="M9" s="406">
        <f>J9/J21</f>
        <v>4.7058823529411764E-2</v>
      </c>
      <c r="N9" s="409">
        <f>M9</f>
        <v>4.7058823529411764E-2</v>
      </c>
      <c r="P9" s="400" t="s">
        <v>170</v>
      </c>
      <c r="Q9" s="403">
        <f>COUNTIF('1. All Data'!$R$3:$R$111,"In Danger of Falling Behind Target")</f>
        <v>3</v>
      </c>
      <c r="R9" s="406">
        <f>Q9/Q20</f>
        <v>2.7522935779816515E-2</v>
      </c>
      <c r="S9" s="406">
        <f>R9</f>
        <v>2.7522935779816515E-2</v>
      </c>
      <c r="T9" s="406">
        <f>Q9/Q21</f>
        <v>3.2258064516129031E-2</v>
      </c>
      <c r="U9" s="409">
        <f>T9</f>
        <v>3.2258064516129031E-2</v>
      </c>
      <c r="W9" s="237" t="s">
        <v>162</v>
      </c>
      <c r="X9" s="238">
        <f>COUNTIF('1. All Data'!$V$3:$V$111,"Numerical Outturn Within 10% Tolerance")</f>
        <v>0</v>
      </c>
      <c r="Y9" s="230">
        <f>X9/$X$20</f>
        <v>0</v>
      </c>
      <c r="Z9" s="399">
        <f>SUM(Y9:Y11)</f>
        <v>3.669724770642202E-2</v>
      </c>
      <c r="AA9" s="230">
        <f>X9/$X$21</f>
        <v>0</v>
      </c>
      <c r="AB9" s="412">
        <f>SUM(AA9:AA11)</f>
        <v>4.2553191489361701E-2</v>
      </c>
      <c r="AD9" s="396">
        <f>SUM(AB9:AB14)</f>
        <v>0.11702127659574468</v>
      </c>
    </row>
    <row r="10" spans="2:30" ht="19.5" customHeight="1">
      <c r="B10" s="401"/>
      <c r="C10" s="404"/>
      <c r="D10" s="407"/>
      <c r="E10" s="407"/>
      <c r="F10" s="407"/>
      <c r="G10" s="410"/>
      <c r="I10" s="401"/>
      <c r="J10" s="404"/>
      <c r="K10" s="407"/>
      <c r="L10" s="407"/>
      <c r="M10" s="407"/>
      <c r="N10" s="410"/>
      <c r="P10" s="401"/>
      <c r="Q10" s="404"/>
      <c r="R10" s="407"/>
      <c r="S10" s="407"/>
      <c r="T10" s="407"/>
      <c r="U10" s="410"/>
      <c r="W10" s="237" t="s">
        <v>163</v>
      </c>
      <c r="X10" s="238">
        <f>COUNTIF('1. All Data'!$V$3:$V$111,"Target Partially Met")</f>
        <v>3</v>
      </c>
      <c r="Y10" s="230">
        <f>X10/$X$20</f>
        <v>2.7522935779816515E-2</v>
      </c>
      <c r="Z10" s="399"/>
      <c r="AA10" s="230">
        <f>X10/$X$21</f>
        <v>3.1914893617021274E-2</v>
      </c>
      <c r="AB10" s="412"/>
      <c r="AD10" s="397"/>
    </row>
    <row r="11" spans="2:30" ht="19.5" customHeight="1">
      <c r="B11" s="402"/>
      <c r="C11" s="405"/>
      <c r="D11" s="408"/>
      <c r="E11" s="408"/>
      <c r="F11" s="408"/>
      <c r="G11" s="411"/>
      <c r="I11" s="402"/>
      <c r="J11" s="405"/>
      <c r="K11" s="408"/>
      <c r="L11" s="408"/>
      <c r="M11" s="408"/>
      <c r="N11" s="411"/>
      <c r="P11" s="402"/>
      <c r="Q11" s="405"/>
      <c r="R11" s="408"/>
      <c r="S11" s="408"/>
      <c r="T11" s="408"/>
      <c r="U11" s="411"/>
      <c r="W11" s="237" t="s">
        <v>166</v>
      </c>
      <c r="X11" s="238">
        <f>COUNTIF('1. All Data'!$V$3:$V$111,"Completion Date Within Reasonable Tolerance")</f>
        <v>1</v>
      </c>
      <c r="Y11" s="230">
        <f>X11/$X$20</f>
        <v>9.1743119266055051E-3</v>
      </c>
      <c r="Z11" s="399"/>
      <c r="AA11" s="230">
        <f>X11/$X$21</f>
        <v>1.0638297872340425E-2</v>
      </c>
      <c r="AB11" s="412"/>
      <c r="AD11" s="397"/>
    </row>
    <row r="12" spans="2:30" s="227" customFormat="1" ht="6" customHeight="1">
      <c r="B12" s="224"/>
      <c r="C12" s="225"/>
      <c r="D12" s="239"/>
      <c r="E12" s="239"/>
      <c r="F12" s="239"/>
      <c r="G12" s="240"/>
      <c r="H12" s="226"/>
      <c r="I12" s="224"/>
      <c r="J12" s="225"/>
      <c r="K12" s="239"/>
      <c r="L12" s="239"/>
      <c r="M12" s="239"/>
      <c r="N12" s="240"/>
      <c r="O12" s="226"/>
      <c r="P12" s="224"/>
      <c r="Q12" s="225"/>
      <c r="R12" s="239"/>
      <c r="S12" s="239"/>
      <c r="T12" s="239"/>
      <c r="U12" s="240"/>
      <c r="V12" s="226"/>
      <c r="W12" s="224"/>
      <c r="X12" s="225"/>
      <c r="Y12" s="230"/>
      <c r="Z12" s="239"/>
      <c r="AA12" s="239"/>
      <c r="AB12" s="240"/>
      <c r="AD12" s="397"/>
    </row>
    <row r="13" spans="2:30" ht="29.25" customHeight="1">
      <c r="B13" s="241" t="s">
        <v>171</v>
      </c>
      <c r="C13" s="229">
        <f>COUNTIF('1. All Data'!H3:H111,"completed behind schedule")</f>
        <v>1</v>
      </c>
      <c r="D13" s="230">
        <f>C13/C20</f>
        <v>9.1743119266055051E-3</v>
      </c>
      <c r="E13" s="399">
        <f>D13+D14</f>
        <v>2.7522935779816515E-2</v>
      </c>
      <c r="F13" s="230">
        <f>C13/C21</f>
        <v>1.3333333333333334E-2</v>
      </c>
      <c r="G13" s="413">
        <f>F13+F14</f>
        <v>0.04</v>
      </c>
      <c r="I13" s="241" t="s">
        <v>171</v>
      </c>
      <c r="J13" s="229">
        <f>COUNTIF('1. All Data'!M3:M111,"Completed Behind Schedule")</f>
        <v>2</v>
      </c>
      <c r="K13" s="230">
        <f>J13/J20</f>
        <v>1.834862385321101E-2</v>
      </c>
      <c r="L13" s="399">
        <f>K13+K14</f>
        <v>2.7522935779816515E-2</v>
      </c>
      <c r="M13" s="230">
        <f>J13/J21</f>
        <v>2.3529411764705882E-2</v>
      </c>
      <c r="N13" s="413">
        <f>M13+M14</f>
        <v>3.5294117647058823E-2</v>
      </c>
      <c r="P13" s="241" t="s">
        <v>171</v>
      </c>
      <c r="Q13" s="229">
        <f>COUNTIF('1. All Data'!R3:R111,"completed behind schedule")</f>
        <v>2</v>
      </c>
      <c r="R13" s="230">
        <f>Q13/Q20</f>
        <v>1.834862385321101E-2</v>
      </c>
      <c r="S13" s="399">
        <f>R13+R14</f>
        <v>5.5045871559633031E-2</v>
      </c>
      <c r="T13" s="230">
        <f>Q13/Q21</f>
        <v>2.1505376344086023E-2</v>
      </c>
      <c r="U13" s="413">
        <f>T13+T14</f>
        <v>6.4516129032258063E-2</v>
      </c>
      <c r="W13" s="241" t="s">
        <v>165</v>
      </c>
      <c r="X13" s="229">
        <f>COUNTIF('1. All Data'!V3:V111,"Completed Significantly After Target Deadline")</f>
        <v>2</v>
      </c>
      <c r="Y13" s="230">
        <f>X13/$X$20</f>
        <v>1.834862385321101E-2</v>
      </c>
      <c r="Z13" s="399">
        <f>SUM(Y13:Y14)</f>
        <v>6.4220183486238536E-2</v>
      </c>
      <c r="AA13" s="230">
        <f>X13/$X$21</f>
        <v>2.1276595744680851E-2</v>
      </c>
      <c r="AB13" s="413">
        <f>SUM(AA13:AA14)</f>
        <v>7.4468085106382975E-2</v>
      </c>
      <c r="AD13" s="397"/>
    </row>
    <row r="14" spans="2:30" ht="29.25" customHeight="1">
      <c r="B14" s="241" t="s">
        <v>164</v>
      </c>
      <c r="C14" s="229">
        <f>COUNTIF('1. All Data'!H3:H111,"off target")</f>
        <v>2</v>
      </c>
      <c r="D14" s="230">
        <f>C14/C20</f>
        <v>1.834862385321101E-2</v>
      </c>
      <c r="E14" s="399"/>
      <c r="F14" s="230">
        <f>C14/C21</f>
        <v>2.6666666666666668E-2</v>
      </c>
      <c r="G14" s="413"/>
      <c r="I14" s="241" t="s">
        <v>164</v>
      </c>
      <c r="J14" s="229">
        <f>COUNTIF('1. All Data'!M3:M111,"Off Target")</f>
        <v>1</v>
      </c>
      <c r="K14" s="230">
        <f>J14/J20</f>
        <v>9.1743119266055051E-3</v>
      </c>
      <c r="L14" s="399"/>
      <c r="M14" s="230">
        <f>J14/J21</f>
        <v>1.1764705882352941E-2</v>
      </c>
      <c r="N14" s="413"/>
      <c r="P14" s="241" t="s">
        <v>164</v>
      </c>
      <c r="Q14" s="229">
        <f>COUNTIF('1. All Data'!R3:R111,"off target")</f>
        <v>4</v>
      </c>
      <c r="R14" s="230">
        <f>Q14/Q20</f>
        <v>3.669724770642202E-2</v>
      </c>
      <c r="S14" s="399"/>
      <c r="T14" s="230">
        <f>Q14/Q21</f>
        <v>4.3010752688172046E-2</v>
      </c>
      <c r="U14" s="413"/>
      <c r="W14" s="241" t="s">
        <v>164</v>
      </c>
      <c r="X14" s="229">
        <f>COUNTIF('1. All Data'!V3:V111,"off target")</f>
        <v>5</v>
      </c>
      <c r="Y14" s="230">
        <f>X14/$X$20</f>
        <v>4.5871559633027525E-2</v>
      </c>
      <c r="Z14" s="399"/>
      <c r="AA14" s="230">
        <f>X14/$X$21</f>
        <v>5.3191489361702128E-2</v>
      </c>
      <c r="AB14" s="413"/>
      <c r="AD14" s="397"/>
    </row>
    <row r="15" spans="2:30" s="227" customFormat="1" ht="7.5" customHeight="1">
      <c r="B15" s="224"/>
      <c r="C15" s="242"/>
      <c r="D15" s="239"/>
      <c r="E15" s="239"/>
      <c r="F15" s="239"/>
      <c r="G15" s="243"/>
      <c r="H15" s="226"/>
      <c r="I15" s="224"/>
      <c r="J15" s="242"/>
      <c r="K15" s="239"/>
      <c r="L15" s="239"/>
      <c r="M15" s="239"/>
      <c r="N15" s="243"/>
      <c r="O15" s="226"/>
      <c r="P15" s="224"/>
      <c r="Q15" s="242"/>
      <c r="R15" s="239"/>
      <c r="S15" s="239"/>
      <c r="T15" s="239"/>
      <c r="U15" s="243"/>
      <c r="V15" s="226"/>
      <c r="W15" s="224"/>
      <c r="X15" s="242"/>
      <c r="Y15" s="239"/>
      <c r="Z15" s="239"/>
      <c r="AA15" s="239"/>
      <c r="AB15" s="243"/>
    </row>
    <row r="16" spans="2:30" ht="20.25" customHeight="1">
      <c r="B16" s="244" t="s">
        <v>193</v>
      </c>
      <c r="C16" s="229">
        <f>COUNTIF('1. All Data'!H3:H111,"not yet due")</f>
        <v>24</v>
      </c>
      <c r="D16" s="245">
        <f>C16/C20</f>
        <v>0.22018348623853212</v>
      </c>
      <c r="E16" s="245">
        <f>D16</f>
        <v>0.22018348623853212</v>
      </c>
      <c r="F16" s="246"/>
      <c r="G16" s="65"/>
      <c r="I16" s="244" t="s">
        <v>193</v>
      </c>
      <c r="J16" s="229">
        <f>COUNTIF('1. All Data'!M3:M111,"not yet due")</f>
        <v>14</v>
      </c>
      <c r="K16" s="245">
        <f>J16/J20</f>
        <v>0.12844036697247707</v>
      </c>
      <c r="L16" s="245">
        <f>K16</f>
        <v>0.12844036697247707</v>
      </c>
      <c r="M16" s="246"/>
      <c r="N16" s="65"/>
      <c r="P16" s="244" t="s">
        <v>193</v>
      </c>
      <c r="Q16" s="229">
        <f>COUNTIF('1. All Data'!R3:R111,"not yet due")</f>
        <v>3</v>
      </c>
      <c r="R16" s="245">
        <f>Q16/Q20</f>
        <v>2.7522935779816515E-2</v>
      </c>
      <c r="S16" s="245">
        <f>R16</f>
        <v>2.7522935779816515E-2</v>
      </c>
      <c r="T16" s="246"/>
      <c r="U16" s="65"/>
      <c r="W16" s="244" t="s">
        <v>193</v>
      </c>
      <c r="X16" s="229">
        <f>COUNTIF('1. All Data'!V3:V111,"not yet due")</f>
        <v>0</v>
      </c>
      <c r="Y16" s="230">
        <f>X16/$X$20</f>
        <v>0</v>
      </c>
      <c r="Z16" s="245">
        <f>Y16</f>
        <v>0</v>
      </c>
      <c r="AA16" s="246"/>
      <c r="AB16" s="65"/>
    </row>
    <row r="17" spans="2:31" ht="20.25" customHeight="1">
      <c r="B17" s="244" t="s">
        <v>159</v>
      </c>
      <c r="C17" s="229">
        <f>COUNTIF('1. All Data'!H3:H111,"update not provided")</f>
        <v>0</v>
      </c>
      <c r="D17" s="245">
        <f>C17/C20</f>
        <v>0</v>
      </c>
      <c r="E17" s="245">
        <f>D17</f>
        <v>0</v>
      </c>
      <c r="F17" s="246"/>
      <c r="G17" s="8"/>
      <c r="I17" s="244" t="s">
        <v>159</v>
      </c>
      <c r="J17" s="229">
        <f>COUNTIF('1. All Data'!M3:M111,"update not provided")</f>
        <v>0</v>
      </c>
      <c r="K17" s="245">
        <f>J17/J20</f>
        <v>0</v>
      </c>
      <c r="L17" s="245">
        <f>K17</f>
        <v>0</v>
      </c>
      <c r="M17" s="246"/>
      <c r="N17" s="8"/>
      <c r="P17" s="244" t="s">
        <v>159</v>
      </c>
      <c r="Q17" s="229">
        <f>COUNTIF('1. All Data'!R3:R111,"update not provided")</f>
        <v>0</v>
      </c>
      <c r="R17" s="245">
        <f>Q17/Q20</f>
        <v>0</v>
      </c>
      <c r="S17" s="245">
        <f>R17</f>
        <v>0</v>
      </c>
      <c r="T17" s="246"/>
      <c r="U17" s="8"/>
      <c r="W17" s="244" t="s">
        <v>159</v>
      </c>
      <c r="X17" s="229">
        <f>COUNTIF('1. All Data'!V3:V111,"update not provided")</f>
        <v>0</v>
      </c>
      <c r="Y17" s="230">
        <f>X17/$X$20</f>
        <v>0</v>
      </c>
      <c r="Z17" s="245">
        <f>Y17</f>
        <v>0</v>
      </c>
      <c r="AA17" s="246"/>
      <c r="AB17" s="8"/>
    </row>
    <row r="18" spans="2:31" ht="15.75" customHeight="1">
      <c r="B18" s="247" t="s">
        <v>167</v>
      </c>
      <c r="C18" s="229">
        <f>COUNTIF('1. All Data'!H3:H111,"deferred")</f>
        <v>8</v>
      </c>
      <c r="D18" s="248">
        <f>C18/C20</f>
        <v>7.3394495412844041E-2</v>
      </c>
      <c r="E18" s="248">
        <f>D18</f>
        <v>7.3394495412844041E-2</v>
      </c>
      <c r="F18" s="249"/>
      <c r="G18" s="65"/>
      <c r="I18" s="247" t="s">
        <v>167</v>
      </c>
      <c r="J18" s="229">
        <f>COUNTIF('1. All Data'!M3:M111,"deferred")</f>
        <v>8</v>
      </c>
      <c r="K18" s="248">
        <f>J18/J20</f>
        <v>7.3394495412844041E-2</v>
      </c>
      <c r="L18" s="248">
        <f>K18</f>
        <v>7.3394495412844041E-2</v>
      </c>
      <c r="M18" s="249"/>
      <c r="N18" s="65"/>
      <c r="P18" s="247" t="s">
        <v>167</v>
      </c>
      <c r="Q18" s="229">
        <f>COUNTIF('1. All Data'!R3:R111,"deferred")</f>
        <v>11</v>
      </c>
      <c r="R18" s="248">
        <f>Q18/Q20</f>
        <v>0.10091743119266056</v>
      </c>
      <c r="S18" s="248">
        <f>R18</f>
        <v>0.10091743119266056</v>
      </c>
      <c r="T18" s="249"/>
      <c r="U18" s="65"/>
      <c r="W18" s="247" t="s">
        <v>167</v>
      </c>
      <c r="X18" s="229">
        <f>COUNTIF('1. All Data'!V3:V111,"deferred")</f>
        <v>13</v>
      </c>
      <c r="Y18" s="230">
        <f>X18/$X$20</f>
        <v>0.11926605504587157</v>
      </c>
      <c r="Z18" s="245">
        <f>Y18</f>
        <v>0.11926605504587157</v>
      </c>
      <c r="AA18" s="249"/>
      <c r="AB18" s="65"/>
    </row>
    <row r="19" spans="2:31" ht="15.75" customHeight="1">
      <c r="B19" s="247" t="s">
        <v>168</v>
      </c>
      <c r="C19" s="229">
        <f>COUNTIF('1. All Data'!H3:H111,"deleted")</f>
        <v>2</v>
      </c>
      <c r="D19" s="248">
        <f>C19/C20</f>
        <v>1.834862385321101E-2</v>
      </c>
      <c r="E19" s="248">
        <f>D19</f>
        <v>1.834862385321101E-2</v>
      </c>
      <c r="F19" s="249"/>
      <c r="G19" s="9"/>
      <c r="I19" s="247" t="s">
        <v>168</v>
      </c>
      <c r="J19" s="229">
        <f>COUNTIF('1. All Data'!M3:M111,"deleted")</f>
        <v>2</v>
      </c>
      <c r="K19" s="248">
        <f>J19/J20</f>
        <v>1.834862385321101E-2</v>
      </c>
      <c r="L19" s="248">
        <f>K19</f>
        <v>1.834862385321101E-2</v>
      </c>
      <c r="M19" s="249"/>
      <c r="P19" s="247" t="s">
        <v>168</v>
      </c>
      <c r="Q19" s="229">
        <f>COUNTIF('1. All Data'!R3:R111,"deleted")</f>
        <v>2</v>
      </c>
      <c r="R19" s="248">
        <f>Q19/Q20</f>
        <v>1.834862385321101E-2</v>
      </c>
      <c r="S19" s="248">
        <f>R19</f>
        <v>1.834862385321101E-2</v>
      </c>
      <c r="T19" s="249"/>
      <c r="U19" s="9"/>
      <c r="W19" s="247" t="s">
        <v>168</v>
      </c>
      <c r="X19" s="229">
        <f>COUNTIF('1. All Data'!V3:V111,"deleted")</f>
        <v>2</v>
      </c>
      <c r="Y19" s="230">
        <f>X19/$X$20</f>
        <v>1.834862385321101E-2</v>
      </c>
      <c r="Z19" s="245">
        <f t="shared" ref="Z19" si="0">Y19</f>
        <v>1.834862385321101E-2</v>
      </c>
      <c r="AA19" s="249"/>
      <c r="AB19" s="9"/>
      <c r="AE19" s="9" t="s">
        <v>194</v>
      </c>
    </row>
    <row r="20" spans="2:31" ht="15.75" customHeight="1">
      <c r="B20" s="250" t="s">
        <v>195</v>
      </c>
      <c r="C20" s="251">
        <f>SUM(C6:C19)</f>
        <v>109</v>
      </c>
      <c r="D20" s="249"/>
      <c r="E20" s="249"/>
      <c r="F20" s="65"/>
      <c r="G20" s="65"/>
      <c r="I20" s="250" t="s">
        <v>195</v>
      </c>
      <c r="J20" s="251">
        <f>SUM(J6:J19)</f>
        <v>109</v>
      </c>
      <c r="K20" s="249"/>
      <c r="L20" s="249"/>
      <c r="M20" s="65"/>
      <c r="N20" s="65"/>
      <c r="P20" s="250" t="s">
        <v>195</v>
      </c>
      <c r="Q20" s="251">
        <f>SUM(Q6:Q19)</f>
        <v>109</v>
      </c>
      <c r="R20" s="249"/>
      <c r="S20" s="249"/>
      <c r="T20" s="65"/>
      <c r="U20" s="65"/>
      <c r="W20" s="250" t="s">
        <v>195</v>
      </c>
      <c r="X20" s="251">
        <f>SUM(X6:X19)</f>
        <v>109</v>
      </c>
      <c r="Y20" s="249"/>
      <c r="Z20" s="249"/>
      <c r="AA20" s="65"/>
      <c r="AB20" s="65"/>
    </row>
    <row r="21" spans="2:31" ht="15.75" customHeight="1">
      <c r="B21" s="250" t="s">
        <v>196</v>
      </c>
      <c r="C21" s="251">
        <f>C20-C19-C18-C17-C16</f>
        <v>75</v>
      </c>
      <c r="D21" s="65"/>
      <c r="E21" s="65"/>
      <c r="F21" s="65"/>
      <c r="G21" s="65"/>
      <c r="I21" s="250" t="s">
        <v>196</v>
      </c>
      <c r="J21" s="251">
        <f>J20-J19-J18-J17-J16</f>
        <v>85</v>
      </c>
      <c r="K21" s="65"/>
      <c r="L21" s="65"/>
      <c r="M21" s="65"/>
      <c r="N21" s="65"/>
      <c r="P21" s="250" t="s">
        <v>196</v>
      </c>
      <c r="Q21" s="251">
        <f>Q20-Q19-Q18-Q17-Q16</f>
        <v>93</v>
      </c>
      <c r="R21" s="65"/>
      <c r="S21" s="65"/>
      <c r="T21" s="65"/>
      <c r="U21" s="65"/>
      <c r="W21" s="250" t="s">
        <v>196</v>
      </c>
      <c r="X21" s="251">
        <f>X20-X19-X18-X17-X16</f>
        <v>94</v>
      </c>
      <c r="Y21" s="65"/>
      <c r="Z21" s="65"/>
      <c r="AA21" s="65"/>
      <c r="AB21" s="65"/>
    </row>
    <row r="22" spans="2:31" ht="15.75" customHeight="1">
      <c r="W22" s="252"/>
      <c r="AA22" s="8"/>
    </row>
    <row r="23" spans="2:31" ht="15.75" customHeight="1">
      <c r="AA23" s="8"/>
    </row>
    <row r="24" spans="2:31" ht="15" customHeight="1">
      <c r="AA24" s="8"/>
    </row>
    <row r="25" spans="2:31" ht="19.5" customHeight="1">
      <c r="B25" s="254" t="s">
        <v>557</v>
      </c>
      <c r="C25" s="255"/>
      <c r="D25" s="255"/>
      <c r="E25" s="255"/>
      <c r="F25" s="218"/>
      <c r="G25" s="256"/>
      <c r="I25" s="254" t="s">
        <v>557</v>
      </c>
      <c r="J25" s="255"/>
      <c r="K25" s="255"/>
      <c r="L25" s="255"/>
      <c r="M25" s="218"/>
      <c r="N25" s="256"/>
      <c r="P25" s="254" t="s">
        <v>557</v>
      </c>
      <c r="Q25" s="255"/>
      <c r="R25" s="255"/>
      <c r="S25" s="255"/>
      <c r="T25" s="218"/>
      <c r="U25" s="256"/>
      <c r="W25" s="257" t="s">
        <v>256</v>
      </c>
      <c r="X25" s="221"/>
      <c r="Y25" s="221"/>
      <c r="Z25" s="221"/>
      <c r="AA25" s="221"/>
      <c r="AB25" s="222"/>
    </row>
    <row r="26" spans="2:31" ht="42" customHeight="1">
      <c r="B26" s="223" t="s">
        <v>186</v>
      </c>
      <c r="C26" s="223" t="s">
        <v>187</v>
      </c>
      <c r="D26" s="223" t="s">
        <v>188</v>
      </c>
      <c r="E26" s="223" t="s">
        <v>189</v>
      </c>
      <c r="F26" s="223" t="s">
        <v>190</v>
      </c>
      <c r="G26" s="223" t="s">
        <v>191</v>
      </c>
      <c r="I26" s="223" t="s">
        <v>186</v>
      </c>
      <c r="J26" s="223" t="s">
        <v>187</v>
      </c>
      <c r="K26" s="223" t="s">
        <v>188</v>
      </c>
      <c r="L26" s="223" t="s">
        <v>189</v>
      </c>
      <c r="M26" s="223" t="s">
        <v>190</v>
      </c>
      <c r="N26" s="223" t="s">
        <v>191</v>
      </c>
      <c r="P26" s="223" t="s">
        <v>186</v>
      </c>
      <c r="Q26" s="223" t="s">
        <v>187</v>
      </c>
      <c r="R26" s="223" t="s">
        <v>188</v>
      </c>
      <c r="S26" s="223" t="s">
        <v>189</v>
      </c>
      <c r="T26" s="223" t="s">
        <v>190</v>
      </c>
      <c r="U26" s="223" t="s">
        <v>191</v>
      </c>
      <c r="W26" s="223" t="s">
        <v>186</v>
      </c>
      <c r="X26" s="223" t="s">
        <v>187</v>
      </c>
      <c r="Y26" s="223" t="s">
        <v>188</v>
      </c>
      <c r="Z26" s="223" t="s">
        <v>189</v>
      </c>
      <c r="AA26" s="223" t="s">
        <v>190</v>
      </c>
      <c r="AB26" s="223" t="s">
        <v>191</v>
      </c>
    </row>
    <row r="27" spans="2:31" s="227" customFormat="1" ht="6" customHeight="1">
      <c r="B27" s="224"/>
      <c r="C27" s="225"/>
      <c r="D27" s="225"/>
      <c r="E27" s="225"/>
      <c r="F27" s="225"/>
      <c r="G27" s="225"/>
      <c r="H27" s="226"/>
      <c r="I27" s="224"/>
      <c r="J27" s="225"/>
      <c r="K27" s="225"/>
      <c r="L27" s="225"/>
      <c r="M27" s="225"/>
      <c r="N27" s="225"/>
      <c r="O27" s="226"/>
      <c r="P27" s="224"/>
      <c r="Q27" s="225"/>
      <c r="R27" s="225"/>
      <c r="S27" s="225"/>
      <c r="T27" s="225"/>
      <c r="U27" s="225"/>
      <c r="V27" s="226"/>
      <c r="W27" s="224"/>
      <c r="X27" s="225"/>
      <c r="Y27" s="225"/>
      <c r="Z27" s="225"/>
      <c r="AA27" s="225"/>
      <c r="AB27" s="225"/>
    </row>
    <row r="28" spans="2:31" ht="21.75" customHeight="1">
      <c r="B28" s="228" t="s">
        <v>192</v>
      </c>
      <c r="C28" s="229">
        <f>COUNTIFS('1. All Data'!$AA$3:$AA$111,"Value For Money Council",'1. All Data'!$H$3:$H$111,"Fully Achieved")</f>
        <v>3</v>
      </c>
      <c r="D28" s="230">
        <f>C28/C42</f>
        <v>5.3571428571428568E-2</v>
      </c>
      <c r="E28" s="399">
        <f>D28+D29</f>
        <v>0.57142857142857151</v>
      </c>
      <c r="F28" s="230">
        <f>C28/C43</f>
        <v>8.1081081081081086E-2</v>
      </c>
      <c r="G28" s="398">
        <f>F28+F29</f>
        <v>0.86486486486486491</v>
      </c>
      <c r="I28" s="228" t="s">
        <v>192</v>
      </c>
      <c r="J28" s="229">
        <f>COUNTIFS('1. All Data'!$AA$3:$AA$111,"Value For Money Council",'1. All Data'!$M$3:$M$111,"Fully Achieved")</f>
        <v>4</v>
      </c>
      <c r="K28" s="230">
        <f>J28/J42</f>
        <v>7.1428571428571425E-2</v>
      </c>
      <c r="L28" s="399">
        <f>K28+K29</f>
        <v>0.64285714285714279</v>
      </c>
      <c r="M28" s="230">
        <f>J28/J43</f>
        <v>9.7560975609756101E-2</v>
      </c>
      <c r="N28" s="398">
        <f>M28+M29</f>
        <v>0.87804878048780488</v>
      </c>
      <c r="P28" s="228" t="s">
        <v>192</v>
      </c>
      <c r="Q28" s="229">
        <f>COUNTIFS('1. All Data'!$AA$3:$AA$111,"Value For Money Council",'1. All Data'!$R$3:$R$111,"Fully Achieved")</f>
        <v>11</v>
      </c>
      <c r="R28" s="230">
        <f>Q28/Q42</f>
        <v>0.19642857142857142</v>
      </c>
      <c r="S28" s="399">
        <f>R28+R29</f>
        <v>0.6964285714285714</v>
      </c>
      <c r="T28" s="230">
        <f>Q28/Q43</f>
        <v>0.23404255319148937</v>
      </c>
      <c r="U28" s="398">
        <f>T28+T29</f>
        <v>0.82978723404255317</v>
      </c>
      <c r="W28" s="228" t="s">
        <v>192</v>
      </c>
      <c r="X28" s="229">
        <f>COUNTIFS('1. All Data'!$AA$3:$AA$111,"Value For Money Council",'1. All Data'!$V$3:$V$111,"Fully Achieved")</f>
        <v>39</v>
      </c>
      <c r="Y28" s="230">
        <f>X28/X42</f>
        <v>0.6964285714285714</v>
      </c>
      <c r="Z28" s="399">
        <f>Y28+Y29</f>
        <v>0.7321428571428571</v>
      </c>
      <c r="AA28" s="230">
        <f>X28/X43</f>
        <v>0.8125</v>
      </c>
      <c r="AB28" s="398">
        <f>AA28+AA29</f>
        <v>0.85416666666666663</v>
      </c>
    </row>
    <row r="29" spans="2:31" ht="18.75" customHeight="1">
      <c r="B29" s="228" t="s">
        <v>169</v>
      </c>
      <c r="C29" s="229">
        <f>COUNTIFS('1. All Data'!$AA$3:$AA$111,"Value For Money Council",'1. All Data'!$H$3:$H$111,"On Track to be achieved")</f>
        <v>29</v>
      </c>
      <c r="D29" s="230">
        <f>C29/C42</f>
        <v>0.5178571428571429</v>
      </c>
      <c r="E29" s="399"/>
      <c r="F29" s="230">
        <f>C29/C43</f>
        <v>0.78378378378378377</v>
      </c>
      <c r="G29" s="398"/>
      <c r="I29" s="228" t="s">
        <v>169</v>
      </c>
      <c r="J29" s="229">
        <f>COUNTIFS('1. All Data'!$AA$3:$AA$111,"Value For Money Council",'1. All Data'!$M$3:$M$111,"On Track to be achieved")</f>
        <v>32</v>
      </c>
      <c r="K29" s="230">
        <f>J29/J42</f>
        <v>0.5714285714285714</v>
      </c>
      <c r="L29" s="399"/>
      <c r="M29" s="230">
        <f>J29/J43</f>
        <v>0.78048780487804881</v>
      </c>
      <c r="N29" s="398"/>
      <c r="P29" s="228" t="s">
        <v>169</v>
      </c>
      <c r="Q29" s="229">
        <f>COUNTIFS('1. All Data'!$AA$3:$AA$111,"Value For Money Council",'1. All Data'!$R$3:$R$111,"On Track to be achieved")</f>
        <v>28</v>
      </c>
      <c r="R29" s="230">
        <f>Q29/Q42</f>
        <v>0.5</v>
      </c>
      <c r="S29" s="399"/>
      <c r="T29" s="230">
        <f>Q29/Q43</f>
        <v>0.5957446808510638</v>
      </c>
      <c r="U29" s="398"/>
      <c r="W29" s="228" t="s">
        <v>161</v>
      </c>
      <c r="X29" s="229">
        <f>COUNTIFS('1. All Data'!$AA$3:$AA$111,"Value For Money Council",'1. All Data'!$V$3:$V$111,"Numerical Outturn Within 5% Tolerance")</f>
        <v>2</v>
      </c>
      <c r="Y29" s="230">
        <f>X29/X42</f>
        <v>3.5714285714285712E-2</v>
      </c>
      <c r="Z29" s="399"/>
      <c r="AA29" s="230">
        <f>X29/$X$43</f>
        <v>4.1666666666666664E-2</v>
      </c>
      <c r="AB29" s="398"/>
    </row>
    <row r="30" spans="2:31" s="227" customFormat="1" ht="6" customHeight="1">
      <c r="B30" s="231"/>
      <c r="C30" s="232"/>
      <c r="D30" s="233"/>
      <c r="E30" s="233"/>
      <c r="F30" s="233"/>
      <c r="G30" s="234"/>
      <c r="H30" s="226"/>
      <c r="I30" s="231"/>
      <c r="J30" s="232"/>
      <c r="K30" s="233"/>
      <c r="L30" s="233"/>
      <c r="M30" s="233"/>
      <c r="N30" s="234"/>
      <c r="O30" s="226"/>
      <c r="P30" s="231"/>
      <c r="Q30" s="232"/>
      <c r="R30" s="233"/>
      <c r="S30" s="233"/>
      <c r="T30" s="233"/>
      <c r="U30" s="234"/>
      <c r="V30" s="226"/>
      <c r="W30" s="231"/>
      <c r="X30" s="232"/>
      <c r="Y30" s="233"/>
      <c r="Z30" s="233"/>
      <c r="AA30" s="233"/>
      <c r="AB30" s="234"/>
    </row>
    <row r="31" spans="2:31" ht="21" customHeight="1">
      <c r="B31" s="400" t="s">
        <v>170</v>
      </c>
      <c r="C31" s="403">
        <f>COUNTIFS('1. All Data'!$AA$3:$AA$111,"Value For Money Council",'1. All Data'!$H$3:$H$111,"In Danger of Falling Behind Target")</f>
        <v>2</v>
      </c>
      <c r="D31" s="406">
        <f>C31/C42</f>
        <v>3.5714285714285712E-2</v>
      </c>
      <c r="E31" s="406">
        <f>D31</f>
        <v>3.5714285714285712E-2</v>
      </c>
      <c r="F31" s="406">
        <f>C31/C43</f>
        <v>5.4054054054054057E-2</v>
      </c>
      <c r="G31" s="409">
        <f>F31</f>
        <v>5.4054054054054057E-2</v>
      </c>
      <c r="I31" s="400" t="s">
        <v>170</v>
      </c>
      <c r="J31" s="403">
        <f>COUNTIFS('1. All Data'!$AA$3:$AA$111,"Value For Money Council",'1. All Data'!$M$3:$M$111,"In Danger of Falling Behind Target")</f>
        <v>2</v>
      </c>
      <c r="K31" s="406">
        <f>J31/J42</f>
        <v>3.5714285714285712E-2</v>
      </c>
      <c r="L31" s="406">
        <f>K31</f>
        <v>3.5714285714285712E-2</v>
      </c>
      <c r="M31" s="406">
        <f>J31/J43</f>
        <v>4.878048780487805E-2</v>
      </c>
      <c r="N31" s="409">
        <f>M31</f>
        <v>4.878048780487805E-2</v>
      </c>
      <c r="P31" s="400" t="s">
        <v>170</v>
      </c>
      <c r="Q31" s="403">
        <f>COUNTIFS('1. All Data'!$AA$3:$AA$111,"Value For Money Council",'1. All Data'!$R$3:$R$111,"In Danger of Falling Behind Target")</f>
        <v>3</v>
      </c>
      <c r="R31" s="406">
        <f>Q31/Q42</f>
        <v>5.3571428571428568E-2</v>
      </c>
      <c r="S31" s="406">
        <f>R31</f>
        <v>5.3571428571428568E-2</v>
      </c>
      <c r="T31" s="406">
        <f>Q31/Q43</f>
        <v>6.3829787234042548E-2</v>
      </c>
      <c r="U31" s="409">
        <f>T31</f>
        <v>6.3829787234042548E-2</v>
      </c>
      <c r="W31" s="237" t="s">
        <v>162</v>
      </c>
      <c r="X31" s="238">
        <f>COUNTIFS('1. All Data'!$AA$3:$AA$111,"Value For Money Council",'1. All Data'!$V$3:$V$111,"Numerical Outturn Within 10% Tolerance")</f>
        <v>0</v>
      </c>
      <c r="Y31" s="230">
        <f>X31/$X$42</f>
        <v>0</v>
      </c>
      <c r="Z31" s="399">
        <f>SUM(Y31:Y33)</f>
        <v>1.7857142857142856E-2</v>
      </c>
      <c r="AA31" s="230">
        <f>X31/$X$43</f>
        <v>0</v>
      </c>
      <c r="AB31" s="412">
        <f>SUM(AA31:AA33)</f>
        <v>2.0833333333333332E-2</v>
      </c>
    </row>
    <row r="32" spans="2:31" ht="20.25" customHeight="1">
      <c r="B32" s="401"/>
      <c r="C32" s="404"/>
      <c r="D32" s="407"/>
      <c r="E32" s="407"/>
      <c r="F32" s="407"/>
      <c r="G32" s="410"/>
      <c r="I32" s="401"/>
      <c r="J32" s="404"/>
      <c r="K32" s="407"/>
      <c r="L32" s="407"/>
      <c r="M32" s="407"/>
      <c r="N32" s="410"/>
      <c r="P32" s="401"/>
      <c r="Q32" s="404"/>
      <c r="R32" s="407"/>
      <c r="S32" s="407"/>
      <c r="T32" s="407"/>
      <c r="U32" s="410"/>
      <c r="W32" s="237" t="s">
        <v>163</v>
      </c>
      <c r="X32" s="238">
        <f>COUNTIFS('1. All Data'!$AA$3:$AA$111,"Value For Money Council",'1. All Data'!$V$3:$V$111,"Target Partially Met")</f>
        <v>0</v>
      </c>
      <c r="Y32" s="230">
        <f>X32/$X$42</f>
        <v>0</v>
      </c>
      <c r="Z32" s="399"/>
      <c r="AA32" s="230">
        <f>X32/$X$43</f>
        <v>0</v>
      </c>
      <c r="AB32" s="412"/>
    </row>
    <row r="33" spans="2:30" ht="18.75" customHeight="1">
      <c r="B33" s="402"/>
      <c r="C33" s="405"/>
      <c r="D33" s="408"/>
      <c r="E33" s="408"/>
      <c r="F33" s="408"/>
      <c r="G33" s="411"/>
      <c r="I33" s="402"/>
      <c r="J33" s="405"/>
      <c r="K33" s="408"/>
      <c r="L33" s="408"/>
      <c r="M33" s="408"/>
      <c r="N33" s="411"/>
      <c r="P33" s="402"/>
      <c r="Q33" s="405"/>
      <c r="R33" s="408"/>
      <c r="S33" s="408"/>
      <c r="T33" s="408"/>
      <c r="U33" s="411"/>
      <c r="W33" s="237" t="s">
        <v>166</v>
      </c>
      <c r="X33" s="238">
        <f>COUNTIFS('1. All Data'!$AA$3:$AA$111,"Value For Money Council",'1. All Data'!$V$3:$V$111,"Completion Date Within Reasonable Tolerance")</f>
        <v>1</v>
      </c>
      <c r="Y33" s="230">
        <f>X33/$X$42</f>
        <v>1.7857142857142856E-2</v>
      </c>
      <c r="Z33" s="399"/>
      <c r="AA33" s="230">
        <f>X33/$X$43</f>
        <v>2.0833333333333332E-2</v>
      </c>
      <c r="AB33" s="412"/>
    </row>
    <row r="34" spans="2:30" s="227" customFormat="1" ht="6" customHeight="1">
      <c r="B34" s="224"/>
      <c r="C34" s="225"/>
      <c r="D34" s="239"/>
      <c r="E34" s="239"/>
      <c r="F34" s="239"/>
      <c r="G34" s="240"/>
      <c r="H34" s="226"/>
      <c r="I34" s="224"/>
      <c r="J34" s="225"/>
      <c r="K34" s="239"/>
      <c r="L34" s="239"/>
      <c r="M34" s="239"/>
      <c r="N34" s="240"/>
      <c r="O34" s="226"/>
      <c r="P34" s="224"/>
      <c r="Q34" s="225"/>
      <c r="R34" s="239"/>
      <c r="S34" s="239"/>
      <c r="T34" s="239"/>
      <c r="U34" s="240"/>
      <c r="V34" s="226"/>
      <c r="W34" s="224"/>
      <c r="X34" s="225"/>
      <c r="Y34" s="239"/>
      <c r="Z34" s="239"/>
      <c r="AA34" s="239"/>
      <c r="AB34" s="240"/>
    </row>
    <row r="35" spans="2:30" ht="20.25" customHeight="1">
      <c r="B35" s="241" t="s">
        <v>171</v>
      </c>
      <c r="C35" s="229">
        <f>COUNTIFS('1. All Data'!$AA$3:$AA$111,"Value For Money Council",'1. All Data'!$H$3:$H$111,"Completed Behind Schedule")</f>
        <v>1</v>
      </c>
      <c r="D35" s="230">
        <f>C35/C42</f>
        <v>1.7857142857142856E-2</v>
      </c>
      <c r="E35" s="399">
        <f>D35+D36</f>
        <v>5.3571428571428568E-2</v>
      </c>
      <c r="F35" s="230">
        <f>C35/C43</f>
        <v>2.7027027027027029E-2</v>
      </c>
      <c r="G35" s="413">
        <f>F35+F36</f>
        <v>8.1081081081081086E-2</v>
      </c>
      <c r="I35" s="241" t="s">
        <v>171</v>
      </c>
      <c r="J35" s="229">
        <f>COUNTIFS('1. All Data'!$AA$3:$AA$111,"Value For Money Council",'1. All Data'!$M$3:$M$111,"Completed Behind Schedule")</f>
        <v>2</v>
      </c>
      <c r="K35" s="230">
        <f>J35/J42</f>
        <v>3.5714285714285712E-2</v>
      </c>
      <c r="L35" s="399">
        <f>K35+K36</f>
        <v>5.3571428571428568E-2</v>
      </c>
      <c r="M35" s="230">
        <f>J35/J43</f>
        <v>4.878048780487805E-2</v>
      </c>
      <c r="N35" s="413">
        <f>M35+M36</f>
        <v>7.3170731707317083E-2</v>
      </c>
      <c r="P35" s="241" t="s">
        <v>171</v>
      </c>
      <c r="Q35" s="229">
        <f>COUNTIFS('1. All Data'!$AA$3:$AA$111,"Value For Money Council",'1. All Data'!$R$3:$R$111,"Completed Behind Schedule")</f>
        <v>2</v>
      </c>
      <c r="R35" s="230">
        <f>Q35/Q42</f>
        <v>3.5714285714285712E-2</v>
      </c>
      <c r="S35" s="399">
        <f>R35+R36</f>
        <v>8.9285714285714274E-2</v>
      </c>
      <c r="T35" s="230">
        <f>Q35/Q43</f>
        <v>4.2553191489361701E-2</v>
      </c>
      <c r="U35" s="413">
        <f>T35+T36</f>
        <v>0.10638297872340424</v>
      </c>
      <c r="W35" s="241" t="s">
        <v>165</v>
      </c>
      <c r="X35" s="229">
        <f>COUNTIFS('1. All Data'!$AA$3:$AA$111,"Value For Money Council",'1. All Data'!$V$3:$V$111,"Completed Significantly After Target Deadline")</f>
        <v>2</v>
      </c>
      <c r="Y35" s="230">
        <f>X35/$X$42</f>
        <v>3.5714285714285712E-2</v>
      </c>
      <c r="Z35" s="399">
        <f>SUM(Y35:Y36)</f>
        <v>0.10714285714285714</v>
      </c>
      <c r="AA35" s="230">
        <f>X35/$X$43</f>
        <v>4.1666666666666664E-2</v>
      </c>
      <c r="AB35" s="413">
        <f>AA35+AA36</f>
        <v>0.125</v>
      </c>
    </row>
    <row r="36" spans="2:30" ht="20.25" customHeight="1">
      <c r="B36" s="241" t="s">
        <v>164</v>
      </c>
      <c r="C36" s="229">
        <f>COUNTIFS('1. All Data'!$AA$3:$AA$111,"Value For Money Council",'1. All Data'!$H$3:$H$111,"Off Target")</f>
        <v>2</v>
      </c>
      <c r="D36" s="230">
        <f>C36/C42</f>
        <v>3.5714285714285712E-2</v>
      </c>
      <c r="E36" s="399"/>
      <c r="F36" s="230">
        <f>C36/C43</f>
        <v>5.4054054054054057E-2</v>
      </c>
      <c r="G36" s="413"/>
      <c r="I36" s="241" t="s">
        <v>164</v>
      </c>
      <c r="J36" s="229">
        <f>COUNTIFS('1. All Data'!$AA$3:$AA$111,"Value For Money Council",'1. All Data'!$M$3:$M$111,"Off Target")</f>
        <v>1</v>
      </c>
      <c r="K36" s="230">
        <f>J36/J42</f>
        <v>1.7857142857142856E-2</v>
      </c>
      <c r="L36" s="399"/>
      <c r="M36" s="230">
        <f>J36/J43</f>
        <v>2.4390243902439025E-2</v>
      </c>
      <c r="N36" s="413"/>
      <c r="P36" s="241" t="s">
        <v>164</v>
      </c>
      <c r="Q36" s="229">
        <f>COUNTIFS('1. All Data'!$AA$3:$AA$111,"Value For Money Council",'1. All Data'!$R$3:$R$111,"Off Target")</f>
        <v>3</v>
      </c>
      <c r="R36" s="230">
        <f>Q36/Q42</f>
        <v>5.3571428571428568E-2</v>
      </c>
      <c r="S36" s="399"/>
      <c r="T36" s="230">
        <f>Q36/Q43</f>
        <v>6.3829787234042548E-2</v>
      </c>
      <c r="U36" s="413"/>
      <c r="W36" s="241" t="s">
        <v>164</v>
      </c>
      <c r="X36" s="229">
        <f>COUNTIFS('1. All Data'!$AA$3:$AA$111,"Value For Money Council",'1. All Data'!$V$3:$V$111,"Off Target")</f>
        <v>4</v>
      </c>
      <c r="Y36" s="230">
        <f>X36/$X$42</f>
        <v>7.1428571428571425E-2</v>
      </c>
      <c r="Z36" s="399"/>
      <c r="AA36" s="230">
        <f>X36/$X$43</f>
        <v>8.3333333333333329E-2</v>
      </c>
      <c r="AB36" s="413"/>
    </row>
    <row r="37" spans="2:30" s="227" customFormat="1" ht="6.75" customHeight="1">
      <c r="B37" s="224"/>
      <c r="C37" s="242"/>
      <c r="D37" s="239"/>
      <c r="E37" s="239"/>
      <c r="F37" s="239"/>
      <c r="G37" s="243"/>
      <c r="H37" s="226"/>
      <c r="I37" s="224"/>
      <c r="J37" s="242"/>
      <c r="K37" s="239"/>
      <c r="L37" s="239"/>
      <c r="M37" s="239"/>
      <c r="N37" s="243"/>
      <c r="O37" s="226"/>
      <c r="P37" s="224"/>
      <c r="Q37" s="242"/>
      <c r="R37" s="239"/>
      <c r="S37" s="239"/>
      <c r="T37" s="239"/>
      <c r="U37" s="243"/>
      <c r="V37" s="226"/>
      <c r="W37" s="224"/>
      <c r="X37" s="242"/>
      <c r="Y37" s="239"/>
      <c r="Z37" s="239"/>
      <c r="AA37" s="239"/>
      <c r="AB37" s="243"/>
    </row>
    <row r="38" spans="2:30" ht="15" customHeight="1">
      <c r="B38" s="244" t="s">
        <v>193</v>
      </c>
      <c r="C38" s="229">
        <f>COUNTIFS('1. All Data'!$AA$3:$AA$111,"Value For Money Council",'1. All Data'!$H$3:$H$111,"Not yet due")</f>
        <v>15</v>
      </c>
      <c r="D38" s="245">
        <f>C38/C42</f>
        <v>0.26785714285714285</v>
      </c>
      <c r="E38" s="245">
        <f>D38</f>
        <v>0.26785714285714285</v>
      </c>
      <c r="F38" s="246"/>
      <c r="G38" s="65"/>
      <c r="I38" s="244" t="s">
        <v>193</v>
      </c>
      <c r="J38" s="229">
        <f>COUNTIFS('1. All Data'!$AA$3:$AA$111,"Value For Money Council",'1. All Data'!$M$3:$M$111,"Not yet due")</f>
        <v>11</v>
      </c>
      <c r="K38" s="245">
        <f>J38/J42</f>
        <v>0.19642857142857142</v>
      </c>
      <c r="L38" s="245">
        <f>K38</f>
        <v>0.19642857142857142</v>
      </c>
      <c r="M38" s="246"/>
      <c r="N38" s="65"/>
      <c r="P38" s="244" t="s">
        <v>193</v>
      </c>
      <c r="Q38" s="229">
        <f>COUNTIFS('1. All Data'!$AA$3:$AA$111,"Value For Money Council",'1. All Data'!$R$3:$R$111,"Not yet due")</f>
        <v>3</v>
      </c>
      <c r="R38" s="245">
        <f>Q38/Q42</f>
        <v>5.3571428571428568E-2</v>
      </c>
      <c r="S38" s="245">
        <f>R38</f>
        <v>5.3571428571428568E-2</v>
      </c>
      <c r="T38" s="246"/>
      <c r="U38" s="65"/>
      <c r="W38" s="244" t="s">
        <v>193</v>
      </c>
      <c r="X38" s="229">
        <f>COUNTIFS('1. All Data'!$AA$3:$AA$111,"Value For Money Council",'1. All Data'!$V$3:$V$111,"Not yet due")</f>
        <v>0</v>
      </c>
      <c r="Y38" s="230">
        <f t="shared" ref="Y38:Y41" si="1">X38/$X$42</f>
        <v>0</v>
      </c>
      <c r="Z38" s="230">
        <f>Y38</f>
        <v>0</v>
      </c>
      <c r="AA38" s="246"/>
      <c r="AB38" s="65"/>
    </row>
    <row r="39" spans="2:30" ht="15" customHeight="1">
      <c r="B39" s="244" t="s">
        <v>159</v>
      </c>
      <c r="C39" s="229">
        <f>COUNTIFS('1. All Data'!$AA$3:$AA$111,"Value For Money Council",'1. All Data'!$H$3:$H$111,"update not provided")</f>
        <v>0</v>
      </c>
      <c r="D39" s="245">
        <f>C39/C42</f>
        <v>0</v>
      </c>
      <c r="E39" s="245">
        <f>D39</f>
        <v>0</v>
      </c>
      <c r="F39" s="246"/>
      <c r="G39" s="8"/>
      <c r="I39" s="244" t="s">
        <v>159</v>
      </c>
      <c r="J39" s="229">
        <f>COUNTIFS('1. All Data'!$AA$3:$AA$111,"Value For Money Council",'1. All Data'!$M$3:$M$111,"update not provided")</f>
        <v>0</v>
      </c>
      <c r="K39" s="245">
        <f>J39/J42</f>
        <v>0</v>
      </c>
      <c r="L39" s="245">
        <f>K39</f>
        <v>0</v>
      </c>
      <c r="M39" s="246"/>
      <c r="N39" s="8"/>
      <c r="P39" s="244" t="s">
        <v>159</v>
      </c>
      <c r="Q39" s="229">
        <f>COUNTIFS('1. All Data'!$AA$3:$AA$111,"Value For Money Council",'1. All Data'!$R$3:$R$111,"update not provided")</f>
        <v>0</v>
      </c>
      <c r="R39" s="245">
        <f>Q39/Q42</f>
        <v>0</v>
      </c>
      <c r="S39" s="245">
        <f>R39</f>
        <v>0</v>
      </c>
      <c r="T39" s="246"/>
      <c r="U39" s="8"/>
      <c r="W39" s="244" t="s">
        <v>159</v>
      </c>
      <c r="X39" s="229">
        <f>COUNTIFS('1. All Data'!$AA$3:$AA$111,"Value For Money Council",'1. All Data'!$V$3:$V$111,"update not provided")</f>
        <v>0</v>
      </c>
      <c r="Y39" s="230">
        <f t="shared" si="1"/>
        <v>0</v>
      </c>
      <c r="Z39" s="230">
        <f t="shared" ref="Z39:Z41" si="2">Y39</f>
        <v>0</v>
      </c>
      <c r="AA39" s="246"/>
      <c r="AB39" s="8"/>
    </row>
    <row r="40" spans="2:30" ht="15.75" customHeight="1">
      <c r="B40" s="247" t="s">
        <v>167</v>
      </c>
      <c r="C40" s="229">
        <f>COUNTIFS('1. All Data'!$AA$3:$AA$111,"Value For Money Council",'1. All Data'!$H$3:$H$111,"Deferred")</f>
        <v>2</v>
      </c>
      <c r="D40" s="248">
        <f>C40/C42</f>
        <v>3.5714285714285712E-2</v>
      </c>
      <c r="E40" s="248">
        <f>D40</f>
        <v>3.5714285714285712E-2</v>
      </c>
      <c r="F40" s="249"/>
      <c r="G40" s="65"/>
      <c r="I40" s="247" t="s">
        <v>167</v>
      </c>
      <c r="J40" s="229">
        <f>COUNTIFS('1. All Data'!$AA$3:$AA$111,"Value For Money Council",'1. All Data'!$M$3:$M$111,"Deferred")</f>
        <v>2</v>
      </c>
      <c r="K40" s="248">
        <f>J40/J42</f>
        <v>3.5714285714285712E-2</v>
      </c>
      <c r="L40" s="248">
        <f>K40</f>
        <v>3.5714285714285712E-2</v>
      </c>
      <c r="M40" s="249"/>
      <c r="N40" s="65"/>
      <c r="P40" s="247" t="s">
        <v>167</v>
      </c>
      <c r="Q40" s="229">
        <f>COUNTIFS('1. All Data'!$AA$3:$AA$111,"Value For Money Council",'1. All Data'!$R$3:$R$111,"Deferred")</f>
        <v>4</v>
      </c>
      <c r="R40" s="248">
        <f>Q40/Q42</f>
        <v>7.1428571428571425E-2</v>
      </c>
      <c r="S40" s="248">
        <f>R40</f>
        <v>7.1428571428571425E-2</v>
      </c>
      <c r="T40" s="249"/>
      <c r="U40" s="65"/>
      <c r="W40" s="247" t="s">
        <v>167</v>
      </c>
      <c r="X40" s="229">
        <f>COUNTIFS('1. All Data'!$AA$3:$AA$111,"Value For Money Council",'1. All Data'!$V$3:$V$111,"Deferred")</f>
        <v>6</v>
      </c>
      <c r="Y40" s="230">
        <f t="shared" si="1"/>
        <v>0.10714285714285714</v>
      </c>
      <c r="Z40" s="230">
        <f t="shared" si="2"/>
        <v>0.10714285714285714</v>
      </c>
      <c r="AA40" s="249"/>
      <c r="AB40" s="65"/>
    </row>
    <row r="41" spans="2:30" ht="15.75" customHeight="1">
      <c r="B41" s="247" t="s">
        <v>168</v>
      </c>
      <c r="C41" s="229">
        <f>COUNTIFS('1. All Data'!$AA$3:$AA$111,"Value For Money Council",'1. All Data'!$H$3:$H$111,"Deleted")</f>
        <v>2</v>
      </c>
      <c r="D41" s="248">
        <f>C41/C42</f>
        <v>3.5714285714285712E-2</v>
      </c>
      <c r="E41" s="248">
        <f>D41</f>
        <v>3.5714285714285712E-2</v>
      </c>
      <c r="F41" s="249"/>
      <c r="G41" s="9" t="s">
        <v>194</v>
      </c>
      <c r="I41" s="247" t="s">
        <v>168</v>
      </c>
      <c r="J41" s="229">
        <f>COUNTIFS('1. All Data'!$AA$3:$AA$111,"Value For Money Council",'1. All Data'!$M$3:$M$111,"Deleted")</f>
        <v>2</v>
      </c>
      <c r="K41" s="248">
        <f>J41/J42</f>
        <v>3.5714285714285712E-2</v>
      </c>
      <c r="L41" s="248">
        <f>K41</f>
        <v>3.5714285714285712E-2</v>
      </c>
      <c r="M41" s="249"/>
      <c r="N41" s="9"/>
      <c r="P41" s="247" t="s">
        <v>168</v>
      </c>
      <c r="Q41" s="229">
        <f>COUNTIFS('1. All Data'!$AA$3:$AA$111,"Value For Money Council",'1. All Data'!$R$3:$R$111,"Deleted")</f>
        <v>2</v>
      </c>
      <c r="R41" s="248">
        <f>Q41/Q42</f>
        <v>3.5714285714285712E-2</v>
      </c>
      <c r="S41" s="248">
        <f>R41</f>
        <v>3.5714285714285712E-2</v>
      </c>
      <c r="T41" s="249"/>
      <c r="U41" s="9"/>
      <c r="W41" s="247" t="s">
        <v>168</v>
      </c>
      <c r="X41" s="229">
        <f>COUNTIFS('1. All Data'!$AA$3:$AA$111,"Value For Money Council",'1. All Data'!$V$3:$V$111,"Deleted")</f>
        <v>2</v>
      </c>
      <c r="Y41" s="230">
        <f t="shared" si="1"/>
        <v>3.5714285714285712E-2</v>
      </c>
      <c r="Z41" s="230">
        <f t="shared" si="2"/>
        <v>3.5714285714285712E-2</v>
      </c>
      <c r="AA41" s="249"/>
      <c r="AD41" s="9" t="s">
        <v>194</v>
      </c>
    </row>
    <row r="42" spans="2:30" ht="15.75" customHeight="1">
      <c r="B42" s="250" t="s">
        <v>195</v>
      </c>
      <c r="C42" s="251">
        <f>SUM(C28:C41)</f>
        <v>56</v>
      </c>
      <c r="D42" s="249"/>
      <c r="E42" s="249"/>
      <c r="F42" s="65"/>
      <c r="G42" s="65"/>
      <c r="I42" s="250" t="s">
        <v>195</v>
      </c>
      <c r="J42" s="251">
        <f>SUM(J28:J41)</f>
        <v>56</v>
      </c>
      <c r="K42" s="249"/>
      <c r="L42" s="249"/>
      <c r="M42" s="65"/>
      <c r="N42" s="65"/>
      <c r="P42" s="250" t="s">
        <v>195</v>
      </c>
      <c r="Q42" s="251">
        <f>SUM(Q28:Q41)</f>
        <v>56</v>
      </c>
      <c r="R42" s="249"/>
      <c r="S42" s="249"/>
      <c r="T42" s="65"/>
      <c r="U42" s="65"/>
      <c r="W42" s="250" t="s">
        <v>195</v>
      </c>
      <c r="X42" s="251">
        <f>SUM(X28:X41)</f>
        <v>56</v>
      </c>
      <c r="Y42" s="249"/>
      <c r="Z42" s="249"/>
      <c r="AA42" s="65"/>
      <c r="AB42" s="65"/>
    </row>
    <row r="43" spans="2:30" ht="15.75" customHeight="1">
      <c r="B43" s="250" t="s">
        <v>196</v>
      </c>
      <c r="C43" s="251">
        <f>C42-C41-C40-C39-C38</f>
        <v>37</v>
      </c>
      <c r="D43" s="65"/>
      <c r="E43" s="65"/>
      <c r="F43" s="65"/>
      <c r="G43" s="65"/>
      <c r="I43" s="250" t="s">
        <v>196</v>
      </c>
      <c r="J43" s="251">
        <f>J42-J41-J40-J39-J38</f>
        <v>41</v>
      </c>
      <c r="K43" s="65"/>
      <c r="L43" s="65"/>
      <c r="M43" s="65"/>
      <c r="N43" s="65"/>
      <c r="P43" s="250" t="s">
        <v>196</v>
      </c>
      <c r="Q43" s="251">
        <f>Q42-Q41-Q40-Q39-Q38</f>
        <v>47</v>
      </c>
      <c r="R43" s="65"/>
      <c r="S43" s="65"/>
      <c r="T43" s="65"/>
      <c r="U43" s="65"/>
      <c r="W43" s="250" t="s">
        <v>196</v>
      </c>
      <c r="X43" s="251">
        <f>X42-X41-X40-X39-X38</f>
        <v>48</v>
      </c>
      <c r="Y43" s="65"/>
      <c r="Z43" s="65"/>
      <c r="AA43" s="65"/>
      <c r="AB43" s="65"/>
    </row>
    <row r="44" spans="2:30" ht="15.75" customHeight="1">
      <c r="W44" s="258"/>
      <c r="X44" s="226"/>
      <c r="Y44" s="226"/>
      <c r="Z44" s="226"/>
      <c r="AA44" s="65"/>
      <c r="AB44" s="259"/>
    </row>
    <row r="45" spans="2:30" ht="15.75" customHeight="1"/>
    <row r="46" spans="2:30" s="227" customFormat="1" ht="15.75" customHeight="1">
      <c r="B46" s="260"/>
      <c r="C46" s="226"/>
      <c r="D46" s="226"/>
      <c r="E46" s="226"/>
      <c r="F46" s="65"/>
      <c r="G46" s="226"/>
      <c r="H46" s="226"/>
      <c r="I46" s="260"/>
      <c r="J46" s="226"/>
      <c r="K46" s="226"/>
      <c r="L46" s="226"/>
      <c r="M46" s="65"/>
      <c r="N46" s="226"/>
      <c r="O46" s="226"/>
      <c r="P46" s="260"/>
      <c r="Q46" s="226"/>
      <c r="R46" s="226"/>
      <c r="S46" s="226"/>
      <c r="T46" s="65"/>
      <c r="U46" s="226"/>
      <c r="V46" s="226"/>
      <c r="W46" s="226"/>
      <c r="X46" s="226"/>
      <c r="Y46" s="226"/>
      <c r="Z46" s="226"/>
      <c r="AA46" s="226"/>
      <c r="AB46" s="259"/>
    </row>
    <row r="47" spans="2:30" ht="15.75" customHeight="1">
      <c r="B47" s="261" t="s">
        <v>198</v>
      </c>
      <c r="C47" s="262"/>
      <c r="D47" s="262"/>
      <c r="E47" s="262"/>
      <c r="F47" s="263"/>
      <c r="G47" s="264"/>
      <c r="I47" s="261" t="s">
        <v>198</v>
      </c>
      <c r="J47" s="262"/>
      <c r="K47" s="262"/>
      <c r="L47" s="262"/>
      <c r="M47" s="263"/>
      <c r="N47" s="264"/>
      <c r="P47" s="261" t="s">
        <v>198</v>
      </c>
      <c r="Q47" s="262"/>
      <c r="R47" s="262"/>
      <c r="S47" s="262"/>
      <c r="T47" s="263"/>
      <c r="U47" s="264"/>
      <c r="W47" s="261" t="s">
        <v>198</v>
      </c>
      <c r="X47" s="221"/>
      <c r="Y47" s="221"/>
      <c r="Z47" s="221"/>
      <c r="AA47" s="221"/>
      <c r="AB47" s="222"/>
    </row>
    <row r="48" spans="2:30" ht="36" customHeight="1">
      <c r="B48" s="223" t="s">
        <v>186</v>
      </c>
      <c r="C48" s="223" t="s">
        <v>187</v>
      </c>
      <c r="D48" s="223" t="s">
        <v>188</v>
      </c>
      <c r="E48" s="223" t="s">
        <v>189</v>
      </c>
      <c r="F48" s="223" t="s">
        <v>190</v>
      </c>
      <c r="G48" s="223" t="s">
        <v>191</v>
      </c>
      <c r="I48" s="223" t="s">
        <v>186</v>
      </c>
      <c r="J48" s="223" t="s">
        <v>187</v>
      </c>
      <c r="K48" s="223" t="s">
        <v>188</v>
      </c>
      <c r="L48" s="223" t="s">
        <v>189</v>
      </c>
      <c r="M48" s="223" t="s">
        <v>190</v>
      </c>
      <c r="N48" s="223" t="s">
        <v>191</v>
      </c>
      <c r="P48" s="223" t="s">
        <v>186</v>
      </c>
      <c r="Q48" s="223" t="s">
        <v>187</v>
      </c>
      <c r="R48" s="223" t="s">
        <v>188</v>
      </c>
      <c r="S48" s="223" t="s">
        <v>189</v>
      </c>
      <c r="T48" s="223" t="s">
        <v>190</v>
      </c>
      <c r="U48" s="223" t="s">
        <v>191</v>
      </c>
      <c r="W48" s="223" t="s">
        <v>186</v>
      </c>
      <c r="X48" s="223" t="s">
        <v>187</v>
      </c>
      <c r="Y48" s="223" t="s">
        <v>188</v>
      </c>
      <c r="Z48" s="223" t="s">
        <v>189</v>
      </c>
      <c r="AA48" s="223" t="s">
        <v>190</v>
      </c>
      <c r="AB48" s="223" t="s">
        <v>191</v>
      </c>
    </row>
    <row r="49" spans="2:30" s="236" customFormat="1" ht="7.5" customHeight="1">
      <c r="B49" s="224"/>
      <c r="C49" s="225"/>
      <c r="D49" s="225"/>
      <c r="E49" s="225"/>
      <c r="F49" s="225"/>
      <c r="G49" s="225"/>
      <c r="H49" s="235"/>
      <c r="I49" s="224"/>
      <c r="J49" s="225"/>
      <c r="K49" s="225"/>
      <c r="L49" s="225"/>
      <c r="M49" s="225"/>
      <c r="N49" s="225"/>
      <c r="O49" s="235"/>
      <c r="P49" s="224"/>
      <c r="Q49" s="225"/>
      <c r="R49" s="225"/>
      <c r="S49" s="225"/>
      <c r="T49" s="225"/>
      <c r="U49" s="225"/>
      <c r="V49" s="235"/>
      <c r="W49" s="224"/>
      <c r="X49" s="225"/>
      <c r="Y49" s="225"/>
      <c r="Z49" s="225"/>
      <c r="AA49" s="225"/>
      <c r="AB49" s="225"/>
    </row>
    <row r="50" spans="2:30" ht="18.75" customHeight="1">
      <c r="B50" s="228" t="s">
        <v>192</v>
      </c>
      <c r="C50" s="229">
        <f>COUNTIFS('1. All Data'!$AA$3:$AA$111,"Environment and Health &amp; Wellbeing",'1. All Data'!$H$3:$H$111,"Fully Achieved")</f>
        <v>0</v>
      </c>
      <c r="D50" s="230">
        <f>C50/C64</f>
        <v>0</v>
      </c>
      <c r="E50" s="399">
        <f>D50+D51</f>
        <v>0.61538461538461542</v>
      </c>
      <c r="F50" s="230">
        <f>C50/C65</f>
        <v>0</v>
      </c>
      <c r="G50" s="398">
        <f>F50+F51</f>
        <v>0.94117647058823528</v>
      </c>
      <c r="I50" s="228" t="s">
        <v>192</v>
      </c>
      <c r="J50" s="229">
        <f>COUNTIFS('1. All Data'!$AA$3:$AA$111,"Environment and Health &amp; Wellbeing",'1. All Data'!$M$3:$M$111,"Fully Achieved")</f>
        <v>1</v>
      </c>
      <c r="K50" s="230">
        <f>J50/J64</f>
        <v>3.8461538461538464E-2</v>
      </c>
      <c r="L50" s="399">
        <f>K50+K51</f>
        <v>0.73076923076923073</v>
      </c>
      <c r="M50" s="230">
        <f>J50/J65</f>
        <v>0.05</v>
      </c>
      <c r="N50" s="398">
        <f>M50+M51</f>
        <v>0.95000000000000007</v>
      </c>
      <c r="P50" s="228" t="s">
        <v>192</v>
      </c>
      <c r="Q50" s="229">
        <f>COUNTIFS('1. All Data'!$AA$3:$AA$111,"Environment and Health &amp; Wellbeing",'1. All Data'!$R$3:$R$111,"Fully Achieved")</f>
        <v>7</v>
      </c>
      <c r="R50" s="230">
        <f>Q50/Q64</f>
        <v>0.26923076923076922</v>
      </c>
      <c r="S50" s="399">
        <f>R50+R51</f>
        <v>0.84615384615384603</v>
      </c>
      <c r="T50" s="230">
        <f>Q50/Q65</f>
        <v>0.31818181818181818</v>
      </c>
      <c r="U50" s="398">
        <f>T50+T51</f>
        <v>1</v>
      </c>
      <c r="W50" s="228" t="s">
        <v>192</v>
      </c>
      <c r="X50" s="229">
        <f>COUNTIFS('1. All Data'!$AA$3:$AA$111,"Environment and Health &amp; Wellbeing",'1. All Data'!$V$3:$V$111,"Fully Achieved")</f>
        <v>21</v>
      </c>
      <c r="Y50" s="230">
        <f>X50/X64</f>
        <v>0.80769230769230771</v>
      </c>
      <c r="Z50" s="399">
        <f>Y50+Y51</f>
        <v>0.80769230769230771</v>
      </c>
      <c r="AA50" s="230">
        <f>X50/X65</f>
        <v>0.95454545454545459</v>
      </c>
      <c r="AB50" s="398">
        <f>AA50+AA51</f>
        <v>0.95454545454545459</v>
      </c>
    </row>
    <row r="51" spans="2:30" ht="18.75" customHeight="1">
      <c r="B51" s="228" t="s">
        <v>169</v>
      </c>
      <c r="C51" s="229">
        <f>COUNTIFS('1. All Data'!$AA$3:$AA$111,"Environment and Health &amp; Wellbeing",'1. All Data'!$H$3:$H$111,"On Track to be achieved")</f>
        <v>16</v>
      </c>
      <c r="D51" s="230">
        <f>C51/C64</f>
        <v>0.61538461538461542</v>
      </c>
      <c r="E51" s="399"/>
      <c r="F51" s="230">
        <f>C51/C65</f>
        <v>0.94117647058823528</v>
      </c>
      <c r="G51" s="398"/>
      <c r="I51" s="228" t="s">
        <v>169</v>
      </c>
      <c r="J51" s="229">
        <f>COUNTIFS('1. All Data'!$AA$3:$AA$111,"Environment and Health &amp; Wellbeing",'1. All Data'!$M$3:$M$111,"On Track to be achieved")</f>
        <v>18</v>
      </c>
      <c r="K51" s="230">
        <f>J51/J64</f>
        <v>0.69230769230769229</v>
      </c>
      <c r="L51" s="399"/>
      <c r="M51" s="230">
        <f>J51/J65</f>
        <v>0.9</v>
      </c>
      <c r="N51" s="398"/>
      <c r="P51" s="228" t="s">
        <v>169</v>
      </c>
      <c r="Q51" s="229">
        <f>COUNTIFS('1. All Data'!$AA$3:$AA$111,"Environment and Health &amp; Wellbeing",'1. All Data'!$R$3:$R$111,"On Track to be achieved")</f>
        <v>15</v>
      </c>
      <c r="R51" s="230">
        <f>Q51/Q64</f>
        <v>0.57692307692307687</v>
      </c>
      <c r="S51" s="399"/>
      <c r="T51" s="230">
        <f>Q51/Q65</f>
        <v>0.68181818181818177</v>
      </c>
      <c r="U51" s="398"/>
      <c r="W51" s="228" t="s">
        <v>161</v>
      </c>
      <c r="X51" s="229">
        <f>COUNTIFS('1. All Data'!$AA$3:$AA$111,"Environment and Health &amp; Wellbeing",'1. All Data'!$V$3:$V$111,"Numerical Outturn Within 5% Tolerance")</f>
        <v>0</v>
      </c>
      <c r="Y51" s="230">
        <f>X51/X64</f>
        <v>0</v>
      </c>
      <c r="Z51" s="399"/>
      <c r="AA51" s="230">
        <f>X51/X65</f>
        <v>0</v>
      </c>
      <c r="AB51" s="398"/>
    </row>
    <row r="52" spans="2:30" s="236" customFormat="1" ht="6.75" customHeight="1">
      <c r="B52" s="231"/>
      <c r="C52" s="232"/>
      <c r="D52" s="233"/>
      <c r="E52" s="233"/>
      <c r="F52" s="233"/>
      <c r="G52" s="234"/>
      <c r="H52" s="235"/>
      <c r="I52" s="231"/>
      <c r="J52" s="232"/>
      <c r="K52" s="233"/>
      <c r="L52" s="233"/>
      <c r="M52" s="233"/>
      <c r="N52" s="234"/>
      <c r="O52" s="235"/>
      <c r="P52" s="231"/>
      <c r="Q52" s="232"/>
      <c r="R52" s="233"/>
      <c r="S52" s="233"/>
      <c r="T52" s="233"/>
      <c r="U52" s="234"/>
      <c r="V52" s="235"/>
      <c r="W52" s="231"/>
      <c r="X52" s="232"/>
      <c r="Y52" s="233"/>
      <c r="Z52" s="233"/>
      <c r="AA52" s="233"/>
      <c r="AB52" s="234"/>
    </row>
    <row r="53" spans="2:30" ht="19.5" customHeight="1">
      <c r="B53" s="400" t="s">
        <v>170</v>
      </c>
      <c r="C53" s="403">
        <f>COUNTIFS('1. All Data'!$AA$3:$AA$111,"Environment and Health &amp; Wellbeing",'1. All Data'!$H$3:$H$111,"In Danger of Falling Behind Target")</f>
        <v>1</v>
      </c>
      <c r="D53" s="406">
        <f>C53/C64</f>
        <v>3.8461538461538464E-2</v>
      </c>
      <c r="E53" s="406">
        <f>D53</f>
        <v>3.8461538461538464E-2</v>
      </c>
      <c r="F53" s="406">
        <f>C53/C65</f>
        <v>5.8823529411764705E-2</v>
      </c>
      <c r="G53" s="409">
        <f>F53</f>
        <v>5.8823529411764705E-2</v>
      </c>
      <c r="I53" s="400" t="s">
        <v>170</v>
      </c>
      <c r="J53" s="403">
        <f>COUNTIFS('1. All Data'!$AA$3:$AA$111,"Environment and Health &amp; Wellbeing",'1. All Data'!$M$3:$M$111,"In Danger of Falling Behind Target")</f>
        <v>1</v>
      </c>
      <c r="K53" s="406">
        <f>J53/J64</f>
        <v>3.8461538461538464E-2</v>
      </c>
      <c r="L53" s="406">
        <f>K53</f>
        <v>3.8461538461538464E-2</v>
      </c>
      <c r="M53" s="406">
        <f>J53/J65</f>
        <v>0.05</v>
      </c>
      <c r="N53" s="409">
        <f>M53</f>
        <v>0.05</v>
      </c>
      <c r="P53" s="400" t="s">
        <v>170</v>
      </c>
      <c r="Q53" s="403">
        <f>COUNTIFS('1. All Data'!$AA$3:$AA$111,"Environment and Health &amp; Wellbeing",'1. All Data'!$R$3:$R$111,"In Danger of Falling Behind Target")</f>
        <v>0</v>
      </c>
      <c r="R53" s="406">
        <f>Q53/Q64</f>
        <v>0</v>
      </c>
      <c r="S53" s="406">
        <f>R53</f>
        <v>0</v>
      </c>
      <c r="T53" s="406">
        <f>Q53/Q65</f>
        <v>0</v>
      </c>
      <c r="U53" s="409">
        <f>T53</f>
        <v>0</v>
      </c>
      <c r="W53" s="237" t="s">
        <v>162</v>
      </c>
      <c r="X53" s="238">
        <f>COUNTIFS('1. All Data'!$AA$3:$AA$111,"Environment and Health &amp; Wellbeing",'1. All Data'!$V$3:$V$111,"Numerical Outturn Within 10% Tolerance")</f>
        <v>0</v>
      </c>
      <c r="Y53" s="230">
        <f>X53/X64</f>
        <v>0</v>
      </c>
      <c r="Z53" s="399">
        <f>SUM(Y53:Y55)</f>
        <v>3.8461538461538464E-2</v>
      </c>
      <c r="AA53" s="230">
        <f>X53/X65</f>
        <v>0</v>
      </c>
      <c r="AB53" s="412">
        <f>SUM(AA53:AA55)</f>
        <v>4.5454545454545456E-2</v>
      </c>
    </row>
    <row r="54" spans="2:30" ht="19.5" customHeight="1">
      <c r="B54" s="401"/>
      <c r="C54" s="404"/>
      <c r="D54" s="407"/>
      <c r="E54" s="407"/>
      <c r="F54" s="407"/>
      <c r="G54" s="410"/>
      <c r="I54" s="401"/>
      <c r="J54" s="404"/>
      <c r="K54" s="407"/>
      <c r="L54" s="407"/>
      <c r="M54" s="407"/>
      <c r="N54" s="410"/>
      <c r="P54" s="401"/>
      <c r="Q54" s="404"/>
      <c r="R54" s="407"/>
      <c r="S54" s="407"/>
      <c r="T54" s="407"/>
      <c r="U54" s="410"/>
      <c r="W54" s="237" t="s">
        <v>163</v>
      </c>
      <c r="X54" s="238">
        <f>COUNTIFS('1. All Data'!$AA$3:$AA$111,"Environment and Health &amp; Wellbeing",'1. All Data'!$V$3:$V$111,"Target Partially Met")</f>
        <v>1</v>
      </c>
      <c r="Y54" s="230">
        <f>X54/X64</f>
        <v>3.8461538461538464E-2</v>
      </c>
      <c r="Z54" s="399"/>
      <c r="AA54" s="230">
        <f>X54/X65</f>
        <v>4.5454545454545456E-2</v>
      </c>
      <c r="AB54" s="412"/>
    </row>
    <row r="55" spans="2:30" ht="19.5" customHeight="1">
      <c r="B55" s="402"/>
      <c r="C55" s="405"/>
      <c r="D55" s="408"/>
      <c r="E55" s="408"/>
      <c r="F55" s="408"/>
      <c r="G55" s="411"/>
      <c r="I55" s="402"/>
      <c r="J55" s="405"/>
      <c r="K55" s="408"/>
      <c r="L55" s="408"/>
      <c r="M55" s="408"/>
      <c r="N55" s="411"/>
      <c r="P55" s="402"/>
      <c r="Q55" s="405"/>
      <c r="R55" s="408"/>
      <c r="S55" s="408"/>
      <c r="T55" s="408"/>
      <c r="U55" s="411"/>
      <c r="W55" s="237" t="s">
        <v>166</v>
      </c>
      <c r="X55" s="238">
        <f>COUNTIFS('1. All Data'!$AA$3:$AA$111,"Environment and Health &amp; Wellbeing",'1. All Data'!$V$3:$V$111,"Completion Date Within Reasonable Tolerance")</f>
        <v>0</v>
      </c>
      <c r="Y55" s="230">
        <f>X55/X64</f>
        <v>0</v>
      </c>
      <c r="Z55" s="399"/>
      <c r="AA55" s="230">
        <f>X55/X65</f>
        <v>0</v>
      </c>
      <c r="AB55" s="412"/>
    </row>
    <row r="56" spans="2:30" s="236" customFormat="1" ht="6" customHeight="1">
      <c r="B56" s="224"/>
      <c r="C56" s="225"/>
      <c r="D56" s="239"/>
      <c r="E56" s="239"/>
      <c r="F56" s="239"/>
      <c r="G56" s="240"/>
      <c r="H56" s="235"/>
      <c r="I56" s="224"/>
      <c r="J56" s="225"/>
      <c r="K56" s="239"/>
      <c r="L56" s="239"/>
      <c r="M56" s="239"/>
      <c r="N56" s="240"/>
      <c r="O56" s="235"/>
      <c r="P56" s="224"/>
      <c r="Q56" s="225"/>
      <c r="R56" s="239"/>
      <c r="S56" s="239"/>
      <c r="T56" s="239"/>
      <c r="U56" s="240"/>
      <c r="V56" s="235"/>
      <c r="W56" s="224"/>
      <c r="X56" s="225"/>
      <c r="Y56" s="239"/>
      <c r="Z56" s="239"/>
      <c r="AA56" s="239"/>
      <c r="AB56" s="240"/>
    </row>
    <row r="57" spans="2:30" ht="22.5" customHeight="1">
      <c r="B57" s="241" t="s">
        <v>171</v>
      </c>
      <c r="C57" s="229">
        <f>COUNTIFS('1. All Data'!$AA$3:$AA$111,"Environment and Health &amp; Wellbeing",'1. All Data'!$H$3:$H$111,"Completed Behind Schedule")</f>
        <v>0</v>
      </c>
      <c r="D57" s="230">
        <f>C57/C64</f>
        <v>0</v>
      </c>
      <c r="E57" s="399">
        <f>D57+D58</f>
        <v>0</v>
      </c>
      <c r="F57" s="230">
        <f>C57/C65</f>
        <v>0</v>
      </c>
      <c r="G57" s="413">
        <f>F57+F58</f>
        <v>0</v>
      </c>
      <c r="I57" s="241" t="s">
        <v>171</v>
      </c>
      <c r="J57" s="229">
        <f>COUNTIFS('1. All Data'!$AA$3:$AA$111,"Environment and Health &amp; Wellbeing",'1. All Data'!$M$3:$M$111,"Completed Behind Schedule")</f>
        <v>0</v>
      </c>
      <c r="K57" s="230">
        <f>J57/J64</f>
        <v>0</v>
      </c>
      <c r="L57" s="399">
        <f>K57+K58</f>
        <v>0</v>
      </c>
      <c r="M57" s="230">
        <f>J57/J65</f>
        <v>0</v>
      </c>
      <c r="N57" s="413">
        <f>M57+M58</f>
        <v>0</v>
      </c>
      <c r="P57" s="241" t="s">
        <v>171</v>
      </c>
      <c r="Q57" s="229">
        <f>COUNTIFS('1. All Data'!$AA$3:$AA$111,"Environment and Health &amp; Wellbeing",'1. All Data'!$R$3:$R$111,"Completed Behind Schedule")</f>
        <v>0</v>
      </c>
      <c r="R57" s="230">
        <f>Q57/Q64</f>
        <v>0</v>
      </c>
      <c r="S57" s="399">
        <f>R57+R58</f>
        <v>0</v>
      </c>
      <c r="T57" s="230">
        <f>Q57/Q65</f>
        <v>0</v>
      </c>
      <c r="U57" s="413">
        <f>T57+T58</f>
        <v>0</v>
      </c>
      <c r="W57" s="241" t="s">
        <v>165</v>
      </c>
      <c r="X57" s="229">
        <f>COUNTIFS('1. All Data'!$AA$3:$AA$111,"Environment and Health &amp; Wellbeing",'1. All Data'!$V$3:$V$111,"Completed Significantly After Target Deadline")</f>
        <v>0</v>
      </c>
      <c r="Y57" s="230">
        <f>X57/X64</f>
        <v>0</v>
      </c>
      <c r="Z57" s="399">
        <f>SUM(Y57:Y58)</f>
        <v>0</v>
      </c>
      <c r="AA57" s="230">
        <f>X57/X65</f>
        <v>0</v>
      </c>
      <c r="AB57" s="413">
        <f>AA57+AA58</f>
        <v>0</v>
      </c>
    </row>
    <row r="58" spans="2:30" ht="22.5" customHeight="1">
      <c r="B58" s="241" t="s">
        <v>164</v>
      </c>
      <c r="C58" s="229">
        <f>COUNTIFS('1. All Data'!$AA$3:$AA$111,"Environment and Health &amp; Wellbeing",'1. All Data'!$H$3:$H$111,"Off Target")</f>
        <v>0</v>
      </c>
      <c r="D58" s="230">
        <f>C58/C64</f>
        <v>0</v>
      </c>
      <c r="E58" s="399"/>
      <c r="F58" s="230">
        <f>C58/C65</f>
        <v>0</v>
      </c>
      <c r="G58" s="413"/>
      <c r="I58" s="241" t="s">
        <v>164</v>
      </c>
      <c r="J58" s="229">
        <f>COUNTIFS('1. All Data'!$AA$3:$AA$111,"Environment and Health &amp; Wellbeing",'1. All Data'!$M$3:$M$111,"Off Target")</f>
        <v>0</v>
      </c>
      <c r="K58" s="230">
        <f>J58/J64</f>
        <v>0</v>
      </c>
      <c r="L58" s="399"/>
      <c r="M58" s="230">
        <f>J58/J65</f>
        <v>0</v>
      </c>
      <c r="N58" s="413"/>
      <c r="P58" s="241" t="s">
        <v>164</v>
      </c>
      <c r="Q58" s="229">
        <f>COUNTIFS('1. All Data'!$AA$3:$AA$111,"Environment and Health &amp; Wellbeing",'1. All Data'!$R$3:$R$111,"Off Target")</f>
        <v>0</v>
      </c>
      <c r="R58" s="230">
        <f>Q58/Q64</f>
        <v>0</v>
      </c>
      <c r="S58" s="399"/>
      <c r="T58" s="230">
        <f>Q58/Q65</f>
        <v>0</v>
      </c>
      <c r="U58" s="413"/>
      <c r="W58" s="241" t="s">
        <v>164</v>
      </c>
      <c r="X58" s="229">
        <f>COUNTIFS('1. All Data'!$AA$3:$AA$111,"Environment and Health &amp; Wellbeing",'1. All Data'!$V$3:$V$111,"Off Target")</f>
        <v>0</v>
      </c>
      <c r="Y58" s="230">
        <f>X58/X64</f>
        <v>0</v>
      </c>
      <c r="Z58" s="399"/>
      <c r="AA58" s="230">
        <f>X58/X65</f>
        <v>0</v>
      </c>
      <c r="AB58" s="413"/>
    </row>
    <row r="59" spans="2:30" s="236" customFormat="1" ht="6.75" customHeight="1">
      <c r="B59" s="224"/>
      <c r="C59" s="242"/>
      <c r="D59" s="239"/>
      <c r="E59" s="239"/>
      <c r="F59" s="239"/>
      <c r="G59" s="243"/>
      <c r="H59" s="235"/>
      <c r="I59" s="224"/>
      <c r="J59" s="242"/>
      <c r="K59" s="239"/>
      <c r="L59" s="239"/>
      <c r="M59" s="239"/>
      <c r="N59" s="243"/>
      <c r="O59" s="235"/>
      <c r="P59" s="224"/>
      <c r="Q59" s="242"/>
      <c r="R59" s="239"/>
      <c r="S59" s="239"/>
      <c r="T59" s="239"/>
      <c r="U59" s="243"/>
      <c r="V59" s="235"/>
      <c r="W59" s="224"/>
      <c r="X59" s="242"/>
      <c r="Y59" s="239"/>
      <c r="Z59" s="239"/>
      <c r="AA59" s="239"/>
      <c r="AB59" s="243"/>
    </row>
    <row r="60" spans="2:30" ht="15.75" customHeight="1">
      <c r="B60" s="244" t="s">
        <v>193</v>
      </c>
      <c r="C60" s="229">
        <f>COUNTIFS('1. All Data'!$AA$3:$AA$111,"Environment and Health &amp; Wellbeing",'1. All Data'!$H$3:$H$111,"Not yet due")</f>
        <v>5</v>
      </c>
      <c r="D60" s="245">
        <f>C60/C64</f>
        <v>0.19230769230769232</v>
      </c>
      <c r="E60" s="245">
        <f>D60</f>
        <v>0.19230769230769232</v>
      </c>
      <c r="F60" s="246"/>
      <c r="G60" s="65"/>
      <c r="I60" s="244" t="s">
        <v>193</v>
      </c>
      <c r="J60" s="229">
        <f>COUNTIFS('1. All Data'!$AA$3:$AA$111,"Environment and Health &amp; Wellbeing",'1. All Data'!$M$3:$M$111,"Not yet due")</f>
        <v>2</v>
      </c>
      <c r="K60" s="245">
        <f>J60/J64</f>
        <v>7.6923076923076927E-2</v>
      </c>
      <c r="L60" s="245">
        <f>K60</f>
        <v>7.6923076923076927E-2</v>
      </c>
      <c r="M60" s="246"/>
      <c r="N60" s="65"/>
      <c r="P60" s="244" t="s">
        <v>193</v>
      </c>
      <c r="Q60" s="229">
        <f>COUNTIFS('1. All Data'!$AA$3:$AA$111,"Environment and Health &amp; Wellbeing",'1. All Data'!$R$3:$R$111,"Not yet due")</f>
        <v>0</v>
      </c>
      <c r="R60" s="245">
        <f>Q60/Q64</f>
        <v>0</v>
      </c>
      <c r="S60" s="245">
        <f>R60</f>
        <v>0</v>
      </c>
      <c r="T60" s="246"/>
      <c r="U60" s="65"/>
      <c r="W60" s="244" t="s">
        <v>193</v>
      </c>
      <c r="X60" s="229">
        <f>COUNTIFS('1. All Data'!$AA$3:$AA$111,"Environment and Health &amp; Wellbeing",'1. All Data'!$V$3:$V$111,"Not yet due")</f>
        <v>0</v>
      </c>
      <c r="Y60" s="230">
        <f>X60/X64</f>
        <v>0</v>
      </c>
      <c r="Z60" s="230">
        <f>Y60</f>
        <v>0</v>
      </c>
      <c r="AA60" s="246"/>
      <c r="AB60" s="65"/>
    </row>
    <row r="61" spans="2:30" ht="15.75" customHeight="1">
      <c r="B61" s="244" t="s">
        <v>159</v>
      </c>
      <c r="C61" s="229">
        <f>COUNTIFS('1. All Data'!$AA$3:$AA$111,"Environment and Health &amp; Wellbeing",'1. All Data'!$H$3:$H$111,"update not provided")</f>
        <v>0</v>
      </c>
      <c r="D61" s="245">
        <f>C61/C64</f>
        <v>0</v>
      </c>
      <c r="E61" s="245">
        <f>D61</f>
        <v>0</v>
      </c>
      <c r="F61" s="246"/>
      <c r="G61" s="8"/>
      <c r="I61" s="244" t="s">
        <v>159</v>
      </c>
      <c r="J61" s="229">
        <f>COUNTIFS('1. All Data'!$AA$3:$AA$111,"Environment and Health &amp; Wellbeing",'1. All Data'!$M$3:$M$111,"update not provided")</f>
        <v>0</v>
      </c>
      <c r="K61" s="245">
        <f>J61/J64</f>
        <v>0</v>
      </c>
      <c r="L61" s="245">
        <f>K61</f>
        <v>0</v>
      </c>
      <c r="M61" s="246"/>
      <c r="N61" s="8"/>
      <c r="P61" s="244" t="s">
        <v>159</v>
      </c>
      <c r="Q61" s="229">
        <f>COUNTIFS('1. All Data'!$AA$3:$AA$111,"Environment and Health &amp; Wellbeing",'1. All Data'!$R$3:$R$111,"update not provided")</f>
        <v>0</v>
      </c>
      <c r="R61" s="245">
        <f>Q61/Q64</f>
        <v>0</v>
      </c>
      <c r="S61" s="245">
        <f>R61</f>
        <v>0</v>
      </c>
      <c r="T61" s="246"/>
      <c r="U61" s="8"/>
      <c r="W61" s="244" t="s">
        <v>159</v>
      </c>
      <c r="X61" s="229">
        <f>COUNTIFS('1. All Data'!$AA$3:$AA$111,"Environment and Health &amp; Wellbeing",'1. All Data'!$V$3:$V$111,"update not provided")</f>
        <v>0</v>
      </c>
      <c r="Y61" s="230">
        <f>X61/X64</f>
        <v>0</v>
      </c>
      <c r="Z61" s="230">
        <f t="shared" ref="Z61:Z63" si="3">Y61</f>
        <v>0</v>
      </c>
      <c r="AA61" s="246"/>
      <c r="AB61" s="8"/>
    </row>
    <row r="62" spans="2:30" ht="15.75" customHeight="1">
      <c r="B62" s="247" t="s">
        <v>167</v>
      </c>
      <c r="C62" s="229">
        <f>COUNTIFS('1. All Data'!$AA$3:$AA$111,"Environment and Health &amp; Wellbeing",'1. All Data'!$H$3:$H$111,"Deferred")</f>
        <v>4</v>
      </c>
      <c r="D62" s="248">
        <f>C62/C64</f>
        <v>0.15384615384615385</v>
      </c>
      <c r="E62" s="248">
        <f>D62</f>
        <v>0.15384615384615385</v>
      </c>
      <c r="F62" s="249"/>
      <c r="G62" s="65"/>
      <c r="I62" s="247" t="s">
        <v>167</v>
      </c>
      <c r="J62" s="229">
        <f>COUNTIFS('1. All Data'!$AA$3:$AA$111,"Environment and Health &amp; Wellbeing",'1. All Data'!$M$3:$M$111,"Deferred")</f>
        <v>4</v>
      </c>
      <c r="K62" s="248">
        <f>J62/J64</f>
        <v>0.15384615384615385</v>
      </c>
      <c r="L62" s="248">
        <f>K62</f>
        <v>0.15384615384615385</v>
      </c>
      <c r="M62" s="249"/>
      <c r="N62" s="65"/>
      <c r="P62" s="247" t="s">
        <v>167</v>
      </c>
      <c r="Q62" s="229">
        <f>COUNTIFS('1. All Data'!$AA$3:$AA$111,"Environment and Health &amp; Wellbeing",'1. All Data'!$R$3:$R$111,"Deferred")</f>
        <v>4</v>
      </c>
      <c r="R62" s="248">
        <f>Q62/Q64</f>
        <v>0.15384615384615385</v>
      </c>
      <c r="S62" s="248">
        <f>R62</f>
        <v>0.15384615384615385</v>
      </c>
      <c r="T62" s="249"/>
      <c r="U62" s="65"/>
      <c r="W62" s="247" t="s">
        <v>167</v>
      </c>
      <c r="X62" s="229">
        <f>COUNTIFS('1. All Data'!$AA$3:$AA$111,"Environment and Health &amp; Wellbeing",'1. All Data'!$V$3:$V$111,"Deferred")</f>
        <v>4</v>
      </c>
      <c r="Y62" s="230">
        <f>X62/X64</f>
        <v>0.15384615384615385</v>
      </c>
      <c r="Z62" s="230">
        <f t="shared" si="3"/>
        <v>0.15384615384615385</v>
      </c>
      <c r="AA62" s="249"/>
      <c r="AB62" s="65"/>
    </row>
    <row r="63" spans="2:30" ht="15.75" customHeight="1">
      <c r="B63" s="247" t="s">
        <v>168</v>
      </c>
      <c r="C63" s="265">
        <f>COUNTIFS('1. All Data'!$AA$3:$AA$111,"Environment and Health &amp; Wellbeing",'1. All Data'!$H$3:$H$111,"Deleted")</f>
        <v>0</v>
      </c>
      <c r="D63" s="248">
        <f>C63/C64</f>
        <v>0</v>
      </c>
      <c r="E63" s="248">
        <f>D63</f>
        <v>0</v>
      </c>
      <c r="F63" s="249"/>
      <c r="G63" s="9" t="s">
        <v>194</v>
      </c>
      <c r="I63" s="247" t="s">
        <v>168</v>
      </c>
      <c r="J63" s="265">
        <f>COUNTIFS('1. All Data'!$AA$3:$AA$111,"Environment and Health &amp; Wellbeing",'1. All Data'!$M$3:$M$111,"Deleted")</f>
        <v>0</v>
      </c>
      <c r="K63" s="248">
        <f>J63/J64</f>
        <v>0</v>
      </c>
      <c r="L63" s="248">
        <f>K63</f>
        <v>0</v>
      </c>
      <c r="M63" s="249"/>
      <c r="N63" s="9"/>
      <c r="P63" s="247" t="s">
        <v>168</v>
      </c>
      <c r="Q63" s="265">
        <f>COUNTIFS('1. All Data'!$AA$3:$AA$111,"Environment and Health &amp; Wellbeing",'1. All Data'!$R$3:$R$111,"Deleted")</f>
        <v>0</v>
      </c>
      <c r="R63" s="248">
        <f>Q63/Q64</f>
        <v>0</v>
      </c>
      <c r="S63" s="248">
        <f>R63</f>
        <v>0</v>
      </c>
      <c r="T63" s="249"/>
      <c r="U63" s="9"/>
      <c r="W63" s="247" t="s">
        <v>168</v>
      </c>
      <c r="X63" s="229">
        <f>COUNTIFS('1. All Data'!$AA$3:$AA$111,"Environment and Health &amp; Wellbeing",'1. All Data'!$V$3:$V$111,"Deleted")</f>
        <v>0</v>
      </c>
      <c r="Y63" s="230">
        <f>X63/X64</f>
        <v>0</v>
      </c>
      <c r="Z63" s="230">
        <f t="shared" si="3"/>
        <v>0</v>
      </c>
      <c r="AA63" s="249"/>
      <c r="AD63" s="9" t="s">
        <v>194</v>
      </c>
    </row>
    <row r="64" spans="2:30" ht="15.75" customHeight="1">
      <c r="B64" s="266" t="s">
        <v>195</v>
      </c>
      <c r="C64" s="251">
        <f>SUM(C50:C63)</f>
        <v>26</v>
      </c>
      <c r="D64" s="249"/>
      <c r="E64" s="249"/>
      <c r="F64" s="65"/>
      <c r="G64" s="65"/>
      <c r="I64" s="266" t="s">
        <v>195</v>
      </c>
      <c r="J64" s="251">
        <f>SUM(J50:J63)</f>
        <v>26</v>
      </c>
      <c r="K64" s="249"/>
      <c r="L64" s="249"/>
      <c r="M64" s="65"/>
      <c r="N64" s="65"/>
      <c r="P64" s="266" t="s">
        <v>195</v>
      </c>
      <c r="Q64" s="251">
        <f>SUM(Q50:Q63)</f>
        <v>26</v>
      </c>
      <c r="R64" s="249"/>
      <c r="S64" s="249"/>
      <c r="T64" s="65"/>
      <c r="U64" s="65"/>
      <c r="W64" s="250" t="s">
        <v>195</v>
      </c>
      <c r="X64" s="251">
        <f>SUM(X50:X63)</f>
        <v>26</v>
      </c>
      <c r="Y64" s="249"/>
      <c r="Z64" s="249"/>
      <c r="AA64" s="65"/>
      <c r="AB64" s="65"/>
    </row>
    <row r="65" spans="2:28" ht="15.75" customHeight="1">
      <c r="B65" s="266" t="s">
        <v>196</v>
      </c>
      <c r="C65" s="251">
        <f>C64-C63-C62-C61-C60</f>
        <v>17</v>
      </c>
      <c r="D65" s="65"/>
      <c r="E65" s="65"/>
      <c r="F65" s="65"/>
      <c r="G65" s="65"/>
      <c r="I65" s="266" t="s">
        <v>196</v>
      </c>
      <c r="J65" s="251">
        <f>J64-J63-J62-J61-J60</f>
        <v>20</v>
      </c>
      <c r="K65" s="65"/>
      <c r="L65" s="65"/>
      <c r="M65" s="65"/>
      <c r="N65" s="65"/>
      <c r="P65" s="266" t="s">
        <v>196</v>
      </c>
      <c r="Q65" s="251">
        <f>Q64-Q63-Q62-Q61-Q60</f>
        <v>22</v>
      </c>
      <c r="R65" s="65"/>
      <c r="S65" s="65"/>
      <c r="T65" s="65"/>
      <c r="U65" s="65"/>
      <c r="W65" s="250" t="s">
        <v>196</v>
      </c>
      <c r="X65" s="251">
        <f>X64-X63-X62-X61-X60</f>
        <v>22</v>
      </c>
      <c r="Y65" s="65"/>
      <c r="Z65" s="65"/>
      <c r="AA65" s="65"/>
      <c r="AB65" s="65"/>
    </row>
    <row r="66" spans="2:28" ht="15.75" customHeight="1">
      <c r="X66" s="267"/>
    </row>
    <row r="67" spans="2:28" ht="15.75" customHeight="1">
      <c r="X67" s="267"/>
    </row>
    <row r="68" spans="2:28" ht="15.75" customHeight="1">
      <c r="X68" s="267"/>
    </row>
    <row r="69" spans="2:28" ht="15.75" customHeight="1">
      <c r="B69" s="261" t="s">
        <v>199</v>
      </c>
      <c r="C69" s="262"/>
      <c r="D69" s="262"/>
      <c r="E69" s="262"/>
      <c r="F69" s="263"/>
      <c r="G69" s="264"/>
      <c r="I69" s="261" t="s">
        <v>199</v>
      </c>
      <c r="J69" s="262"/>
      <c r="K69" s="262"/>
      <c r="L69" s="262"/>
      <c r="M69" s="263"/>
      <c r="N69" s="264"/>
      <c r="P69" s="261" t="s">
        <v>199</v>
      </c>
      <c r="Q69" s="262"/>
      <c r="R69" s="262"/>
      <c r="S69" s="262"/>
      <c r="T69" s="263"/>
      <c r="U69" s="264"/>
      <c r="W69" s="261" t="s">
        <v>199</v>
      </c>
      <c r="X69" s="268"/>
      <c r="Y69" s="221"/>
      <c r="Z69" s="221"/>
      <c r="AA69" s="221"/>
      <c r="AB69" s="222"/>
    </row>
    <row r="70" spans="2:28" ht="41.25" customHeight="1">
      <c r="B70" s="223" t="s">
        <v>186</v>
      </c>
      <c r="C70" s="223" t="s">
        <v>187</v>
      </c>
      <c r="D70" s="223" t="s">
        <v>188</v>
      </c>
      <c r="E70" s="223" t="s">
        <v>189</v>
      </c>
      <c r="F70" s="223" t="s">
        <v>190</v>
      </c>
      <c r="G70" s="223" t="s">
        <v>191</v>
      </c>
      <c r="I70" s="223" t="s">
        <v>186</v>
      </c>
      <c r="J70" s="223" t="s">
        <v>187</v>
      </c>
      <c r="K70" s="223" t="s">
        <v>188</v>
      </c>
      <c r="L70" s="223" t="s">
        <v>189</v>
      </c>
      <c r="M70" s="223" t="s">
        <v>190</v>
      </c>
      <c r="N70" s="223" t="s">
        <v>191</v>
      </c>
      <c r="P70" s="223" t="s">
        <v>186</v>
      </c>
      <c r="Q70" s="223" t="s">
        <v>187</v>
      </c>
      <c r="R70" s="223" t="s">
        <v>188</v>
      </c>
      <c r="S70" s="223" t="s">
        <v>189</v>
      </c>
      <c r="T70" s="223" t="s">
        <v>190</v>
      </c>
      <c r="U70" s="223" t="s">
        <v>191</v>
      </c>
      <c r="W70" s="223" t="s">
        <v>186</v>
      </c>
      <c r="X70" s="223" t="s">
        <v>187</v>
      </c>
      <c r="Y70" s="223" t="s">
        <v>188</v>
      </c>
      <c r="Z70" s="223" t="s">
        <v>189</v>
      </c>
      <c r="AA70" s="223" t="s">
        <v>190</v>
      </c>
      <c r="AB70" s="223" t="s">
        <v>191</v>
      </c>
    </row>
    <row r="71" spans="2:28" ht="6.75" customHeight="1">
      <c r="B71" s="224"/>
      <c r="C71" s="225"/>
      <c r="D71" s="225"/>
      <c r="E71" s="225"/>
      <c r="F71" s="225"/>
      <c r="G71" s="225"/>
      <c r="I71" s="224"/>
      <c r="J71" s="225"/>
      <c r="K71" s="225"/>
      <c r="L71" s="225"/>
      <c r="M71" s="225"/>
      <c r="N71" s="225"/>
      <c r="P71" s="224"/>
      <c r="Q71" s="225"/>
      <c r="R71" s="225"/>
      <c r="S71" s="225"/>
      <c r="T71" s="225"/>
      <c r="U71" s="225"/>
      <c r="W71" s="224"/>
      <c r="X71" s="225"/>
      <c r="Y71" s="225"/>
      <c r="Z71" s="225"/>
      <c r="AA71" s="225"/>
      <c r="AB71" s="225"/>
    </row>
    <row r="72" spans="2:28" ht="27.75" customHeight="1">
      <c r="B72" s="228" t="s">
        <v>192</v>
      </c>
      <c r="C72" s="229">
        <f>COUNTIFS('1. All Data'!$AA$3:$AA$111,"Community Regeneration",'1. All Data'!$H$3:$H$111,"Fully Achieved")</f>
        <v>1</v>
      </c>
      <c r="D72" s="230">
        <f>C72/C86</f>
        <v>3.7037037037037035E-2</v>
      </c>
      <c r="E72" s="399">
        <f>D72+D73</f>
        <v>0.7407407407407407</v>
      </c>
      <c r="F72" s="230">
        <f>C72/C87</f>
        <v>4.7619047619047616E-2</v>
      </c>
      <c r="G72" s="398">
        <f>F72+F73</f>
        <v>0.95238095238095233</v>
      </c>
      <c r="I72" s="228" t="s">
        <v>192</v>
      </c>
      <c r="J72" s="229">
        <f>COUNTIFS('1. All Data'!$AA$3:$AA$111,"Community Regeneration",'1. All Data'!$M$3:$M$111,"Fully Achieved")</f>
        <v>3</v>
      </c>
      <c r="K72" s="230">
        <f>J72/J86</f>
        <v>0.1111111111111111</v>
      </c>
      <c r="L72" s="399">
        <f>K72+K73</f>
        <v>0.85185185185185186</v>
      </c>
      <c r="M72" s="230">
        <f>J72/J87</f>
        <v>0.125</v>
      </c>
      <c r="N72" s="398">
        <f>M72+M73</f>
        <v>0.95833333333333337</v>
      </c>
      <c r="P72" s="228" t="s">
        <v>192</v>
      </c>
      <c r="Q72" s="229">
        <f>COUNTIFS('1. All Data'!$AA$3:$AA$111,"Community Regeneration",'1. All Data'!$R$3:$R$111,"Fully Achieved")</f>
        <v>11</v>
      </c>
      <c r="R72" s="230">
        <f>Q72/Q86</f>
        <v>0.40740740740740738</v>
      </c>
      <c r="S72" s="399">
        <f>R72+R73</f>
        <v>0.85185185185185186</v>
      </c>
      <c r="T72" s="230">
        <f>Q72/Q87</f>
        <v>0.45833333333333331</v>
      </c>
      <c r="U72" s="398">
        <f>T72+T73</f>
        <v>0.95833333333333326</v>
      </c>
      <c r="W72" s="228" t="s">
        <v>192</v>
      </c>
      <c r="X72" s="229">
        <f>COUNTIFS('1. All Data'!$AA$3:$AA$111,"Community Regeneration",'1. All Data'!$V$3:$V$111,"Fully Achieved")</f>
        <v>21</v>
      </c>
      <c r="Y72" s="230">
        <f>X72/X86</f>
        <v>0.77777777777777779</v>
      </c>
      <c r="Z72" s="399">
        <f>Y72+Y73</f>
        <v>0.77777777777777779</v>
      </c>
      <c r="AA72" s="230">
        <f>X72/X87</f>
        <v>0.875</v>
      </c>
      <c r="AB72" s="398">
        <f>AA72+AA73</f>
        <v>0.875</v>
      </c>
    </row>
    <row r="73" spans="2:28" ht="27.75" customHeight="1">
      <c r="B73" s="228" t="s">
        <v>169</v>
      </c>
      <c r="C73" s="229">
        <f>COUNTIFS('1. All Data'!$AA$3:$AA$111,"Community Regeneration",'1. All Data'!$H$3:$H$111,"On Track to be achieved")</f>
        <v>19</v>
      </c>
      <c r="D73" s="230">
        <f>C73/C86</f>
        <v>0.70370370370370372</v>
      </c>
      <c r="E73" s="399"/>
      <c r="F73" s="230">
        <f>C73/C87</f>
        <v>0.90476190476190477</v>
      </c>
      <c r="G73" s="398"/>
      <c r="I73" s="228" t="s">
        <v>169</v>
      </c>
      <c r="J73" s="229">
        <f>COUNTIFS('1. All Data'!$AA$3:$AA$111,"Community Regeneration",'1. All Data'!$M$3:$M$111,"On Track to be achieved")</f>
        <v>20</v>
      </c>
      <c r="K73" s="230">
        <f>J73/J86</f>
        <v>0.7407407407407407</v>
      </c>
      <c r="L73" s="399"/>
      <c r="M73" s="230">
        <f>J73/J87</f>
        <v>0.83333333333333337</v>
      </c>
      <c r="N73" s="398"/>
      <c r="P73" s="228" t="s">
        <v>169</v>
      </c>
      <c r="Q73" s="229">
        <f>COUNTIFS('1. All Data'!$AA$3:$AA$111,"Community Regeneration",'1. All Data'!$R$3:$R$111,"On Track to be achieved")</f>
        <v>12</v>
      </c>
      <c r="R73" s="230">
        <f>Q73/Q86</f>
        <v>0.44444444444444442</v>
      </c>
      <c r="S73" s="399"/>
      <c r="T73" s="230">
        <f>Q73/Q87</f>
        <v>0.5</v>
      </c>
      <c r="U73" s="398"/>
      <c r="W73" s="228" t="s">
        <v>161</v>
      </c>
      <c r="X73" s="229">
        <f>COUNTIFS('1. All Data'!$AA$3:$AA$111,"Community Regeneration",'1. All Data'!$V$3:$V$111,"Numerical Outturn Within 5% Tolerance")</f>
        <v>0</v>
      </c>
      <c r="Y73" s="230">
        <f>X73/X86</f>
        <v>0</v>
      </c>
      <c r="Z73" s="399"/>
      <c r="AA73" s="230">
        <f>X73/X87</f>
        <v>0</v>
      </c>
      <c r="AB73" s="398"/>
    </row>
    <row r="74" spans="2:28" ht="7.5" customHeight="1">
      <c r="B74" s="231"/>
      <c r="C74" s="232"/>
      <c r="D74" s="233"/>
      <c r="E74" s="233"/>
      <c r="F74" s="233"/>
      <c r="G74" s="234"/>
      <c r="I74" s="231"/>
      <c r="J74" s="232"/>
      <c r="K74" s="233"/>
      <c r="L74" s="233"/>
      <c r="M74" s="233"/>
      <c r="N74" s="234"/>
      <c r="P74" s="231"/>
      <c r="Q74" s="232"/>
      <c r="R74" s="233"/>
      <c r="S74" s="233"/>
      <c r="T74" s="233"/>
      <c r="U74" s="234"/>
      <c r="W74" s="231"/>
      <c r="X74" s="232"/>
      <c r="Y74" s="233"/>
      <c r="Z74" s="233"/>
      <c r="AA74" s="233"/>
      <c r="AB74" s="234"/>
    </row>
    <row r="75" spans="2:28" ht="18.75" customHeight="1">
      <c r="B75" s="400" t="s">
        <v>170</v>
      </c>
      <c r="C75" s="403">
        <f>COUNTIFS('1. All Data'!$AA$3:$AA$111,"Community Regeneration",'1. All Data'!$H$3:$H$111,"In Danger of Falling Behind Target")</f>
        <v>1</v>
      </c>
      <c r="D75" s="406">
        <f>C75/C86</f>
        <v>3.7037037037037035E-2</v>
      </c>
      <c r="E75" s="406">
        <f>D75</f>
        <v>3.7037037037037035E-2</v>
      </c>
      <c r="F75" s="406">
        <f>C75/C87</f>
        <v>4.7619047619047616E-2</v>
      </c>
      <c r="G75" s="409">
        <f>F75</f>
        <v>4.7619047619047616E-2</v>
      </c>
      <c r="I75" s="400" t="s">
        <v>170</v>
      </c>
      <c r="J75" s="403">
        <f>COUNTIFS('1. All Data'!$AA$3:$AA$111,"Community Regeneration",'1. All Data'!$M$3:$M$111,"In Danger of Falling Behind Target")</f>
        <v>1</v>
      </c>
      <c r="K75" s="406">
        <f>J75/J86</f>
        <v>3.7037037037037035E-2</v>
      </c>
      <c r="L75" s="406">
        <f>K75</f>
        <v>3.7037037037037035E-2</v>
      </c>
      <c r="M75" s="406">
        <f>J75/J87</f>
        <v>4.1666666666666664E-2</v>
      </c>
      <c r="N75" s="409">
        <f>M75</f>
        <v>4.1666666666666664E-2</v>
      </c>
      <c r="P75" s="400" t="s">
        <v>170</v>
      </c>
      <c r="Q75" s="403">
        <f>COUNTIFS('1. All Data'!$AA$3:$AA$111,"Community Regeneration",'1. All Data'!$R$3:$R$111,"In Danger of Falling Behind Target")</f>
        <v>0</v>
      </c>
      <c r="R75" s="406">
        <f>Q75/Q86</f>
        <v>0</v>
      </c>
      <c r="S75" s="406">
        <f>R75</f>
        <v>0</v>
      </c>
      <c r="T75" s="406">
        <f>Q75/Q87</f>
        <v>0</v>
      </c>
      <c r="U75" s="409">
        <f>T75</f>
        <v>0</v>
      </c>
      <c r="W75" s="237" t="s">
        <v>162</v>
      </c>
      <c r="X75" s="238">
        <f>COUNTIFS('1. All Data'!$AA$3:$AA$111,"Community Regeneration",'1. All Data'!$V$3:$V$111,"Numerical Outturn Within 10% Tolerance")</f>
        <v>0</v>
      </c>
      <c r="Y75" s="230">
        <f>X75/$X$42</f>
        <v>0</v>
      </c>
      <c r="Z75" s="399">
        <f>SUM(Y75:Y77)</f>
        <v>3.5714285714285712E-2</v>
      </c>
      <c r="AA75" s="230">
        <f>X75/X87</f>
        <v>0</v>
      </c>
      <c r="AB75" s="412">
        <f>SUM(AA75:AA77)</f>
        <v>8.3333333333333329E-2</v>
      </c>
    </row>
    <row r="76" spans="2:28" ht="18.75" customHeight="1">
      <c r="B76" s="401"/>
      <c r="C76" s="404"/>
      <c r="D76" s="407"/>
      <c r="E76" s="407"/>
      <c r="F76" s="407"/>
      <c r="G76" s="410"/>
      <c r="I76" s="401"/>
      <c r="J76" s="404"/>
      <c r="K76" s="407"/>
      <c r="L76" s="407"/>
      <c r="M76" s="407"/>
      <c r="N76" s="410"/>
      <c r="P76" s="401"/>
      <c r="Q76" s="404"/>
      <c r="R76" s="407"/>
      <c r="S76" s="407"/>
      <c r="T76" s="407"/>
      <c r="U76" s="410"/>
      <c r="W76" s="237" t="s">
        <v>163</v>
      </c>
      <c r="X76" s="238">
        <f>COUNTIFS('1. All Data'!$AA$3:$AA$111,"Community Regeneration",'1. All Data'!$V$3:$V$111,"Target Partially Met")</f>
        <v>2</v>
      </c>
      <c r="Y76" s="230">
        <f>X76/$X$42</f>
        <v>3.5714285714285712E-2</v>
      </c>
      <c r="Z76" s="399"/>
      <c r="AA76" s="230">
        <f>X76/X87</f>
        <v>8.3333333333333329E-2</v>
      </c>
      <c r="AB76" s="412"/>
    </row>
    <row r="77" spans="2:28" ht="18.75" customHeight="1">
      <c r="B77" s="402"/>
      <c r="C77" s="405"/>
      <c r="D77" s="408"/>
      <c r="E77" s="408"/>
      <c r="F77" s="408"/>
      <c r="G77" s="411"/>
      <c r="I77" s="402"/>
      <c r="J77" s="405"/>
      <c r="K77" s="408"/>
      <c r="L77" s="408"/>
      <c r="M77" s="408"/>
      <c r="N77" s="411"/>
      <c r="P77" s="402"/>
      <c r="Q77" s="405"/>
      <c r="R77" s="408"/>
      <c r="S77" s="408"/>
      <c r="T77" s="408"/>
      <c r="U77" s="411"/>
      <c r="W77" s="237" t="s">
        <v>166</v>
      </c>
      <c r="X77" s="238">
        <f>COUNTIFS('1. All Data'!$AA$3:$AA$111,"Community Regeneration",'1. All Data'!$V$3:$V$111,"Completion Date Within Reasonable Tolerance")</f>
        <v>0</v>
      </c>
      <c r="Y77" s="230">
        <f>X77/$X$42</f>
        <v>0</v>
      </c>
      <c r="Z77" s="399"/>
      <c r="AA77" s="230">
        <f>X77/X87</f>
        <v>0</v>
      </c>
      <c r="AB77" s="412"/>
    </row>
    <row r="78" spans="2:28" ht="6" customHeight="1">
      <c r="B78" s="224"/>
      <c r="C78" s="225"/>
      <c r="D78" s="239"/>
      <c r="E78" s="239"/>
      <c r="F78" s="239"/>
      <c r="G78" s="240"/>
      <c r="I78" s="224"/>
      <c r="J78" s="225"/>
      <c r="K78" s="239"/>
      <c r="L78" s="239"/>
      <c r="M78" s="239"/>
      <c r="N78" s="240"/>
      <c r="P78" s="224"/>
      <c r="Q78" s="225"/>
      <c r="R78" s="239"/>
      <c r="S78" s="239"/>
      <c r="T78" s="239"/>
      <c r="U78" s="240"/>
      <c r="W78" s="224"/>
      <c r="X78" s="225"/>
      <c r="Y78" s="239"/>
      <c r="Z78" s="239"/>
      <c r="AA78" s="239"/>
      <c r="AB78" s="240"/>
    </row>
    <row r="79" spans="2:28" ht="30" customHeight="1">
      <c r="B79" s="241" t="s">
        <v>171</v>
      </c>
      <c r="C79" s="229">
        <f>COUNTIFS('1. All Data'!$AA$3:$AA$111,"Community Regeneration",'1. All Data'!$H$3:$H$111,"Completed Behind Schedule")</f>
        <v>0</v>
      </c>
      <c r="D79" s="230">
        <f>C79/C86</f>
        <v>0</v>
      </c>
      <c r="E79" s="399">
        <f>D79+D80</f>
        <v>0</v>
      </c>
      <c r="F79" s="230">
        <f>C79/C87</f>
        <v>0</v>
      </c>
      <c r="G79" s="413">
        <f>F79+F80</f>
        <v>0</v>
      </c>
      <c r="I79" s="241" t="s">
        <v>171</v>
      </c>
      <c r="J79" s="229">
        <f>COUNTIFS('1. All Data'!$AA$3:$AA$111,"Community Regeneration",'1. All Data'!$M$3:$M$111,"Completed Behind Schedule")</f>
        <v>0</v>
      </c>
      <c r="K79" s="230">
        <f>J79/J86</f>
        <v>0</v>
      </c>
      <c r="L79" s="399">
        <f>K79+K80</f>
        <v>0</v>
      </c>
      <c r="M79" s="230">
        <f>J79/J87</f>
        <v>0</v>
      </c>
      <c r="N79" s="413">
        <f>M79+M80</f>
        <v>0</v>
      </c>
      <c r="P79" s="241" t="s">
        <v>171</v>
      </c>
      <c r="Q79" s="229">
        <f>COUNTIFS('1. All Data'!$AA$3:$AA$111,"Community Regeneration",'1. All Data'!$R$3:$R$111,"Completed Behind Schedule")</f>
        <v>0</v>
      </c>
      <c r="R79" s="230">
        <f>Q79/Q86</f>
        <v>0</v>
      </c>
      <c r="S79" s="399">
        <f>R79+R80</f>
        <v>3.7037037037037035E-2</v>
      </c>
      <c r="T79" s="230">
        <f>Q79/Q87</f>
        <v>0</v>
      </c>
      <c r="U79" s="413">
        <f>T79+T80</f>
        <v>4.1666666666666664E-2</v>
      </c>
      <c r="W79" s="241" t="s">
        <v>165</v>
      </c>
      <c r="X79" s="229">
        <f>COUNTIFS('1. All Data'!$AA$3:$AA$111,"Community Regeneration",'1. All Data'!$V$3:$V$111,"Completed Significantly After Target Deadline")</f>
        <v>0</v>
      </c>
      <c r="Y79" s="230">
        <f>X79/$X$42</f>
        <v>0</v>
      </c>
      <c r="Z79" s="399">
        <f>SUM(Y79:Y80)</f>
        <v>1.7857142857142856E-2</v>
      </c>
      <c r="AA79" s="230">
        <f>X79/X87</f>
        <v>0</v>
      </c>
      <c r="AB79" s="413">
        <f>AA79+AA80</f>
        <v>4.1666666666666664E-2</v>
      </c>
    </row>
    <row r="80" spans="2:28" ht="30" customHeight="1">
      <c r="B80" s="241" t="s">
        <v>164</v>
      </c>
      <c r="C80" s="229">
        <f>COUNTIFS('1. All Data'!$AA$3:$AA$111,"Community Regeneration",'1. All Data'!$H$3:$H$111,"Off Target")</f>
        <v>0</v>
      </c>
      <c r="D80" s="230">
        <f>C80/C86</f>
        <v>0</v>
      </c>
      <c r="E80" s="399"/>
      <c r="F80" s="230">
        <f>C80/C87</f>
        <v>0</v>
      </c>
      <c r="G80" s="413"/>
      <c r="I80" s="241" t="s">
        <v>164</v>
      </c>
      <c r="J80" s="229">
        <f>COUNTIFS('1. All Data'!$AA$3:$AA$111,"Community Regeneration",'1. All Data'!$M$3:$M$111,"Off Target")</f>
        <v>0</v>
      </c>
      <c r="K80" s="230">
        <f>J80/J86</f>
        <v>0</v>
      </c>
      <c r="L80" s="399"/>
      <c r="M80" s="230">
        <f>J80/J87</f>
        <v>0</v>
      </c>
      <c r="N80" s="413"/>
      <c r="P80" s="241" t="s">
        <v>164</v>
      </c>
      <c r="Q80" s="229">
        <f>COUNTIFS('1. All Data'!$AA$3:$AA$111,"Community Regeneration",'1. All Data'!$R$3:$R$111,"Off Target")</f>
        <v>1</v>
      </c>
      <c r="R80" s="230">
        <f>Q80/Q86</f>
        <v>3.7037037037037035E-2</v>
      </c>
      <c r="S80" s="399"/>
      <c r="T80" s="230">
        <f>Q80/Q87</f>
        <v>4.1666666666666664E-2</v>
      </c>
      <c r="U80" s="413"/>
      <c r="W80" s="241" t="s">
        <v>164</v>
      </c>
      <c r="X80" s="229">
        <f>COUNTIFS('1. All Data'!$AA$3:$AA$111,"Community Regeneration",'1. All Data'!$V$3:$V$111,"Off Target")</f>
        <v>1</v>
      </c>
      <c r="Y80" s="230">
        <f>X80/$X$42</f>
        <v>1.7857142857142856E-2</v>
      </c>
      <c r="Z80" s="399"/>
      <c r="AA80" s="230">
        <f>X80/X87</f>
        <v>4.1666666666666664E-2</v>
      </c>
      <c r="AB80" s="413"/>
    </row>
    <row r="81" spans="2:30" ht="5.25" customHeight="1">
      <c r="B81" s="224"/>
      <c r="C81" s="242"/>
      <c r="D81" s="239"/>
      <c r="E81" s="239"/>
      <c r="F81" s="239"/>
      <c r="G81" s="243"/>
      <c r="I81" s="224"/>
      <c r="J81" s="242"/>
      <c r="K81" s="239"/>
      <c r="L81" s="239"/>
      <c r="M81" s="239"/>
      <c r="N81" s="243"/>
      <c r="P81" s="224"/>
      <c r="Q81" s="242"/>
      <c r="R81" s="239"/>
      <c r="S81" s="239"/>
      <c r="T81" s="239"/>
      <c r="U81" s="243"/>
      <c r="W81" s="224"/>
      <c r="X81" s="242"/>
      <c r="Y81" s="239"/>
      <c r="Z81" s="239"/>
      <c r="AA81" s="239"/>
      <c r="AB81" s="243"/>
    </row>
    <row r="82" spans="2:30" ht="15.75" customHeight="1">
      <c r="B82" s="244" t="s">
        <v>193</v>
      </c>
      <c r="C82" s="229">
        <f>COUNTIFS('1. All Data'!$AA$3:$AA$111,"Community Regeneration",'1. All Data'!$H$3:$H$111,"Not yet due")</f>
        <v>4</v>
      </c>
      <c r="D82" s="245">
        <f>C82/C86</f>
        <v>0.14814814814814814</v>
      </c>
      <c r="E82" s="245">
        <f>D82</f>
        <v>0.14814814814814814</v>
      </c>
      <c r="F82" s="246"/>
      <c r="G82" s="65"/>
      <c r="I82" s="244" t="s">
        <v>193</v>
      </c>
      <c r="J82" s="229">
        <f>COUNTIFS('1. All Data'!$AA$3:$AA$111,"Community Regeneration",'1. All Data'!$M$3:$M$111,"Not yet due")</f>
        <v>1</v>
      </c>
      <c r="K82" s="245">
        <f>J82/J86</f>
        <v>3.7037037037037035E-2</v>
      </c>
      <c r="L82" s="245">
        <f>K82</f>
        <v>3.7037037037037035E-2</v>
      </c>
      <c r="M82" s="246"/>
      <c r="N82" s="65"/>
      <c r="P82" s="244" t="s">
        <v>193</v>
      </c>
      <c r="Q82" s="229">
        <f>COUNTIFS('1. All Data'!$AA$3:$AA$111,"Community Regeneration",'1. All Data'!$R$3:$R$111,"Not yet due")</f>
        <v>0</v>
      </c>
      <c r="R82" s="245">
        <f>Q82/Q86</f>
        <v>0</v>
      </c>
      <c r="S82" s="245">
        <f>R82</f>
        <v>0</v>
      </c>
      <c r="T82" s="246"/>
      <c r="U82" s="65"/>
      <c r="W82" s="244" t="s">
        <v>193</v>
      </c>
      <c r="X82" s="229">
        <f>COUNTIFS('1. All Data'!$AA$3:$AA$111,"Community Regeneration",'1. All Data'!$V$3:$V$111,"Not yet due")</f>
        <v>0</v>
      </c>
      <c r="Y82" s="230">
        <f t="shared" ref="Y82:Y85" si="4">X82/$X$42</f>
        <v>0</v>
      </c>
      <c r="Z82" s="230">
        <f>Y82</f>
        <v>0</v>
      </c>
      <c r="AA82" s="246"/>
      <c r="AB82" s="65"/>
    </row>
    <row r="83" spans="2:30" ht="15.75" customHeight="1">
      <c r="B83" s="244" t="s">
        <v>159</v>
      </c>
      <c r="C83" s="229">
        <f>COUNTIFS('1. All Data'!$AA$3:$AA$111,"Community Regeneration",'1. All Data'!$H$3:$H$111,"update not provided")</f>
        <v>0</v>
      </c>
      <c r="D83" s="245">
        <f>C83/C86</f>
        <v>0</v>
      </c>
      <c r="E83" s="245">
        <f>D83</f>
        <v>0</v>
      </c>
      <c r="F83" s="246"/>
      <c r="G83" s="8"/>
      <c r="I83" s="244" t="s">
        <v>159</v>
      </c>
      <c r="J83" s="229">
        <f>COUNTIFS('1. All Data'!$AA$3:$AA$111,"Community Regeneration",'1. All Data'!$M$3:$M$111,"update not provided")</f>
        <v>0</v>
      </c>
      <c r="K83" s="245">
        <f>J83/J86</f>
        <v>0</v>
      </c>
      <c r="L83" s="245">
        <f>K83</f>
        <v>0</v>
      </c>
      <c r="M83" s="246"/>
      <c r="N83" s="8"/>
      <c r="P83" s="244" t="s">
        <v>159</v>
      </c>
      <c r="Q83" s="229">
        <f>COUNTIFS('1. All Data'!$AA$3:$AA$111,"Community Regeneration",'1. All Data'!$R$3:$R$111,"update not provided")</f>
        <v>0</v>
      </c>
      <c r="R83" s="245">
        <f>Q83/Q86</f>
        <v>0</v>
      </c>
      <c r="S83" s="245">
        <f>R83</f>
        <v>0</v>
      </c>
      <c r="T83" s="246"/>
      <c r="U83" s="8"/>
      <c r="W83" s="244" t="s">
        <v>159</v>
      </c>
      <c r="X83" s="229">
        <f>COUNTIFS('1. All Data'!$AA$3:$AA$111,"Community Regeneration",'1. All Data'!$V$3:$V$111,"update not provided")</f>
        <v>0</v>
      </c>
      <c r="Y83" s="230">
        <f t="shared" si="4"/>
        <v>0</v>
      </c>
      <c r="Z83" s="230">
        <f>Y83</f>
        <v>0</v>
      </c>
      <c r="AA83" s="246"/>
      <c r="AB83" s="8"/>
    </row>
    <row r="84" spans="2:30" ht="15.75" customHeight="1">
      <c r="B84" s="247" t="s">
        <v>167</v>
      </c>
      <c r="C84" s="229">
        <f>COUNTIFS('1. All Data'!$AA$3:$AA$111,"Community Regeneration",'1. All Data'!$H$3:$H$111,"Deferred")</f>
        <v>2</v>
      </c>
      <c r="D84" s="248">
        <f>C84/C86</f>
        <v>7.407407407407407E-2</v>
      </c>
      <c r="E84" s="248">
        <f>D84</f>
        <v>7.407407407407407E-2</v>
      </c>
      <c r="F84" s="249"/>
      <c r="G84" s="65"/>
      <c r="I84" s="247" t="s">
        <v>167</v>
      </c>
      <c r="J84" s="229">
        <f>COUNTIFS('1. All Data'!$AA$3:$AA$111,"Community Regeneration",'1. All Data'!$M$3:$M$111,"Deferred")</f>
        <v>2</v>
      </c>
      <c r="K84" s="248">
        <f>J84/J86</f>
        <v>7.407407407407407E-2</v>
      </c>
      <c r="L84" s="248">
        <f>K84</f>
        <v>7.407407407407407E-2</v>
      </c>
      <c r="M84" s="249"/>
      <c r="N84" s="65"/>
      <c r="P84" s="247" t="s">
        <v>167</v>
      </c>
      <c r="Q84" s="229">
        <f>COUNTIFS('1. All Data'!$AA$3:$AA$111,"Community Regeneration",'1. All Data'!$R$3:$R$111,"Deferred")</f>
        <v>3</v>
      </c>
      <c r="R84" s="248">
        <f>Q84/Q86</f>
        <v>0.1111111111111111</v>
      </c>
      <c r="S84" s="248">
        <f>R84</f>
        <v>0.1111111111111111</v>
      </c>
      <c r="T84" s="249"/>
      <c r="U84" s="65"/>
      <c r="W84" s="247" t="s">
        <v>167</v>
      </c>
      <c r="X84" s="229">
        <f>COUNTIFS('1. All Data'!$AA$3:$AA$111,"Community Regeneration",'1. All Data'!$V$3:$V$111,"Deferred")</f>
        <v>3</v>
      </c>
      <c r="Y84" s="230">
        <f t="shared" si="4"/>
        <v>5.3571428571428568E-2</v>
      </c>
      <c r="Z84" s="230">
        <f t="shared" ref="Z84:Z85" si="5">Y84</f>
        <v>5.3571428571428568E-2</v>
      </c>
      <c r="AA84" s="249"/>
      <c r="AB84" s="65"/>
    </row>
    <row r="85" spans="2:30" ht="15.75" customHeight="1">
      <c r="B85" s="247" t="s">
        <v>168</v>
      </c>
      <c r="C85" s="229">
        <f>COUNTIFS('1. All Data'!$AA$3:$AA$111,"Community Regeneration",'1. All Data'!$H$3:$H$111,"Deleted")</f>
        <v>0</v>
      </c>
      <c r="D85" s="248">
        <f>C85/C86</f>
        <v>0</v>
      </c>
      <c r="E85" s="248">
        <f>D85</f>
        <v>0</v>
      </c>
      <c r="F85" s="249"/>
      <c r="G85" s="9" t="s">
        <v>194</v>
      </c>
      <c r="I85" s="247" t="s">
        <v>168</v>
      </c>
      <c r="J85" s="229">
        <f>COUNTIFS('1. All Data'!$AA$3:$AA$111,"Community Regeneration",'1. All Data'!$M$3:$M$111,"Deleted")</f>
        <v>0</v>
      </c>
      <c r="K85" s="248">
        <f>J85/J86</f>
        <v>0</v>
      </c>
      <c r="L85" s="248">
        <f>K85</f>
        <v>0</v>
      </c>
      <c r="M85" s="249"/>
      <c r="N85" s="9"/>
      <c r="P85" s="247" t="s">
        <v>168</v>
      </c>
      <c r="Q85" s="229">
        <f>COUNTIFS('1. All Data'!$AA$3:$AA$111,"Community Regeneration",'1. All Data'!$R$3:$R$111,"Deleted")</f>
        <v>0</v>
      </c>
      <c r="R85" s="248">
        <f>Q85/Q86</f>
        <v>0</v>
      </c>
      <c r="S85" s="248">
        <f>R85</f>
        <v>0</v>
      </c>
      <c r="T85" s="249"/>
      <c r="U85" s="9"/>
      <c r="W85" s="247" t="s">
        <v>168</v>
      </c>
      <c r="X85" s="229">
        <f>COUNTIFS('1. All Data'!$AA$3:$AA$111,"Community Regeneration",'1. All Data'!$V$3:$V$111,"Deleted")</f>
        <v>0</v>
      </c>
      <c r="Y85" s="230">
        <f t="shared" si="4"/>
        <v>0</v>
      </c>
      <c r="Z85" s="230">
        <f t="shared" si="5"/>
        <v>0</v>
      </c>
      <c r="AA85" s="249"/>
      <c r="AD85" s="9" t="s">
        <v>194</v>
      </c>
    </row>
    <row r="86" spans="2:30" ht="15.75" customHeight="1">
      <c r="B86" s="266" t="s">
        <v>195</v>
      </c>
      <c r="C86" s="251">
        <f>SUM(C72:C85)</f>
        <v>27</v>
      </c>
      <c r="D86" s="249"/>
      <c r="E86" s="249"/>
      <c r="F86" s="65"/>
      <c r="G86" s="65"/>
      <c r="I86" s="266" t="s">
        <v>195</v>
      </c>
      <c r="J86" s="251">
        <f>SUM(J72:J85)</f>
        <v>27</v>
      </c>
      <c r="K86" s="249"/>
      <c r="L86" s="249"/>
      <c r="M86" s="65"/>
      <c r="N86" s="65"/>
      <c r="P86" s="266" t="s">
        <v>195</v>
      </c>
      <c r="Q86" s="251">
        <f>SUM(Q72:Q85)</f>
        <v>27</v>
      </c>
      <c r="R86" s="249"/>
      <c r="S86" s="249"/>
      <c r="T86" s="65"/>
      <c r="U86" s="65"/>
      <c r="W86" s="250" t="s">
        <v>195</v>
      </c>
      <c r="X86" s="251">
        <f>SUM(X72:X85)</f>
        <v>27</v>
      </c>
      <c r="Y86" s="249"/>
      <c r="Z86" s="249"/>
      <c r="AA86" s="65"/>
      <c r="AB86" s="65"/>
    </row>
    <row r="87" spans="2:30" ht="15.75" customHeight="1">
      <c r="B87" s="266" t="s">
        <v>196</v>
      </c>
      <c r="C87" s="251">
        <f>C86-C85-C84-C83-C82</f>
        <v>21</v>
      </c>
      <c r="D87" s="65"/>
      <c r="E87" s="65"/>
      <c r="F87" s="65"/>
      <c r="G87" s="65"/>
      <c r="I87" s="266" t="s">
        <v>196</v>
      </c>
      <c r="J87" s="251">
        <f>J86-J85-J84-J83-J82</f>
        <v>24</v>
      </c>
      <c r="K87" s="65"/>
      <c r="L87" s="65"/>
      <c r="M87" s="65"/>
      <c r="N87" s="65"/>
      <c r="P87" s="266" t="s">
        <v>196</v>
      </c>
      <c r="Q87" s="251">
        <f>Q86-Q85-Q84-Q83-Q82</f>
        <v>24</v>
      </c>
      <c r="R87" s="65"/>
      <c r="S87" s="65"/>
      <c r="T87" s="65"/>
      <c r="U87" s="65"/>
      <c r="W87" s="250" t="s">
        <v>196</v>
      </c>
      <c r="X87" s="251">
        <f>X86-X85-X84-X83-X82</f>
        <v>24</v>
      </c>
      <c r="Y87" s="65"/>
      <c r="Z87" s="65"/>
      <c r="AA87" s="65"/>
      <c r="AB87" s="65"/>
    </row>
    <row r="88" spans="2:30" ht="15.75" customHeight="1">
      <c r="AB88" s="259"/>
    </row>
    <row r="89" spans="2:30" ht="15.75" customHeight="1">
      <c r="AB89" s="259"/>
    </row>
  </sheetData>
  <mergeCells count="146">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M75:M77"/>
    <mergeCell ref="N75:N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K9:K11"/>
    <mergeCell ref="L9:L11"/>
    <mergeCell ref="M9:M11"/>
    <mergeCell ref="N9:N11"/>
    <mergeCell ref="P9:P11"/>
    <mergeCell ref="Q9:Q11"/>
    <mergeCell ref="B31:B33"/>
    <mergeCell ref="C31:C33"/>
    <mergeCell ref="D31:D33"/>
    <mergeCell ref="E31:E33"/>
    <mergeCell ref="F31:F33"/>
    <mergeCell ref="G31:G33"/>
    <mergeCell ref="AD9:AD14"/>
    <mergeCell ref="AD6:AD7"/>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s>
  <hyperlinks>
    <hyperlink ref="G41" location="INDEX!A1" display="Back to index"/>
    <hyperlink ref="G63" location="INDEX!A1" display="Back to index"/>
    <hyperlink ref="G85" location="INDEX!A1" display="Back to index"/>
    <hyperlink ref="AE19" location="INDEX!A1" display="Back to index"/>
    <hyperlink ref="AD41" location="INDEX!A1" display="Back to index"/>
    <hyperlink ref="AD63" location="INDEX!A1" display="Back to index"/>
    <hyperlink ref="AD85" location="INDEX!A1" display="Back to index"/>
  </hyperlinks>
  <pageMargins left="0.7" right="0.7" top="0.75" bottom="0.75" header="0.3" footer="0.3"/>
  <pageSetup paperSize="9" orientation="portrait" verticalDpi="0" r:id="rId1"/>
  <ignoredErrors>
    <ignoredError sqref="F13 F9 F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V1" workbookViewId="0">
      <selection activeCell="AL2" sqref="AL2"/>
    </sheetView>
  </sheetViews>
  <sheetFormatPr defaultColWidth="9.109375" defaultRowHeight="14.4"/>
  <cols>
    <col min="1" max="1" width="3.44140625" style="15" customWidth="1"/>
    <col min="2" max="9" width="9.109375" style="15"/>
    <col min="10" max="10" width="3.44140625" style="15" customWidth="1"/>
    <col min="11" max="11" width="9.109375" style="16"/>
    <col min="12" max="18" width="9.109375" style="15"/>
    <col min="19" max="19" width="3.44140625" style="15" customWidth="1"/>
    <col min="20" max="27" width="9.109375" style="15" customWidth="1"/>
    <col min="28" max="28" width="3.44140625" style="15" customWidth="1"/>
    <col min="29" max="36" width="9.109375" style="15" customWidth="1"/>
    <col min="37" max="37" width="3.44140625" style="15" customWidth="1"/>
    <col min="38" max="47" width="9.109375" style="15" customWidth="1"/>
    <col min="48" max="50" width="0" style="15" hidden="1" customWidth="1"/>
    <col min="51" max="51" width="9.109375" style="15"/>
    <col min="52" max="55" width="10" style="18" customWidth="1"/>
    <col min="56" max="16384" width="9.109375" style="15"/>
  </cols>
  <sheetData>
    <row r="1" spans="2:56" s="12" customFormat="1" ht="36" thickTop="1">
      <c r="B1" s="11" t="s">
        <v>200</v>
      </c>
      <c r="M1" s="414" t="s">
        <v>201</v>
      </c>
      <c r="N1" s="415"/>
      <c r="O1" s="415"/>
      <c r="P1" s="415"/>
      <c r="Q1" s="415"/>
      <c r="R1" s="415"/>
      <c r="S1" s="415"/>
      <c r="T1" s="415"/>
      <c r="U1" s="415"/>
      <c r="V1" s="415"/>
      <c r="W1" s="415"/>
      <c r="X1" s="415"/>
      <c r="Y1" s="415"/>
      <c r="Z1" s="416"/>
      <c r="AZ1" s="13"/>
      <c r="BA1" s="13"/>
      <c r="BB1" s="13"/>
      <c r="BC1" s="13"/>
    </row>
    <row r="2" spans="2:56" s="12" customFormat="1" ht="35.4">
      <c r="B2" s="14" t="s">
        <v>194</v>
      </c>
      <c r="M2" s="417"/>
      <c r="N2" s="418"/>
      <c r="O2" s="418"/>
      <c r="P2" s="418"/>
      <c r="Q2" s="418"/>
      <c r="R2" s="418"/>
      <c r="S2" s="418"/>
      <c r="T2" s="418"/>
      <c r="U2" s="418"/>
      <c r="V2" s="418"/>
      <c r="W2" s="418"/>
      <c r="X2" s="418"/>
      <c r="Y2" s="418"/>
      <c r="Z2" s="419"/>
      <c r="AZ2" s="13"/>
      <c r="BA2" s="13"/>
      <c r="BB2" s="13"/>
      <c r="BC2" s="13"/>
    </row>
    <row r="3" spans="2:56" s="12" customFormat="1" ht="36" thickBot="1">
      <c r="M3" s="420"/>
      <c r="N3" s="421"/>
      <c r="O3" s="421"/>
      <c r="P3" s="421"/>
      <c r="Q3" s="421"/>
      <c r="R3" s="421"/>
      <c r="S3" s="421"/>
      <c r="T3" s="421"/>
      <c r="U3" s="421"/>
      <c r="V3" s="421"/>
      <c r="W3" s="421"/>
      <c r="X3" s="421"/>
      <c r="Y3" s="421"/>
      <c r="Z3" s="422"/>
      <c r="AZ3" s="13"/>
      <c r="BA3" s="13"/>
      <c r="BB3" s="13"/>
      <c r="BC3" s="13"/>
    </row>
    <row r="4" spans="2:56" ht="15" thickTop="1">
      <c r="N4" s="17" t="s">
        <v>194</v>
      </c>
      <c r="W4" s="17" t="s">
        <v>194</v>
      </c>
      <c r="AF4" s="17" t="s">
        <v>194</v>
      </c>
      <c r="AO4" s="17" t="s">
        <v>194</v>
      </c>
    </row>
    <row r="5" spans="2:56">
      <c r="AY5" s="23" t="s">
        <v>202</v>
      </c>
      <c r="AZ5" s="24"/>
      <c r="BA5" s="24"/>
      <c r="BB5" s="24"/>
      <c r="BC5" s="24"/>
      <c r="BD5" s="16"/>
    </row>
    <row r="6" spans="2:56">
      <c r="AY6" s="25"/>
      <c r="AZ6" s="26" t="s">
        <v>120</v>
      </c>
      <c r="BA6" s="26" t="s">
        <v>121</v>
      </c>
      <c r="BB6" s="26" t="s">
        <v>122</v>
      </c>
      <c r="BC6" s="26" t="s">
        <v>119</v>
      </c>
      <c r="BD6" s="16"/>
    </row>
    <row r="7" spans="2:56">
      <c r="AY7" s="27" t="s">
        <v>203</v>
      </c>
      <c r="AZ7" s="28">
        <f>'2a. % By Priority'!G6</f>
        <v>0.90666666666666673</v>
      </c>
      <c r="BA7" s="28">
        <f>'2a. % By Priority'!N6</f>
        <v>0.91764705882352937</v>
      </c>
      <c r="BB7" s="28">
        <f>'2a. % By Priority'!U6</f>
        <v>0.90322580645161299</v>
      </c>
      <c r="BC7" s="28">
        <f>'2a. % By Priority'!AB6</f>
        <v>0.88297872340425532</v>
      </c>
      <c r="BD7" s="16"/>
    </row>
    <row r="8" spans="2:56">
      <c r="L8" s="20"/>
      <c r="M8" s="20"/>
      <c r="AY8" s="27" t="s">
        <v>204</v>
      </c>
      <c r="AZ8" s="28">
        <f>'2a. % By Priority'!G9</f>
        <v>5.3333333333333337E-2</v>
      </c>
      <c r="BA8" s="28">
        <f>'2a. % By Priority'!N9</f>
        <v>4.7058823529411764E-2</v>
      </c>
      <c r="BB8" s="28">
        <f>'2a. % By Priority'!U9</f>
        <v>3.2258064516129031E-2</v>
      </c>
      <c r="BC8" s="28">
        <f>'2a. % By Priority'!AB9</f>
        <v>4.2553191489361701E-2</v>
      </c>
      <c r="BD8" s="16"/>
    </row>
    <row r="9" spans="2:56">
      <c r="L9" s="20"/>
      <c r="M9" s="20"/>
      <c r="AY9" s="27" t="s">
        <v>205</v>
      </c>
      <c r="AZ9" s="28">
        <f>'2a. % By Priority'!G13</f>
        <v>0.04</v>
      </c>
      <c r="BA9" s="28">
        <f>'2a. % By Priority'!N13</f>
        <v>3.5294117647058823E-2</v>
      </c>
      <c r="BB9" s="28">
        <f>'2a. % By Priority'!U13</f>
        <v>6.4516129032258063E-2</v>
      </c>
      <c r="BC9" s="28">
        <f>'2a. % By Priority'!AB13</f>
        <v>7.4468085106382975E-2</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194</v>
      </c>
      <c r="W20" s="17" t="s">
        <v>194</v>
      </c>
      <c r="AF20" s="17" t="s">
        <v>194</v>
      </c>
      <c r="AO20" s="17" t="s">
        <v>194</v>
      </c>
      <c r="AY20" s="33"/>
      <c r="AZ20" s="24"/>
      <c r="BA20" s="24"/>
      <c r="BB20" s="24"/>
      <c r="BC20" s="24"/>
      <c r="BD20" s="16"/>
    </row>
    <row r="21" spans="12:56">
      <c r="AY21" s="23" t="s">
        <v>197</v>
      </c>
      <c r="AZ21" s="24"/>
      <c r="BA21" s="24"/>
      <c r="BB21" s="24"/>
      <c r="BC21" s="24"/>
      <c r="BD21" s="16"/>
    </row>
    <row r="22" spans="12:56">
      <c r="AY22" s="25"/>
      <c r="AZ22" s="26" t="s">
        <v>120</v>
      </c>
      <c r="BA22" s="26" t="s">
        <v>121</v>
      </c>
      <c r="BB22" s="26" t="s">
        <v>122</v>
      </c>
      <c r="BC22" s="26" t="s">
        <v>119</v>
      </c>
      <c r="BD22" s="16"/>
    </row>
    <row r="23" spans="12:56">
      <c r="AY23" s="27" t="s">
        <v>203</v>
      </c>
      <c r="AZ23" s="28">
        <f>'2a. % By Priority'!G28</f>
        <v>0.86486486486486491</v>
      </c>
      <c r="BA23" s="28">
        <f>'2a. % By Priority'!N28</f>
        <v>0.87804878048780488</v>
      </c>
      <c r="BB23" s="28">
        <f>'2a. % By Priority'!U28</f>
        <v>0.82978723404255317</v>
      </c>
      <c r="BC23" s="28">
        <f>'2a. % By Priority'!AB28</f>
        <v>0.85416666666666663</v>
      </c>
      <c r="BD23" s="16"/>
    </row>
    <row r="24" spans="12:56">
      <c r="L24" s="20"/>
      <c r="M24" s="20"/>
      <c r="AY24" s="27" t="s">
        <v>204</v>
      </c>
      <c r="AZ24" s="28">
        <f>'2a. % By Priority'!G31</f>
        <v>5.4054054054054057E-2</v>
      </c>
      <c r="BA24" s="28">
        <f>'2a. % By Priority'!N31</f>
        <v>4.878048780487805E-2</v>
      </c>
      <c r="BB24" s="28">
        <f>'2a. % By Priority'!U31</f>
        <v>6.3829787234042548E-2</v>
      </c>
      <c r="BC24" s="28">
        <f>'2a. % By Priority'!AB31</f>
        <v>2.0833333333333332E-2</v>
      </c>
      <c r="BD24" s="16"/>
    </row>
    <row r="25" spans="12:56">
      <c r="L25" s="20"/>
      <c r="M25" s="20"/>
      <c r="AY25" s="27" t="s">
        <v>205</v>
      </c>
      <c r="AZ25" s="28">
        <f>'2a. % By Priority'!G35</f>
        <v>8.1081081081081086E-2</v>
      </c>
      <c r="BA25" s="28">
        <f>'2a. % By Priority'!N35</f>
        <v>7.3170731707317083E-2</v>
      </c>
      <c r="BB25" s="28">
        <f>'2a. % By Priority'!U35</f>
        <v>0.10638297872340424</v>
      </c>
      <c r="BC25" s="28">
        <f>'2a. % By Priority'!AB35</f>
        <v>0.125</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194</v>
      </c>
      <c r="W36" s="17" t="s">
        <v>194</v>
      </c>
      <c r="AF36" s="17" t="s">
        <v>194</v>
      </c>
      <c r="AO36" s="17" t="s">
        <v>194</v>
      </c>
      <c r="AY36" s="33"/>
      <c r="AZ36" s="24"/>
      <c r="BA36" s="24"/>
      <c r="BB36" s="24"/>
      <c r="BC36" s="24"/>
      <c r="BD36" s="16"/>
    </row>
    <row r="37" spans="11:56">
      <c r="AY37" s="23" t="s">
        <v>198</v>
      </c>
      <c r="AZ37" s="34"/>
      <c r="BA37" s="34"/>
      <c r="BB37" s="34"/>
      <c r="BC37" s="34"/>
      <c r="BD37" s="22"/>
    </row>
    <row r="38" spans="11:56">
      <c r="AY38" s="35"/>
      <c r="AZ38" s="26" t="s">
        <v>120</v>
      </c>
      <c r="BA38" s="26" t="s">
        <v>121</v>
      </c>
      <c r="BB38" s="26" t="s">
        <v>122</v>
      </c>
      <c r="BC38" s="26" t="s">
        <v>119</v>
      </c>
      <c r="BD38" s="22"/>
    </row>
    <row r="39" spans="11:56">
      <c r="AY39" s="27" t="s">
        <v>203</v>
      </c>
      <c r="AZ39" s="28">
        <f>'2a. % By Priority'!G50</f>
        <v>0.94117647058823528</v>
      </c>
      <c r="BA39" s="28">
        <f>'2a. % By Priority'!N50</f>
        <v>0.95000000000000007</v>
      </c>
      <c r="BB39" s="28">
        <f>'2a. % By Priority'!U50</f>
        <v>1</v>
      </c>
      <c r="BC39" s="28">
        <f>'2a. % By Priority'!AB50</f>
        <v>0.95454545454545459</v>
      </c>
      <c r="BD39" s="22"/>
    </row>
    <row r="40" spans="11:56">
      <c r="K40" s="20"/>
      <c r="L40" s="20"/>
      <c r="AY40" s="27" t="s">
        <v>204</v>
      </c>
      <c r="AZ40" s="28">
        <f>'2a. % By Priority'!G53</f>
        <v>5.8823529411764705E-2</v>
      </c>
      <c r="BA40" s="28">
        <f>'2a. % By Priority'!N53</f>
        <v>0.05</v>
      </c>
      <c r="BB40" s="28">
        <f>'2a. % By Priority'!U53</f>
        <v>0</v>
      </c>
      <c r="BC40" s="28">
        <f>'2a. % By Priority'!AB53</f>
        <v>4.5454545454545456E-2</v>
      </c>
      <c r="BD40" s="22"/>
    </row>
    <row r="41" spans="11:56">
      <c r="K41" s="20"/>
      <c r="L41" s="20"/>
      <c r="AY41" s="27" t="s">
        <v>205</v>
      </c>
      <c r="AZ41" s="28">
        <f>'2a. % By Priority'!G57</f>
        <v>0</v>
      </c>
      <c r="BA41" s="28">
        <f>'2a. % By Priority'!N57</f>
        <v>0</v>
      </c>
      <c r="BB41" s="28">
        <f>'2a. % By Priority'!U57</f>
        <v>0</v>
      </c>
      <c r="BC41" s="28">
        <f>'2a. % By Priority'!AB57</f>
        <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194</v>
      </c>
      <c r="W52" s="17" t="s">
        <v>194</v>
      </c>
      <c r="AF52" s="17" t="s">
        <v>194</v>
      </c>
      <c r="AP52" s="17" t="s">
        <v>194</v>
      </c>
      <c r="AY52" s="33"/>
      <c r="AZ52" s="24"/>
      <c r="BA52" s="24"/>
      <c r="BB52" s="24"/>
      <c r="BC52" s="24"/>
      <c r="BD52" s="16"/>
    </row>
    <row r="53" spans="12:56">
      <c r="AY53" s="23" t="s">
        <v>199</v>
      </c>
      <c r="AZ53" s="34"/>
      <c r="BA53" s="34"/>
      <c r="BB53" s="34"/>
      <c r="BC53" s="34"/>
      <c r="BD53" s="16"/>
    </row>
    <row r="54" spans="12:56">
      <c r="AY54" s="35"/>
      <c r="AZ54" s="26" t="s">
        <v>120</v>
      </c>
      <c r="BA54" s="26" t="s">
        <v>121</v>
      </c>
      <c r="BB54" s="26" t="s">
        <v>122</v>
      </c>
      <c r="BC54" s="26" t="s">
        <v>119</v>
      </c>
      <c r="BD54" s="16"/>
    </row>
    <row r="55" spans="12:56">
      <c r="AY55" s="27" t="s">
        <v>203</v>
      </c>
      <c r="AZ55" s="28">
        <f>'2a. % By Priority'!G72</f>
        <v>0.95238095238095233</v>
      </c>
      <c r="BA55" s="28">
        <f>'2a. % By Priority'!N72</f>
        <v>0.95833333333333337</v>
      </c>
      <c r="BB55" s="28">
        <f>'2a. % By Priority'!U72</f>
        <v>0.95833333333333326</v>
      </c>
      <c r="BC55" s="28">
        <f>'2a. % By Priority'!AB72</f>
        <v>0.875</v>
      </c>
      <c r="BD55" s="16"/>
    </row>
    <row r="56" spans="12:56">
      <c r="L56" s="20"/>
      <c r="M56" s="20"/>
      <c r="AY56" s="27" t="s">
        <v>204</v>
      </c>
      <c r="AZ56" s="28">
        <f>'2a. % By Priority'!G75</f>
        <v>4.7619047619047616E-2</v>
      </c>
      <c r="BA56" s="28">
        <f>'2a. % By Priority'!N75</f>
        <v>4.1666666666666664E-2</v>
      </c>
      <c r="BB56" s="28">
        <f>'2a. % By Priority'!U75</f>
        <v>0</v>
      </c>
      <c r="BC56" s="28">
        <f>'2a. % By Priority'!AB75</f>
        <v>8.3333333333333329E-2</v>
      </c>
      <c r="BD56" s="16"/>
    </row>
    <row r="57" spans="12:56">
      <c r="L57" s="20"/>
      <c r="M57" s="20"/>
      <c r="AY57" s="27" t="s">
        <v>205</v>
      </c>
      <c r="AZ57" s="28">
        <f>'2a. % By Priority'!G79</f>
        <v>0</v>
      </c>
      <c r="BA57" s="28">
        <f>'2a. % By Priority'!N79</f>
        <v>0</v>
      </c>
      <c r="BB57" s="28">
        <f>'2a. % By Priority'!U79</f>
        <v>4.1666666666666664E-2</v>
      </c>
      <c r="BC57" s="28">
        <f>'2a. % By Priority'!AB79</f>
        <v>4.1666666666666664E-2</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17"/>
  <sheetViews>
    <sheetView topLeftCell="V91" zoomScale="80" zoomScaleNormal="80" workbookViewId="0">
      <selection activeCell="Y102" sqref="Y102"/>
    </sheetView>
  </sheetViews>
  <sheetFormatPr defaultColWidth="9.109375" defaultRowHeight="13.8"/>
  <cols>
    <col min="1" max="1" width="3.44140625" style="216" customWidth="1"/>
    <col min="2" max="2" width="38.88671875" style="216" customWidth="1"/>
    <col min="3" max="3" width="13.6640625" style="213" customWidth="1"/>
    <col min="4" max="4" width="13.88671875" style="213" customWidth="1"/>
    <col min="5" max="5" width="16.33203125" style="213" customWidth="1"/>
    <col min="6" max="6" width="14.109375" style="216" customWidth="1"/>
    <col min="7" max="7" width="17.109375" style="213" customWidth="1"/>
    <col min="8" max="8" width="4.6640625" style="216" customWidth="1"/>
    <col min="9" max="9" width="38.88671875" style="216" customWidth="1"/>
    <col min="10" max="10" width="13.6640625" style="213" customWidth="1"/>
    <col min="11" max="11" width="13.88671875" style="213" customWidth="1"/>
    <col min="12" max="12" width="16.33203125" style="213" customWidth="1"/>
    <col min="13" max="13" width="14.109375" style="216" customWidth="1"/>
    <col min="14" max="14" width="17.109375" style="213" customWidth="1"/>
    <col min="15" max="15" width="4.6640625" style="216" customWidth="1"/>
    <col min="16" max="16" width="38.88671875" style="216" customWidth="1"/>
    <col min="17" max="17" width="13.6640625" style="213" customWidth="1"/>
    <col min="18" max="18" width="13.88671875" style="213" customWidth="1"/>
    <col min="19" max="19" width="16.33203125" style="213" customWidth="1"/>
    <col min="20" max="20" width="14.109375" style="216" customWidth="1"/>
    <col min="21" max="21" width="17.109375" style="213" customWidth="1"/>
    <col min="22" max="22" width="4.6640625" style="216" customWidth="1"/>
    <col min="23" max="23" width="55.33203125" style="213" customWidth="1"/>
    <col min="24" max="24" width="14.5546875" style="213" customWidth="1"/>
    <col min="25" max="27" width="17.109375" style="213" customWidth="1"/>
    <col min="28" max="28" width="17.109375" style="253" customWidth="1"/>
    <col min="29" max="29" width="9.109375" style="216" customWidth="1"/>
    <col min="30" max="16384" width="9.109375" style="216"/>
  </cols>
  <sheetData>
    <row r="1" spans="2:28" s="210" customFormat="1" ht="21">
      <c r="B1" s="269" t="s">
        <v>536</v>
      </c>
      <c r="C1" s="270"/>
      <c r="D1" s="271"/>
      <c r="E1" s="271"/>
      <c r="F1" s="272"/>
      <c r="G1" s="271"/>
      <c r="I1" s="269" t="s">
        <v>537</v>
      </c>
      <c r="J1" s="270"/>
      <c r="K1" s="271"/>
      <c r="L1" s="271"/>
      <c r="M1" s="272"/>
      <c r="N1" s="271"/>
      <c r="P1" s="269" t="s">
        <v>538</v>
      </c>
      <c r="Q1" s="270"/>
      <c r="R1" s="271"/>
      <c r="S1" s="271"/>
      <c r="T1" s="272"/>
      <c r="U1" s="271"/>
      <c r="W1" s="273" t="s">
        <v>539</v>
      </c>
      <c r="X1" s="274"/>
      <c r="Y1" s="274"/>
      <c r="Z1" s="274"/>
      <c r="AA1" s="274"/>
      <c r="AB1" s="275"/>
    </row>
    <row r="2" spans="2:28" ht="15.6">
      <c r="B2" s="211"/>
      <c r="C2" s="212"/>
      <c r="D2" s="212"/>
      <c r="E2" s="212"/>
      <c r="F2" s="211"/>
      <c r="G2" s="212"/>
      <c r="I2" s="211"/>
      <c r="J2" s="212"/>
      <c r="K2" s="212"/>
      <c r="L2" s="212"/>
      <c r="M2" s="211"/>
      <c r="N2" s="212"/>
      <c r="P2" s="211"/>
      <c r="Q2" s="212"/>
      <c r="R2" s="212"/>
      <c r="S2" s="212"/>
      <c r="T2" s="211"/>
      <c r="U2" s="212"/>
      <c r="W2" s="214"/>
      <c r="X2" s="214"/>
      <c r="Y2" s="214"/>
      <c r="Z2" s="214"/>
      <c r="AA2" s="214"/>
      <c r="AB2" s="215"/>
    </row>
    <row r="3" spans="2:28" s="227" customFormat="1" ht="15.6">
      <c r="B3" s="276" t="s">
        <v>216</v>
      </c>
      <c r="C3" s="277"/>
      <c r="D3" s="277"/>
      <c r="E3" s="277"/>
      <c r="F3" s="278"/>
      <c r="G3" s="277"/>
      <c r="I3" s="276" t="s">
        <v>216</v>
      </c>
      <c r="J3" s="277"/>
      <c r="K3" s="277"/>
      <c r="L3" s="277"/>
      <c r="M3" s="278"/>
      <c r="N3" s="277"/>
      <c r="P3" s="276" t="s">
        <v>216</v>
      </c>
      <c r="Q3" s="277"/>
      <c r="R3" s="277"/>
      <c r="S3" s="277"/>
      <c r="T3" s="278"/>
      <c r="U3" s="277"/>
      <c r="W3" s="276" t="s">
        <v>216</v>
      </c>
      <c r="X3" s="277"/>
      <c r="Y3" s="277"/>
      <c r="Z3" s="277"/>
      <c r="AA3" s="278"/>
      <c r="AB3" s="277"/>
    </row>
    <row r="4" spans="2:28" ht="42" customHeight="1">
      <c r="B4" s="279" t="s">
        <v>186</v>
      </c>
      <c r="C4" s="280" t="s">
        <v>187</v>
      </c>
      <c r="D4" s="280" t="s">
        <v>188</v>
      </c>
      <c r="E4" s="280" t="s">
        <v>189</v>
      </c>
      <c r="F4" s="279" t="s">
        <v>190</v>
      </c>
      <c r="G4" s="280" t="s">
        <v>191</v>
      </c>
      <c r="I4" s="279" t="s">
        <v>186</v>
      </c>
      <c r="J4" s="280" t="s">
        <v>187</v>
      </c>
      <c r="K4" s="280" t="s">
        <v>188</v>
      </c>
      <c r="L4" s="280" t="s">
        <v>189</v>
      </c>
      <c r="M4" s="279" t="s">
        <v>190</v>
      </c>
      <c r="N4" s="280" t="s">
        <v>191</v>
      </c>
      <c r="P4" s="279" t="s">
        <v>186</v>
      </c>
      <c r="Q4" s="280" t="s">
        <v>187</v>
      </c>
      <c r="R4" s="280" t="s">
        <v>188</v>
      </c>
      <c r="S4" s="280" t="s">
        <v>189</v>
      </c>
      <c r="T4" s="279" t="s">
        <v>190</v>
      </c>
      <c r="U4" s="280" t="s">
        <v>191</v>
      </c>
      <c r="W4" s="223" t="s">
        <v>186</v>
      </c>
      <c r="X4" s="223" t="s">
        <v>187</v>
      </c>
      <c r="Y4" s="223" t="s">
        <v>188</v>
      </c>
      <c r="Z4" s="223" t="s">
        <v>189</v>
      </c>
      <c r="AA4" s="223" t="s">
        <v>190</v>
      </c>
      <c r="AB4" s="223" t="s">
        <v>191</v>
      </c>
    </row>
    <row r="5" spans="2:28" s="227" customFormat="1" ht="6" customHeight="1">
      <c r="B5" s="224"/>
      <c r="C5" s="225"/>
      <c r="D5" s="225"/>
      <c r="E5" s="225"/>
      <c r="F5" s="224"/>
      <c r="G5" s="225"/>
      <c r="I5" s="224"/>
      <c r="J5" s="225"/>
      <c r="K5" s="225"/>
      <c r="L5" s="225"/>
      <c r="M5" s="224"/>
      <c r="N5" s="225"/>
      <c r="P5" s="224"/>
      <c r="Q5" s="225"/>
      <c r="R5" s="225"/>
      <c r="S5" s="225"/>
      <c r="T5" s="224"/>
      <c r="U5" s="225"/>
      <c r="W5" s="224"/>
      <c r="X5" s="225"/>
      <c r="Y5" s="225"/>
      <c r="Z5" s="225"/>
      <c r="AA5" s="225"/>
      <c r="AB5" s="225"/>
    </row>
    <row r="6" spans="2:28" ht="21.75" customHeight="1">
      <c r="B6" s="281" t="s">
        <v>192</v>
      </c>
      <c r="C6" s="282">
        <f>COUNTIFS('1. All Data'!$AB$3:$AB$129,"LEADER",'1. All Data'!$H$3:$H$129,"Fully Achieved")</f>
        <v>1</v>
      </c>
      <c r="D6" s="283">
        <f>C6/C20</f>
        <v>4.3478260869565216E-2</v>
      </c>
      <c r="E6" s="423">
        <f>D6+D7</f>
        <v>0.47826086956521741</v>
      </c>
      <c r="F6" s="284">
        <f>C6/C21</f>
        <v>7.6923076923076927E-2</v>
      </c>
      <c r="G6" s="439">
        <f>F6+F7</f>
        <v>0.84615384615384626</v>
      </c>
      <c r="I6" s="281" t="s">
        <v>192</v>
      </c>
      <c r="J6" s="282">
        <f>COUNTIFS('1. All Data'!$AB$3:$AB$129,"LEADER",'1. All Data'!$M$3:$M$129,"Fully Achieved")</f>
        <v>3</v>
      </c>
      <c r="K6" s="283">
        <f>J6/J20</f>
        <v>0.13043478260869565</v>
      </c>
      <c r="L6" s="423">
        <f>K6+K7</f>
        <v>0.56521739130434778</v>
      </c>
      <c r="M6" s="284">
        <f>J6/J21</f>
        <v>0.2</v>
      </c>
      <c r="N6" s="439">
        <f>M6+M7</f>
        <v>0.8666666666666667</v>
      </c>
      <c r="P6" s="281" t="s">
        <v>192</v>
      </c>
      <c r="Q6" s="282">
        <f>COUNTIFS('1. All Data'!$AB$3:$AB$129,"LEADER",'1. All Data'!$R$3:$R$129,"Fully Achieved")</f>
        <v>6</v>
      </c>
      <c r="R6" s="283">
        <f>Q6/Q20</f>
        <v>0.2608695652173913</v>
      </c>
      <c r="S6" s="423">
        <f>R6+R7</f>
        <v>0.69565217391304346</v>
      </c>
      <c r="T6" s="284">
        <f>Q6/Q21</f>
        <v>0.31578947368421051</v>
      </c>
      <c r="U6" s="439">
        <f>T6+T7</f>
        <v>0.84210526315789469</v>
      </c>
      <c r="W6" s="228" t="s">
        <v>192</v>
      </c>
      <c r="X6" s="282">
        <f>COUNTIFS('1. All Data'!$AB$3:$AB$129,"LEADER",'1. All Data'!$V$3:$V$129,"Fully Achieved")</f>
        <v>15</v>
      </c>
      <c r="Y6" s="283">
        <f>X6/X20</f>
        <v>0.65217391304347827</v>
      </c>
      <c r="Z6" s="423">
        <f>Y6+Y7</f>
        <v>0.65217391304347827</v>
      </c>
      <c r="AA6" s="283">
        <f>X6/X21</f>
        <v>0.78947368421052633</v>
      </c>
      <c r="AB6" s="398">
        <f>AA6+AA7</f>
        <v>0.78947368421052633</v>
      </c>
    </row>
    <row r="7" spans="2:28" ht="18.75" customHeight="1">
      <c r="B7" s="281" t="s">
        <v>169</v>
      </c>
      <c r="C7" s="282">
        <f>COUNTIFS('1. All Data'!$AB$3:$AB$129,"LEADER",'1. All Data'!$H$3:$H$129,"On Track to be Achieved")</f>
        <v>10</v>
      </c>
      <c r="D7" s="283">
        <f>C7/C20</f>
        <v>0.43478260869565216</v>
      </c>
      <c r="E7" s="423"/>
      <c r="F7" s="284">
        <f>C7/C21</f>
        <v>0.76923076923076927</v>
      </c>
      <c r="G7" s="439"/>
      <c r="I7" s="281" t="s">
        <v>169</v>
      </c>
      <c r="J7" s="282">
        <f>COUNTIFS('1. All Data'!$AB$3:$AB$129,"LEADER",'1. All Data'!$M$3:$M$129,"On Track to be Achieved")</f>
        <v>10</v>
      </c>
      <c r="K7" s="283">
        <f>J7/J20</f>
        <v>0.43478260869565216</v>
      </c>
      <c r="L7" s="423"/>
      <c r="M7" s="284">
        <f>J7/J21</f>
        <v>0.66666666666666663</v>
      </c>
      <c r="N7" s="439"/>
      <c r="P7" s="281" t="s">
        <v>169</v>
      </c>
      <c r="Q7" s="282">
        <f>COUNTIFS('1. All Data'!$AB$3:$AB$129,"LEADER",'1. All Data'!$R$3:$R$129,"On Track to be Achieved")</f>
        <v>10</v>
      </c>
      <c r="R7" s="283">
        <f>Q7/Q20</f>
        <v>0.43478260869565216</v>
      </c>
      <c r="S7" s="423"/>
      <c r="T7" s="284">
        <f>Q7/Q21</f>
        <v>0.52631578947368418</v>
      </c>
      <c r="U7" s="439"/>
      <c r="W7" s="228" t="s">
        <v>161</v>
      </c>
      <c r="X7" s="282">
        <f>COUNTIFS('1. All Data'!$AB$3:$AB$129,"LEADER",'1. All Data'!$V$3:$V$129,"Numerical Outturn Within 5% Tolerance")</f>
        <v>0</v>
      </c>
      <c r="Y7" s="283">
        <f>X7/X20</f>
        <v>0</v>
      </c>
      <c r="Z7" s="423"/>
      <c r="AA7" s="283">
        <f>X7/X21</f>
        <v>0</v>
      </c>
      <c r="AB7" s="398"/>
    </row>
    <row r="8" spans="2:28" s="227" customFormat="1" ht="6" customHeight="1">
      <c r="B8" s="224"/>
      <c r="C8" s="242"/>
      <c r="D8" s="239"/>
      <c r="E8" s="239"/>
      <c r="F8" s="285"/>
      <c r="G8" s="240"/>
      <c r="I8" s="224"/>
      <c r="J8" s="242"/>
      <c r="K8" s="239"/>
      <c r="L8" s="239"/>
      <c r="M8" s="285"/>
      <c r="N8" s="240"/>
      <c r="P8" s="224"/>
      <c r="Q8" s="242"/>
      <c r="R8" s="239"/>
      <c r="S8" s="239"/>
      <c r="T8" s="285"/>
      <c r="U8" s="240"/>
      <c r="W8" s="231"/>
      <c r="X8" s="232"/>
      <c r="Y8" s="233"/>
      <c r="Z8" s="233"/>
      <c r="AA8" s="233"/>
      <c r="AB8" s="234"/>
    </row>
    <row r="9" spans="2:28" ht="21" customHeight="1">
      <c r="B9" s="424" t="s">
        <v>170</v>
      </c>
      <c r="C9" s="427">
        <f>COUNTIFS('1. All Data'!$AB$3:$AB$129,"LEADER",'1. All Data'!$H$3:$H$129,"In Danger of Falling Behind Target")</f>
        <v>0</v>
      </c>
      <c r="D9" s="430">
        <f>C9/C20</f>
        <v>0</v>
      </c>
      <c r="E9" s="430">
        <f>D9</f>
        <v>0</v>
      </c>
      <c r="F9" s="433">
        <f>C9/C21</f>
        <v>0</v>
      </c>
      <c r="G9" s="436">
        <f>F9</f>
        <v>0</v>
      </c>
      <c r="I9" s="424" t="s">
        <v>170</v>
      </c>
      <c r="J9" s="427">
        <f>COUNTIFS('1. All Data'!$AB$3:$AB$129,"LEADER",'1. All Data'!$M$3:$M$129,"In Danger of Falling Behind Target")</f>
        <v>0</v>
      </c>
      <c r="K9" s="430">
        <f>J9/J20</f>
        <v>0</v>
      </c>
      <c r="L9" s="430">
        <f>K9</f>
        <v>0</v>
      </c>
      <c r="M9" s="433">
        <f>J9/J21</f>
        <v>0</v>
      </c>
      <c r="N9" s="436">
        <f>M9</f>
        <v>0</v>
      </c>
      <c r="P9" s="424" t="s">
        <v>170</v>
      </c>
      <c r="Q9" s="427">
        <f>COUNTIFS('1. All Data'!$AB$3:$AB$129,"LEADER",'1. All Data'!$R$3:$R$129,"In Danger of Falling Behind Target")</f>
        <v>0</v>
      </c>
      <c r="R9" s="430">
        <f>Q9/Q20</f>
        <v>0</v>
      </c>
      <c r="S9" s="430">
        <f>R9</f>
        <v>0</v>
      </c>
      <c r="T9" s="433">
        <f>Q9/Q21</f>
        <v>0</v>
      </c>
      <c r="U9" s="436">
        <f>T9</f>
        <v>0</v>
      </c>
      <c r="W9" s="237" t="s">
        <v>162</v>
      </c>
      <c r="X9" s="238">
        <f>COUNTIFS('1. All Data'!$AB$3:$AB$129,"LEADER",'1. All Data'!$V$3:$V$129,"Numerical Outturn Within 10% Tolerance")</f>
        <v>0</v>
      </c>
      <c r="Y9" s="230">
        <f>X9/$X$20</f>
        <v>0</v>
      </c>
      <c r="Z9" s="399">
        <f>SUM(Y9:Y11)</f>
        <v>4.3478260869565216E-2</v>
      </c>
      <c r="AA9" s="230">
        <f>X9/$X$21</f>
        <v>0</v>
      </c>
      <c r="AB9" s="412">
        <f>SUM(AA9:AA11)</f>
        <v>5.2631578947368418E-2</v>
      </c>
    </row>
    <row r="10" spans="2:28" ht="20.25" customHeight="1">
      <c r="B10" s="425"/>
      <c r="C10" s="428"/>
      <c r="D10" s="431"/>
      <c r="E10" s="431"/>
      <c r="F10" s="434"/>
      <c r="G10" s="437"/>
      <c r="I10" s="425"/>
      <c r="J10" s="428"/>
      <c r="K10" s="431"/>
      <c r="L10" s="431"/>
      <c r="M10" s="434"/>
      <c r="N10" s="437"/>
      <c r="P10" s="425"/>
      <c r="Q10" s="428"/>
      <c r="R10" s="431"/>
      <c r="S10" s="431"/>
      <c r="T10" s="434"/>
      <c r="U10" s="437"/>
      <c r="W10" s="237" t="s">
        <v>163</v>
      </c>
      <c r="X10" s="238">
        <f>COUNTIFS('1. All Data'!$AB$3:$AB$129,"LEADER",'1. All Data'!$V$3:$V$129,"Target Partially Met")</f>
        <v>1</v>
      </c>
      <c r="Y10" s="230">
        <f>X10/$X$20</f>
        <v>4.3478260869565216E-2</v>
      </c>
      <c r="Z10" s="399"/>
      <c r="AA10" s="230">
        <f>X10/$X$21</f>
        <v>5.2631578947368418E-2</v>
      </c>
      <c r="AB10" s="412"/>
    </row>
    <row r="11" spans="2:28" ht="18.75" customHeight="1">
      <c r="B11" s="426"/>
      <c r="C11" s="429"/>
      <c r="D11" s="432"/>
      <c r="E11" s="432"/>
      <c r="F11" s="435"/>
      <c r="G11" s="438"/>
      <c r="I11" s="426"/>
      <c r="J11" s="429"/>
      <c r="K11" s="432"/>
      <c r="L11" s="432"/>
      <c r="M11" s="435"/>
      <c r="N11" s="438"/>
      <c r="P11" s="426"/>
      <c r="Q11" s="429"/>
      <c r="R11" s="432"/>
      <c r="S11" s="432"/>
      <c r="T11" s="435"/>
      <c r="U11" s="438"/>
      <c r="W11" s="237" t="s">
        <v>166</v>
      </c>
      <c r="X11" s="238">
        <f>COUNTIFS('1. All Data'!$AB$3:$AB$129,"LEADER",'1. All Data'!$V$3:$V$129,"Completion Date Within Reasonable Tolerance")</f>
        <v>0</v>
      </c>
      <c r="Y11" s="230">
        <f>X11/$X$20</f>
        <v>0</v>
      </c>
      <c r="Z11" s="399"/>
      <c r="AA11" s="230">
        <f>X11/$X$21</f>
        <v>0</v>
      </c>
      <c r="AB11" s="412"/>
    </row>
    <row r="12" spans="2:28" s="227" customFormat="1" ht="6" customHeight="1">
      <c r="B12" s="224"/>
      <c r="C12" s="225"/>
      <c r="D12" s="239"/>
      <c r="E12" s="239"/>
      <c r="F12" s="285"/>
      <c r="G12" s="240"/>
      <c r="I12" s="224"/>
      <c r="J12" s="225"/>
      <c r="K12" s="239"/>
      <c r="L12" s="239"/>
      <c r="M12" s="285"/>
      <c r="N12" s="240"/>
      <c r="P12" s="224"/>
      <c r="Q12" s="225"/>
      <c r="R12" s="239"/>
      <c r="S12" s="239"/>
      <c r="T12" s="285"/>
      <c r="U12" s="240"/>
      <c r="W12" s="224"/>
      <c r="X12" s="225"/>
      <c r="Y12" s="239"/>
      <c r="Z12" s="239"/>
      <c r="AA12" s="239"/>
      <c r="AB12" s="240"/>
    </row>
    <row r="13" spans="2:28" ht="20.25" customHeight="1">
      <c r="B13" s="287" t="s">
        <v>171</v>
      </c>
      <c r="C13" s="282">
        <f>COUNTIFS('1. All Data'!$AB$3:$AB$129,"LEADER",'1. All Data'!$H$3:$H$129,"Completed Behind Schedule")</f>
        <v>0</v>
      </c>
      <c r="D13" s="283">
        <f>C13/C20</f>
        <v>0</v>
      </c>
      <c r="E13" s="423">
        <f>D13+D14</f>
        <v>8.6956521739130432E-2</v>
      </c>
      <c r="F13" s="284">
        <f>C13/C21</f>
        <v>0</v>
      </c>
      <c r="G13" s="440">
        <f>F13+F14</f>
        <v>0.15384615384615385</v>
      </c>
      <c r="I13" s="287" t="s">
        <v>171</v>
      </c>
      <c r="J13" s="282">
        <f>COUNTIFS('1. All Data'!$AB$3:$AB$129,"LEADER",'1. All Data'!$M$3:$M$129,"Completed Behind Schedule")</f>
        <v>1</v>
      </c>
      <c r="K13" s="283">
        <f>J13/J20</f>
        <v>4.3478260869565216E-2</v>
      </c>
      <c r="L13" s="423">
        <f>K13+K14</f>
        <v>8.6956521739130432E-2</v>
      </c>
      <c r="M13" s="284">
        <f>J13/J21</f>
        <v>6.6666666666666666E-2</v>
      </c>
      <c r="N13" s="440">
        <f>M13+M14</f>
        <v>0.13333333333333333</v>
      </c>
      <c r="P13" s="287" t="s">
        <v>171</v>
      </c>
      <c r="Q13" s="282">
        <f>COUNTIFS('1. All Data'!$AB$3:$AB$129,"LEADER",'1. All Data'!$R$3:$R$129,"Completed Behind Schedule")</f>
        <v>1</v>
      </c>
      <c r="R13" s="283">
        <f>Q13/Q20</f>
        <v>4.3478260869565216E-2</v>
      </c>
      <c r="S13" s="423">
        <f>R13+R14</f>
        <v>0.13043478260869565</v>
      </c>
      <c r="T13" s="284">
        <f>Q13/Q21</f>
        <v>5.2631578947368418E-2</v>
      </c>
      <c r="U13" s="440">
        <f>T13+T14</f>
        <v>0.15789473684210525</v>
      </c>
      <c r="W13" s="241" t="s">
        <v>165</v>
      </c>
      <c r="X13" s="282">
        <f>COUNTIFS('1. All Data'!$AB$3:$AB$129,"LEADER",'1. All Data'!$V$3:$V$129,"Completed Significantly After Target Deadline")</f>
        <v>1</v>
      </c>
      <c r="Y13" s="283">
        <f>X13/X20</f>
        <v>4.3478260869565216E-2</v>
      </c>
      <c r="Z13" s="423">
        <f>Y13+Y14</f>
        <v>0.13043478260869565</v>
      </c>
      <c r="AA13" s="230">
        <f>X13/$X$21</f>
        <v>5.2631578947368418E-2</v>
      </c>
      <c r="AB13" s="413">
        <f>AA13+AA14</f>
        <v>0.15789473684210525</v>
      </c>
    </row>
    <row r="14" spans="2:28" ht="20.25" customHeight="1">
      <c r="B14" s="287" t="s">
        <v>164</v>
      </c>
      <c r="C14" s="282">
        <f>COUNTIFS('1. All Data'!$AB$3:$AB$129,"LEADER",'1. All Data'!$H$3:$H$129,"Off Target")</f>
        <v>2</v>
      </c>
      <c r="D14" s="283">
        <f>C14/C20</f>
        <v>8.6956521739130432E-2</v>
      </c>
      <c r="E14" s="423"/>
      <c r="F14" s="284">
        <f>C14/C21</f>
        <v>0.15384615384615385</v>
      </c>
      <c r="G14" s="440"/>
      <c r="I14" s="287" t="s">
        <v>164</v>
      </c>
      <c r="J14" s="282">
        <f>COUNTIFS('1. All Data'!$AB$3:$AB$129,"LEADER",'1. All Data'!$M$3:$M$129,"Off Target")</f>
        <v>1</v>
      </c>
      <c r="K14" s="283">
        <f>J14/J20</f>
        <v>4.3478260869565216E-2</v>
      </c>
      <c r="L14" s="423"/>
      <c r="M14" s="284">
        <f>J14/J21</f>
        <v>6.6666666666666666E-2</v>
      </c>
      <c r="N14" s="440"/>
      <c r="P14" s="287" t="s">
        <v>164</v>
      </c>
      <c r="Q14" s="282">
        <f>COUNTIFS('1. All Data'!$AB$3:$AB$129,"LEADER",'1. All Data'!$R$3:$R$129,"Off Target")</f>
        <v>2</v>
      </c>
      <c r="R14" s="283">
        <f>Q14/Q20</f>
        <v>8.6956521739130432E-2</v>
      </c>
      <c r="S14" s="423"/>
      <c r="T14" s="284">
        <f>Q14/Q21</f>
        <v>0.10526315789473684</v>
      </c>
      <c r="U14" s="440"/>
      <c r="W14" s="241" t="s">
        <v>164</v>
      </c>
      <c r="X14" s="282">
        <f>COUNTIFS('1. All Data'!$AB$3:$AB$129,"LEADER",'1. All Data'!$V$3:$V$129,"Off Target")</f>
        <v>2</v>
      </c>
      <c r="Y14" s="283">
        <f>X14/X20</f>
        <v>8.6956521739130432E-2</v>
      </c>
      <c r="Z14" s="423"/>
      <c r="AA14" s="230">
        <f>X14/$X$21</f>
        <v>0.10526315789473684</v>
      </c>
      <c r="AB14" s="413"/>
    </row>
    <row r="15" spans="2:28" s="227" customFormat="1" ht="6.75" customHeight="1">
      <c r="B15" s="224"/>
      <c r="C15" s="242"/>
      <c r="D15" s="239"/>
      <c r="E15" s="239"/>
      <c r="F15" s="285"/>
      <c r="G15" s="243"/>
      <c r="I15" s="224"/>
      <c r="J15" s="242"/>
      <c r="K15" s="239"/>
      <c r="L15" s="239"/>
      <c r="M15" s="285"/>
      <c r="N15" s="243"/>
      <c r="P15" s="224"/>
      <c r="Q15" s="242"/>
      <c r="R15" s="239"/>
      <c r="S15" s="239"/>
      <c r="T15" s="285"/>
      <c r="U15" s="243"/>
      <c r="W15" s="224"/>
      <c r="X15" s="242"/>
      <c r="Y15" s="239"/>
      <c r="Z15" s="239"/>
      <c r="AA15" s="239"/>
      <c r="AB15" s="243"/>
    </row>
    <row r="16" spans="2:28" ht="15" customHeight="1">
      <c r="B16" s="288" t="s">
        <v>193</v>
      </c>
      <c r="C16" s="282">
        <f>COUNTIFS('1. All Data'!$AB$3:$AB$129,"LEADER",'1. All Data'!$H$3:$H$129,"Not yet due")</f>
        <v>8</v>
      </c>
      <c r="D16" s="289">
        <f>C16/C20</f>
        <v>0.34782608695652173</v>
      </c>
      <c r="E16" s="289">
        <f>D16</f>
        <v>0.34782608695652173</v>
      </c>
      <c r="F16" s="290"/>
      <c r="G16" s="65"/>
      <c r="I16" s="288" t="s">
        <v>193</v>
      </c>
      <c r="J16" s="282">
        <f>COUNTIFS('1. All Data'!$AB$3:$AB$129,"LEADER",'1. All Data'!$M$3:$M$129,"Not yet due")</f>
        <v>6</v>
      </c>
      <c r="K16" s="289">
        <f>J16/J20</f>
        <v>0.2608695652173913</v>
      </c>
      <c r="L16" s="289">
        <f>K16</f>
        <v>0.2608695652173913</v>
      </c>
      <c r="M16" s="290"/>
      <c r="N16" s="65"/>
      <c r="P16" s="288" t="s">
        <v>193</v>
      </c>
      <c r="Q16" s="282">
        <f>COUNTIFS('1. All Data'!$AB$3:$AB$129,"LEADER",'1. All Data'!$R$3:$R$129,"Not yet due")</f>
        <v>2</v>
      </c>
      <c r="R16" s="289">
        <f>Q16/Q20</f>
        <v>8.6956521739130432E-2</v>
      </c>
      <c r="S16" s="289">
        <f>R16</f>
        <v>8.6956521739130432E-2</v>
      </c>
      <c r="T16" s="290"/>
      <c r="U16" s="65"/>
      <c r="W16" s="244" t="s">
        <v>193</v>
      </c>
      <c r="X16" s="282">
        <f>COUNTIFS('1. All Data'!$AB$3:$AB$129,"LEADER",'1. All Data'!$V$3:$V$129,"Not yet due")</f>
        <v>0</v>
      </c>
      <c r="Y16" s="289">
        <f>X16/X20</f>
        <v>0</v>
      </c>
      <c r="Z16" s="289">
        <f>Y16</f>
        <v>0</v>
      </c>
      <c r="AA16" s="246"/>
      <c r="AB16" s="65"/>
    </row>
    <row r="17" spans="2:30" ht="15" customHeight="1">
      <c r="B17" s="288" t="s">
        <v>159</v>
      </c>
      <c r="C17" s="282">
        <f>COUNTIFS('1. All Data'!$AB$3:$AB$129,"LEADER",'1. All Data'!$H$3:$H$129,"Update not provided")</f>
        <v>0</v>
      </c>
      <c r="D17" s="289">
        <f>C17/C20</f>
        <v>0</v>
      </c>
      <c r="E17" s="289">
        <f>D17</f>
        <v>0</v>
      </c>
      <c r="F17" s="290"/>
      <c r="G17" s="8"/>
      <c r="I17" s="288" t="s">
        <v>159</v>
      </c>
      <c r="J17" s="282">
        <f>COUNTIFS('1. All Data'!$AB$3:$AB$129,"LEADER",'1. All Data'!$M$3:$M$129,"Update not provided")</f>
        <v>0</v>
      </c>
      <c r="K17" s="289">
        <f>J17/J20</f>
        <v>0</v>
      </c>
      <c r="L17" s="289">
        <f>K17</f>
        <v>0</v>
      </c>
      <c r="M17" s="290"/>
      <c r="N17" s="8"/>
      <c r="P17" s="288" t="s">
        <v>159</v>
      </c>
      <c r="Q17" s="282">
        <f>COUNTIFS('1. All Data'!$AB$3:$AB$129,"LEADER",'1. All Data'!$R$3:$R$129,"Update not provided")</f>
        <v>0</v>
      </c>
      <c r="R17" s="289">
        <f>Q17/Q20</f>
        <v>0</v>
      </c>
      <c r="S17" s="289">
        <f>R17</f>
        <v>0</v>
      </c>
      <c r="T17" s="290"/>
      <c r="U17" s="8"/>
      <c r="W17" s="244" t="s">
        <v>159</v>
      </c>
      <c r="X17" s="282">
        <f>COUNTIFS('1. All Data'!$AB$3:$AB$129,"LEADER",'1. All Data'!$V$3:$V$129,"Update not provided")</f>
        <v>0</v>
      </c>
      <c r="Y17" s="289">
        <f>X17/X20</f>
        <v>0</v>
      </c>
      <c r="Z17" s="289">
        <f>Y17</f>
        <v>0</v>
      </c>
      <c r="AA17" s="246"/>
      <c r="AB17" s="8"/>
    </row>
    <row r="18" spans="2:30" ht="15.75" customHeight="1">
      <c r="B18" s="291" t="s">
        <v>167</v>
      </c>
      <c r="C18" s="282">
        <f>COUNTIFS('1. All Data'!$AB$3:$AB$129,"LEADER",'1. All Data'!$H$3:$H$129,"Deferred")</f>
        <v>0</v>
      </c>
      <c r="D18" s="292">
        <f>C18/C20</f>
        <v>0</v>
      </c>
      <c r="E18" s="292">
        <f>D18</f>
        <v>0</v>
      </c>
      <c r="F18" s="293"/>
      <c r="G18" s="65"/>
      <c r="I18" s="291" t="s">
        <v>167</v>
      </c>
      <c r="J18" s="282">
        <f>COUNTIFS('1. All Data'!$AB$3:$AB$129,"LEADER",'1. All Data'!$M$3:$M$129,"Deferred")</f>
        <v>0</v>
      </c>
      <c r="K18" s="292">
        <f>J18/J20</f>
        <v>0</v>
      </c>
      <c r="L18" s="292">
        <f>K18</f>
        <v>0</v>
      </c>
      <c r="M18" s="293"/>
      <c r="N18" s="65"/>
      <c r="P18" s="291" t="s">
        <v>167</v>
      </c>
      <c r="Q18" s="282">
        <f>COUNTIFS('1. All Data'!$AB$3:$AB$129,"LEADER",'1. All Data'!$R$3:$R$129,"Deferred")</f>
        <v>0</v>
      </c>
      <c r="R18" s="292">
        <f>Q18/Q20</f>
        <v>0</v>
      </c>
      <c r="S18" s="292">
        <f>R18</f>
        <v>0</v>
      </c>
      <c r="T18" s="293"/>
      <c r="U18" s="65"/>
      <c r="W18" s="247" t="s">
        <v>167</v>
      </c>
      <c r="X18" s="282">
        <f>COUNTIFS('1. All Data'!$AB$3:$AB$129,"LEADER",'1. All Data'!$V$3:$V$129,"Deferred")</f>
        <v>2</v>
      </c>
      <c r="Y18" s="292">
        <f>X18/X20</f>
        <v>8.6956521739130432E-2</v>
      </c>
      <c r="Z18" s="292">
        <f>Y18</f>
        <v>8.6956521739130432E-2</v>
      </c>
      <c r="AA18" s="249"/>
      <c r="AB18" s="65"/>
    </row>
    <row r="19" spans="2:30" ht="15.75" customHeight="1">
      <c r="B19" s="291" t="s">
        <v>168</v>
      </c>
      <c r="C19" s="282">
        <f>COUNTIFS('1. All Data'!$AB$3:$AB$129,"LEADER",'1. All Data'!$H$3:$H$129,"Deleted")</f>
        <v>2</v>
      </c>
      <c r="D19" s="292">
        <f>C19/C20</f>
        <v>8.6956521739130432E-2</v>
      </c>
      <c r="E19" s="292">
        <f>D19</f>
        <v>8.6956521739130432E-2</v>
      </c>
      <c r="F19" s="293"/>
      <c r="G19" s="36" t="s">
        <v>194</v>
      </c>
      <c r="I19" s="291" t="s">
        <v>168</v>
      </c>
      <c r="J19" s="282">
        <f>COUNTIFS('1. All Data'!$AB$3:$AB$129,"LEADER",'1. All Data'!$M$3:$M$129,"Deleted")</f>
        <v>2</v>
      </c>
      <c r="K19" s="292">
        <f>J19/J20</f>
        <v>8.6956521739130432E-2</v>
      </c>
      <c r="L19" s="292">
        <f>K19</f>
        <v>8.6956521739130432E-2</v>
      </c>
      <c r="M19" s="293"/>
      <c r="N19" s="36" t="s">
        <v>194</v>
      </c>
      <c r="P19" s="291" t="s">
        <v>168</v>
      </c>
      <c r="Q19" s="282">
        <f>COUNTIFS('1. All Data'!$AB$3:$AB$129,"LEADER",'1. All Data'!$R$3:$R$129,"Deleted")</f>
        <v>2</v>
      </c>
      <c r="R19" s="292">
        <f>Q19/Q20</f>
        <v>8.6956521739130432E-2</v>
      </c>
      <c r="S19" s="292">
        <f>R19</f>
        <v>8.6956521739130432E-2</v>
      </c>
      <c r="T19" s="293"/>
      <c r="U19" s="36" t="s">
        <v>194</v>
      </c>
      <c r="W19" s="247" t="s">
        <v>168</v>
      </c>
      <c r="X19" s="282">
        <f>COUNTIFS('1. All Data'!$AB$3:$AB$129,"LEADER",'1. All Data'!$V$3:$V$129,"Deleted")</f>
        <v>2</v>
      </c>
      <c r="Y19" s="292">
        <f>X19/X20</f>
        <v>8.6956521739130432E-2</v>
      </c>
      <c r="Z19" s="292">
        <f>Y19</f>
        <v>8.6956521739130432E-2</v>
      </c>
      <c r="AA19" s="249"/>
      <c r="AD19" s="9" t="s">
        <v>194</v>
      </c>
    </row>
    <row r="20" spans="2:30" ht="15.75" customHeight="1">
      <c r="B20" s="294" t="s">
        <v>195</v>
      </c>
      <c r="C20" s="295">
        <f>SUM(C6:C19)</f>
        <v>23</v>
      </c>
      <c r="D20" s="249"/>
      <c r="E20" s="249"/>
      <c r="F20" s="296"/>
      <c r="G20" s="65"/>
      <c r="I20" s="294" t="s">
        <v>195</v>
      </c>
      <c r="J20" s="295">
        <f>SUM(J6:J19)</f>
        <v>23</v>
      </c>
      <c r="K20" s="249"/>
      <c r="L20" s="249"/>
      <c r="M20" s="296"/>
      <c r="N20" s="65"/>
      <c r="P20" s="294" t="s">
        <v>195</v>
      </c>
      <c r="Q20" s="295">
        <f>SUM(Q6:Q19)</f>
        <v>23</v>
      </c>
      <c r="R20" s="249"/>
      <c r="S20" s="249"/>
      <c r="T20" s="296"/>
      <c r="U20" s="65"/>
      <c r="W20" s="250" t="s">
        <v>195</v>
      </c>
      <c r="X20" s="295">
        <f>SUM(X6:X19)</f>
        <v>23</v>
      </c>
      <c r="Y20" s="249"/>
      <c r="Z20" s="249"/>
      <c r="AA20" s="65"/>
      <c r="AB20" s="65"/>
    </row>
    <row r="21" spans="2:30" ht="15.75" customHeight="1">
      <c r="B21" s="294" t="s">
        <v>196</v>
      </c>
      <c r="C21" s="295">
        <f>C20-C19-C18-C17-C16</f>
        <v>13</v>
      </c>
      <c r="D21" s="65"/>
      <c r="E21" s="65"/>
      <c r="F21" s="296"/>
      <c r="G21" s="65"/>
      <c r="I21" s="294" t="s">
        <v>196</v>
      </c>
      <c r="J21" s="295">
        <f>J20-J19-J18-J17-J16</f>
        <v>15</v>
      </c>
      <c r="K21" s="65"/>
      <c r="L21" s="65"/>
      <c r="M21" s="296"/>
      <c r="N21" s="65"/>
      <c r="P21" s="294" t="s">
        <v>196</v>
      </c>
      <c r="Q21" s="295">
        <f>Q20-Q19-Q18-Q17-Q16</f>
        <v>19</v>
      </c>
      <c r="R21" s="65"/>
      <c r="S21" s="65"/>
      <c r="T21" s="296"/>
      <c r="U21" s="65"/>
      <c r="W21" s="250" t="s">
        <v>196</v>
      </c>
      <c r="X21" s="295">
        <f>X20-X19-X18-X17-X16</f>
        <v>19</v>
      </c>
      <c r="Y21" s="65"/>
      <c r="Z21" s="65"/>
      <c r="AA21" s="65"/>
      <c r="AB21" s="65"/>
    </row>
    <row r="22" spans="2:30" ht="15.75" customHeight="1">
      <c r="W22" s="252"/>
      <c r="AA22" s="8"/>
    </row>
    <row r="23" spans="2:30" ht="15.75" customHeight="1">
      <c r="AA23" s="8"/>
    </row>
    <row r="24" spans="2:30" s="227" customFormat="1" ht="15.75" customHeight="1">
      <c r="B24" s="260"/>
      <c r="C24" s="226"/>
      <c r="D24" s="226"/>
      <c r="E24" s="226"/>
      <c r="F24" s="296"/>
      <c r="G24" s="226"/>
      <c r="I24" s="260"/>
      <c r="J24" s="226"/>
      <c r="K24" s="226"/>
      <c r="L24" s="226"/>
      <c r="M24" s="296"/>
      <c r="N24" s="226"/>
      <c r="P24" s="260"/>
      <c r="Q24" s="226"/>
      <c r="R24" s="226"/>
      <c r="S24" s="226"/>
      <c r="T24" s="296"/>
      <c r="U24" s="226"/>
      <c r="W24" s="226"/>
      <c r="X24" s="226"/>
      <c r="Y24" s="226"/>
      <c r="Z24" s="226"/>
      <c r="AA24" s="65"/>
      <c r="AB24" s="259"/>
    </row>
    <row r="25" spans="2:30" ht="15" customHeight="1">
      <c r="W25" s="297"/>
      <c r="X25" s="65"/>
      <c r="Y25" s="65"/>
      <c r="Z25" s="65"/>
      <c r="AA25" s="65"/>
      <c r="AB25" s="249"/>
      <c r="AC25" s="227"/>
    </row>
    <row r="26" spans="2:30" s="227" customFormat="1" ht="15.6">
      <c r="B26" s="276" t="s">
        <v>217</v>
      </c>
      <c r="C26" s="277"/>
      <c r="D26" s="277"/>
      <c r="E26" s="277"/>
      <c r="F26" s="278"/>
      <c r="G26" s="277"/>
      <c r="I26" s="276" t="s">
        <v>217</v>
      </c>
      <c r="J26" s="277"/>
      <c r="K26" s="277"/>
      <c r="L26" s="277"/>
      <c r="M26" s="278"/>
      <c r="N26" s="277"/>
      <c r="P26" s="276" t="s">
        <v>217</v>
      </c>
      <c r="Q26" s="277"/>
      <c r="R26" s="277"/>
      <c r="S26" s="277"/>
      <c r="T26" s="278"/>
      <c r="U26" s="277"/>
      <c r="W26" s="276" t="s">
        <v>217</v>
      </c>
      <c r="X26" s="277"/>
      <c r="Y26" s="277"/>
      <c r="Z26" s="277"/>
      <c r="AA26" s="278"/>
      <c r="AB26" s="277"/>
    </row>
    <row r="27" spans="2:30" ht="42" customHeight="1">
      <c r="B27" s="279" t="s">
        <v>186</v>
      </c>
      <c r="C27" s="280" t="s">
        <v>187</v>
      </c>
      <c r="D27" s="280" t="s">
        <v>188</v>
      </c>
      <c r="E27" s="280" t="s">
        <v>189</v>
      </c>
      <c r="F27" s="279" t="s">
        <v>190</v>
      </c>
      <c r="G27" s="280" t="s">
        <v>191</v>
      </c>
      <c r="I27" s="279" t="s">
        <v>186</v>
      </c>
      <c r="J27" s="280" t="s">
        <v>187</v>
      </c>
      <c r="K27" s="280" t="s">
        <v>188</v>
      </c>
      <c r="L27" s="280" t="s">
        <v>189</v>
      </c>
      <c r="M27" s="279" t="s">
        <v>190</v>
      </c>
      <c r="N27" s="280" t="s">
        <v>191</v>
      </c>
      <c r="P27" s="279" t="s">
        <v>186</v>
      </c>
      <c r="Q27" s="280" t="s">
        <v>187</v>
      </c>
      <c r="R27" s="280" t="s">
        <v>188</v>
      </c>
      <c r="S27" s="280" t="s">
        <v>189</v>
      </c>
      <c r="T27" s="279" t="s">
        <v>190</v>
      </c>
      <c r="U27" s="280" t="s">
        <v>191</v>
      </c>
      <c r="W27" s="223" t="s">
        <v>186</v>
      </c>
      <c r="X27" s="223" t="s">
        <v>187</v>
      </c>
      <c r="Y27" s="223" t="s">
        <v>188</v>
      </c>
      <c r="Z27" s="223" t="s">
        <v>189</v>
      </c>
      <c r="AA27" s="223" t="s">
        <v>190</v>
      </c>
      <c r="AB27" s="223" t="s">
        <v>191</v>
      </c>
      <c r="AC27" s="227"/>
    </row>
    <row r="28" spans="2:30" s="227" customFormat="1" ht="6" customHeight="1">
      <c r="B28" s="224"/>
      <c r="C28" s="225"/>
      <c r="D28" s="225"/>
      <c r="E28" s="225"/>
      <c r="F28" s="224"/>
      <c r="G28" s="225"/>
      <c r="I28" s="224"/>
      <c r="J28" s="225"/>
      <c r="K28" s="225"/>
      <c r="L28" s="225"/>
      <c r="M28" s="224"/>
      <c r="N28" s="225"/>
      <c r="P28" s="224"/>
      <c r="Q28" s="225"/>
      <c r="R28" s="225"/>
      <c r="S28" s="225"/>
      <c r="T28" s="224"/>
      <c r="U28" s="225"/>
      <c r="W28" s="224"/>
      <c r="X28" s="225"/>
      <c r="Y28" s="225"/>
      <c r="Z28" s="225"/>
      <c r="AA28" s="225"/>
      <c r="AB28" s="225"/>
    </row>
    <row r="29" spans="2:30" ht="21.75" customHeight="1">
      <c r="B29" s="281" t="s">
        <v>192</v>
      </c>
      <c r="C29" s="282">
        <f>COUNTIFS('1. All Data'!$AB$3:$AB$129,"Environment &amp; Housing",'1. All Data'!$H$3:$H$129,"Fully Achieved")</f>
        <v>2</v>
      </c>
      <c r="D29" s="283">
        <f>C29/C43</f>
        <v>6.25E-2</v>
      </c>
      <c r="E29" s="423">
        <f>D29+D30</f>
        <v>0.75</v>
      </c>
      <c r="F29" s="284">
        <f>C29/C44</f>
        <v>8.3333333333333329E-2</v>
      </c>
      <c r="G29" s="439">
        <f>F29+F30</f>
        <v>1</v>
      </c>
      <c r="I29" s="281" t="s">
        <v>192</v>
      </c>
      <c r="J29" s="282">
        <f>COUNTIFS('1. All Data'!$AB$3:$AB$129,"Environment &amp; Housing",'1. All Data'!$M$3:$M$129,"Fully Achieved")</f>
        <v>2</v>
      </c>
      <c r="K29" s="283">
        <f>J29/J43</f>
        <v>6.25E-2</v>
      </c>
      <c r="L29" s="423">
        <f>K29+K30</f>
        <v>0.875</v>
      </c>
      <c r="M29" s="284">
        <f>J29/J44</f>
        <v>6.6666666666666666E-2</v>
      </c>
      <c r="N29" s="439">
        <f>M29+M30</f>
        <v>0.93333333333333335</v>
      </c>
      <c r="P29" s="281" t="s">
        <v>192</v>
      </c>
      <c r="Q29" s="282">
        <f>COUNTIFS('1. All Data'!$AB$3:$AB$129,"Environment &amp; Housing",'1. All Data'!$R$3:$R$129,"Fully Achieved")</f>
        <v>4</v>
      </c>
      <c r="R29" s="283">
        <f>Q29/Q43</f>
        <v>0.125</v>
      </c>
      <c r="S29" s="423">
        <f>R29+R30</f>
        <v>0.84375</v>
      </c>
      <c r="T29" s="284">
        <f>Q29/Q44</f>
        <v>0.13333333333333333</v>
      </c>
      <c r="U29" s="439">
        <f>T29+T30</f>
        <v>0.9</v>
      </c>
      <c r="W29" s="228" t="s">
        <v>192</v>
      </c>
      <c r="X29" s="282">
        <f>COUNTIFS('1. All Data'!$AB$3:$AB$129,"Environment &amp; Housing",'1. All Data'!$V$3:$V$129,"Fully Achieved")</f>
        <v>27</v>
      </c>
      <c r="Y29" s="283">
        <f>X29/X43</f>
        <v>0.84375</v>
      </c>
      <c r="Z29" s="423">
        <f>Y29+Y30</f>
        <v>0.90625</v>
      </c>
      <c r="AA29" s="283">
        <f>X29/X44</f>
        <v>0.87096774193548387</v>
      </c>
      <c r="AB29" s="398">
        <f>AA29+AA30</f>
        <v>0.93548387096774199</v>
      </c>
      <c r="AC29" s="227"/>
    </row>
    <row r="30" spans="2:30" ht="18.75" customHeight="1">
      <c r="B30" s="281" t="s">
        <v>169</v>
      </c>
      <c r="C30" s="282">
        <f>COUNTIFS('1. All Data'!$AB$3:$AB$129,"Environment &amp; Housing",'1. All Data'!$H$3:$H$129,"On Track to be Achieved")</f>
        <v>22</v>
      </c>
      <c r="D30" s="283">
        <f>C30/C43</f>
        <v>0.6875</v>
      </c>
      <c r="E30" s="423"/>
      <c r="F30" s="284">
        <f>C30/C44</f>
        <v>0.91666666666666663</v>
      </c>
      <c r="G30" s="439"/>
      <c r="I30" s="281" t="s">
        <v>169</v>
      </c>
      <c r="J30" s="282">
        <f>COUNTIFS('1. All Data'!$AB$3:$AB$129,"Environment &amp; Housing",'1. All Data'!$M$3:$M$129,"On Track to be Achieved")</f>
        <v>26</v>
      </c>
      <c r="K30" s="283">
        <f>J30/J43</f>
        <v>0.8125</v>
      </c>
      <c r="L30" s="423"/>
      <c r="M30" s="284">
        <f>J30/J44</f>
        <v>0.8666666666666667</v>
      </c>
      <c r="N30" s="439"/>
      <c r="P30" s="281" t="s">
        <v>169</v>
      </c>
      <c r="Q30" s="282">
        <f>COUNTIFS('1. All Data'!$AB$3:$AB$129,"Environment &amp; Housing",'1. All Data'!$R$3:$R$129,"On Track to be Achieved")</f>
        <v>23</v>
      </c>
      <c r="R30" s="283">
        <f>Q30/Q43</f>
        <v>0.71875</v>
      </c>
      <c r="S30" s="423"/>
      <c r="T30" s="284">
        <f>Q30/Q44</f>
        <v>0.76666666666666672</v>
      </c>
      <c r="U30" s="439"/>
      <c r="W30" s="228" t="s">
        <v>161</v>
      </c>
      <c r="X30" s="282">
        <f>COUNTIFS('1. All Data'!$AB$3:$AB$129,"Environment &amp; Housing",'1. All Data'!$V$3:$V$129,"Numerical Outturn Within 5% Tolerance")</f>
        <v>2</v>
      </c>
      <c r="Y30" s="283">
        <f>X30/X43</f>
        <v>6.25E-2</v>
      </c>
      <c r="Z30" s="423"/>
      <c r="AA30" s="283">
        <f>X30/X44</f>
        <v>6.4516129032258063E-2</v>
      </c>
      <c r="AB30" s="398"/>
      <c r="AC30" s="227"/>
    </row>
    <row r="31" spans="2:30" s="227" customFormat="1" ht="6" customHeight="1">
      <c r="B31" s="224"/>
      <c r="C31" s="242"/>
      <c r="D31" s="239"/>
      <c r="E31" s="239"/>
      <c r="F31" s="285"/>
      <c r="G31" s="240"/>
      <c r="I31" s="224"/>
      <c r="J31" s="242"/>
      <c r="K31" s="239"/>
      <c r="L31" s="239"/>
      <c r="M31" s="285"/>
      <c r="N31" s="240"/>
      <c r="P31" s="224"/>
      <c r="Q31" s="242"/>
      <c r="R31" s="239"/>
      <c r="S31" s="239"/>
      <c r="T31" s="285"/>
      <c r="U31" s="240"/>
      <c r="W31" s="231"/>
      <c r="X31" s="232"/>
      <c r="Y31" s="233"/>
      <c r="Z31" s="233"/>
      <c r="AA31" s="233"/>
      <c r="AB31" s="234"/>
    </row>
    <row r="32" spans="2:30" ht="21" customHeight="1">
      <c r="B32" s="424" t="s">
        <v>170</v>
      </c>
      <c r="C32" s="427">
        <f>COUNTIFS('1. All Data'!$AB$3:$AB$129,"Environment &amp; Housing",'1. All Data'!$H$3:$H$129,"In Danger of Falling Behind Target")</f>
        <v>0</v>
      </c>
      <c r="D32" s="430">
        <f>C32/C43</f>
        <v>0</v>
      </c>
      <c r="E32" s="430">
        <f>D32</f>
        <v>0</v>
      </c>
      <c r="F32" s="433">
        <f>C32/C44</f>
        <v>0</v>
      </c>
      <c r="G32" s="436">
        <f>F32</f>
        <v>0</v>
      </c>
      <c r="I32" s="424" t="s">
        <v>170</v>
      </c>
      <c r="J32" s="427">
        <f>COUNTIFS('1. All Data'!$AB$3:$AB$129,"Environment &amp; Housing",'1. All Data'!$M$3:$M$129,"In Danger of Falling Behind Target")</f>
        <v>2</v>
      </c>
      <c r="K32" s="430">
        <f>J32/J43</f>
        <v>6.25E-2</v>
      </c>
      <c r="L32" s="430">
        <f>K32</f>
        <v>6.25E-2</v>
      </c>
      <c r="M32" s="433">
        <f>J32/J44</f>
        <v>6.6666666666666666E-2</v>
      </c>
      <c r="N32" s="436">
        <f>M32</f>
        <v>6.6666666666666666E-2</v>
      </c>
      <c r="P32" s="424" t="s">
        <v>170</v>
      </c>
      <c r="Q32" s="427">
        <f>COUNTIFS('1. All Data'!$AB$3:$AB$129,"Environment &amp; Housing",'1. All Data'!$R$3:$R$129,"In Danger of Falling Behind Target")</f>
        <v>2</v>
      </c>
      <c r="R32" s="430">
        <f>Q32/Q43</f>
        <v>6.25E-2</v>
      </c>
      <c r="S32" s="430">
        <f>R32</f>
        <v>6.25E-2</v>
      </c>
      <c r="T32" s="433">
        <f>Q32/Q44</f>
        <v>6.6666666666666666E-2</v>
      </c>
      <c r="U32" s="436">
        <f>T32</f>
        <v>6.6666666666666666E-2</v>
      </c>
      <c r="W32" s="237" t="s">
        <v>162</v>
      </c>
      <c r="X32" s="238">
        <f>COUNTIFS('1. All Data'!$AB$3:$AB$129,"Environment &amp; Housing",'1. All Data'!$V$3:$V$129,"Numerical Outturn Within 10% Tolerance")</f>
        <v>0</v>
      </c>
      <c r="Y32" s="230">
        <f>X32/X43</f>
        <v>0</v>
      </c>
      <c r="Z32" s="399">
        <f>SUM(Y32:Y34)</f>
        <v>0</v>
      </c>
      <c r="AA32" s="230">
        <f>X32/X44</f>
        <v>0</v>
      </c>
      <c r="AB32" s="412">
        <f>SUM(AA32:AA34)</f>
        <v>0</v>
      </c>
      <c r="AC32" s="227"/>
    </row>
    <row r="33" spans="2:29" ht="20.25" customHeight="1">
      <c r="B33" s="425"/>
      <c r="C33" s="428"/>
      <c r="D33" s="431"/>
      <c r="E33" s="431"/>
      <c r="F33" s="434"/>
      <c r="G33" s="437"/>
      <c r="I33" s="425"/>
      <c r="J33" s="428"/>
      <c r="K33" s="431"/>
      <c r="L33" s="431"/>
      <c r="M33" s="434"/>
      <c r="N33" s="437"/>
      <c r="P33" s="425"/>
      <c r="Q33" s="428"/>
      <c r="R33" s="431"/>
      <c r="S33" s="431"/>
      <c r="T33" s="434"/>
      <c r="U33" s="437"/>
      <c r="W33" s="237" t="s">
        <v>163</v>
      </c>
      <c r="X33" s="238">
        <f>COUNTIFS('1. All Data'!$AB$3:$AB$129,"Environment &amp; Housing",'1. All Data'!$V$3:$V$129,"Target Partially Met")</f>
        <v>0</v>
      </c>
      <c r="Y33" s="230">
        <f>X33/X43</f>
        <v>0</v>
      </c>
      <c r="Z33" s="399"/>
      <c r="AA33" s="230">
        <f>X33/X44</f>
        <v>0</v>
      </c>
      <c r="AB33" s="412"/>
      <c r="AC33" s="227"/>
    </row>
    <row r="34" spans="2:29" ht="15.75" customHeight="1">
      <c r="B34" s="426"/>
      <c r="C34" s="429"/>
      <c r="D34" s="432"/>
      <c r="E34" s="432"/>
      <c r="F34" s="435"/>
      <c r="G34" s="438"/>
      <c r="I34" s="426"/>
      <c r="J34" s="429"/>
      <c r="K34" s="432"/>
      <c r="L34" s="432"/>
      <c r="M34" s="435"/>
      <c r="N34" s="438"/>
      <c r="P34" s="426"/>
      <c r="Q34" s="429"/>
      <c r="R34" s="432"/>
      <c r="S34" s="432"/>
      <c r="T34" s="435"/>
      <c r="U34" s="438"/>
      <c r="W34" s="237" t="s">
        <v>166</v>
      </c>
      <c r="X34" s="238">
        <f>COUNTIFS('1. All Data'!$AB$3:$AB$129,"Environment &amp; Housing",'1. All Data'!$V$3:$V$129,"Completion Date Within Reasonable Tolerance")</f>
        <v>0</v>
      </c>
      <c r="Y34" s="230">
        <f>X34/X43</f>
        <v>0</v>
      </c>
      <c r="Z34" s="399"/>
      <c r="AA34" s="230">
        <f>X34/X44</f>
        <v>0</v>
      </c>
      <c r="AB34" s="412"/>
      <c r="AC34" s="227"/>
    </row>
    <row r="35" spans="2:29" s="227" customFormat="1" ht="6" customHeight="1">
      <c r="B35" s="224"/>
      <c r="C35" s="225"/>
      <c r="D35" s="239"/>
      <c r="E35" s="239"/>
      <c r="F35" s="285"/>
      <c r="G35" s="240"/>
      <c r="I35" s="224"/>
      <c r="J35" s="225"/>
      <c r="K35" s="239"/>
      <c r="L35" s="239"/>
      <c r="M35" s="285"/>
      <c r="N35" s="240"/>
      <c r="P35" s="224"/>
      <c r="Q35" s="225"/>
      <c r="R35" s="239"/>
      <c r="S35" s="239"/>
      <c r="T35" s="285"/>
      <c r="U35" s="240"/>
      <c r="W35" s="224"/>
      <c r="X35" s="225"/>
      <c r="Y35" s="239"/>
      <c r="Z35" s="239"/>
      <c r="AA35" s="239"/>
      <c r="AB35" s="240"/>
    </row>
    <row r="36" spans="2:29" ht="20.25" customHeight="1">
      <c r="B36" s="286" t="s">
        <v>171</v>
      </c>
      <c r="C36" s="282">
        <f>COUNTIFS('1. All Data'!$AB$3:$AB$129,"Environment &amp; Housing",'1. All Data'!$H$3:$H$129,"Completed Behind Schedule")</f>
        <v>0</v>
      </c>
      <c r="D36" s="283">
        <f>C36/C43</f>
        <v>0</v>
      </c>
      <c r="E36" s="423">
        <f>D36+D37</f>
        <v>0</v>
      </c>
      <c r="F36" s="284">
        <f>C36/C44</f>
        <v>0</v>
      </c>
      <c r="G36" s="441">
        <f>F36+F37</f>
        <v>0</v>
      </c>
      <c r="I36" s="286" t="s">
        <v>171</v>
      </c>
      <c r="J36" s="282">
        <f>COUNTIFS('1. All Data'!$AB$3:$AB$129,"Environment &amp; Housing",'1. All Data'!$M$3:$M$129,"Completed Behind Schedule")</f>
        <v>0</v>
      </c>
      <c r="K36" s="283">
        <f>J36/J43</f>
        <v>0</v>
      </c>
      <c r="L36" s="423">
        <f>K36+K37</f>
        <v>0</v>
      </c>
      <c r="M36" s="284">
        <f>J36/J44</f>
        <v>0</v>
      </c>
      <c r="N36" s="441">
        <f>M36+M37</f>
        <v>0</v>
      </c>
      <c r="P36" s="286" t="s">
        <v>171</v>
      </c>
      <c r="Q36" s="282">
        <f>COUNTIFS('1. All Data'!$AB$3:$AB$129,"Environment &amp; Housing",'1. All Data'!$R$3:$R$129,"Completed Behind Schedule")</f>
        <v>0</v>
      </c>
      <c r="R36" s="283">
        <f>Q36/Q43</f>
        <v>0</v>
      </c>
      <c r="S36" s="423">
        <f>R36+R37</f>
        <v>3.125E-2</v>
      </c>
      <c r="T36" s="284">
        <f>Q36/Q44</f>
        <v>0</v>
      </c>
      <c r="U36" s="441">
        <f>T36+T37</f>
        <v>3.3333333333333333E-2</v>
      </c>
      <c r="W36" s="241" t="s">
        <v>165</v>
      </c>
      <c r="X36" s="282">
        <f>COUNTIFS('1. All Data'!$AB$3:$AB$129,"Environment &amp; Housing",'1. All Data'!$V$3:$V$129,"Completed Significantly After Target Deadline")</f>
        <v>1</v>
      </c>
      <c r="Y36" s="283">
        <f>X36/X43</f>
        <v>3.125E-2</v>
      </c>
      <c r="Z36" s="423">
        <f>Y36+Y37</f>
        <v>6.25E-2</v>
      </c>
      <c r="AA36" s="283">
        <f>X36/X44</f>
        <v>3.2258064516129031E-2</v>
      </c>
      <c r="AB36" s="413">
        <f>AA36+AA37</f>
        <v>6.4516129032258063E-2</v>
      </c>
      <c r="AC36" s="227"/>
    </row>
    <row r="37" spans="2:29" ht="20.25" customHeight="1">
      <c r="B37" s="286" t="s">
        <v>164</v>
      </c>
      <c r="C37" s="282">
        <f>COUNTIFS('1. All Data'!$AB$3:$AB$129,"Environment &amp; Housing",'1. All Data'!$H$3:$H$129,"Off Target")</f>
        <v>0</v>
      </c>
      <c r="D37" s="283">
        <f>C37/C43</f>
        <v>0</v>
      </c>
      <c r="E37" s="423"/>
      <c r="F37" s="284">
        <f>C37/C44</f>
        <v>0</v>
      </c>
      <c r="G37" s="441"/>
      <c r="I37" s="286" t="s">
        <v>164</v>
      </c>
      <c r="J37" s="282">
        <f>COUNTIFS('1. All Data'!$AB$3:$AB$129,"Environment &amp; Housing",'1. All Data'!$M$3:$M$129,"Off Target")</f>
        <v>0</v>
      </c>
      <c r="K37" s="283">
        <f>J37/J43</f>
        <v>0</v>
      </c>
      <c r="L37" s="423"/>
      <c r="M37" s="284">
        <f>J37/J44</f>
        <v>0</v>
      </c>
      <c r="N37" s="441"/>
      <c r="P37" s="286" t="s">
        <v>164</v>
      </c>
      <c r="Q37" s="282">
        <f>COUNTIFS('1. All Data'!$AB$3:$AB$129,"Environment &amp; Housing",'1. All Data'!$R$3:$R$129,"Off Target")</f>
        <v>1</v>
      </c>
      <c r="R37" s="283">
        <f>Q37/Q43</f>
        <v>3.125E-2</v>
      </c>
      <c r="S37" s="423"/>
      <c r="T37" s="284">
        <f>Q37/Q44</f>
        <v>3.3333333333333333E-2</v>
      </c>
      <c r="U37" s="441"/>
      <c r="W37" s="241" t="s">
        <v>164</v>
      </c>
      <c r="X37" s="282">
        <f>COUNTIFS('1. All Data'!$AB$3:$AB$129,"Environment &amp; Housing",'1. All Data'!$V$3:$V$129,"Off Target")</f>
        <v>1</v>
      </c>
      <c r="Y37" s="283">
        <f>X37/X43</f>
        <v>3.125E-2</v>
      </c>
      <c r="Z37" s="423"/>
      <c r="AA37" s="283">
        <f>X37/X44</f>
        <v>3.2258064516129031E-2</v>
      </c>
      <c r="AB37" s="413"/>
      <c r="AC37" s="227"/>
    </row>
    <row r="38" spans="2:29" s="227" customFormat="1" ht="6.75" customHeight="1">
      <c r="B38" s="224"/>
      <c r="C38" s="242"/>
      <c r="D38" s="239"/>
      <c r="E38" s="239"/>
      <c r="F38" s="285"/>
      <c r="G38" s="243"/>
      <c r="I38" s="224"/>
      <c r="J38" s="242"/>
      <c r="K38" s="239"/>
      <c r="L38" s="239"/>
      <c r="M38" s="285"/>
      <c r="N38" s="243"/>
      <c r="P38" s="224"/>
      <c r="Q38" s="242"/>
      <c r="R38" s="239"/>
      <c r="S38" s="239"/>
      <c r="T38" s="285"/>
      <c r="U38" s="243"/>
      <c r="W38" s="224"/>
      <c r="X38" s="242"/>
      <c r="Y38" s="239"/>
      <c r="Z38" s="239"/>
      <c r="AA38" s="239"/>
      <c r="AB38" s="243"/>
    </row>
    <row r="39" spans="2:29" ht="15" customHeight="1">
      <c r="B39" s="288" t="s">
        <v>193</v>
      </c>
      <c r="C39" s="282">
        <f>COUNTIFS('1. All Data'!$AB$3:$AB$129,"Environment &amp; Housing",'1. All Data'!$H$3:$H$129,"Not yet due")</f>
        <v>7</v>
      </c>
      <c r="D39" s="289">
        <f>C39/C43</f>
        <v>0.21875</v>
      </c>
      <c r="E39" s="289">
        <f>D39</f>
        <v>0.21875</v>
      </c>
      <c r="F39" s="290"/>
      <c r="G39" s="65"/>
      <c r="I39" s="288" t="s">
        <v>193</v>
      </c>
      <c r="J39" s="282">
        <f>COUNTIFS('1. All Data'!$AB$3:$AB$129,"Environment &amp; Housing",'1. All Data'!$M$3:$M$129,"Not yet due")</f>
        <v>1</v>
      </c>
      <c r="K39" s="289">
        <f>J39/J43</f>
        <v>3.125E-2</v>
      </c>
      <c r="L39" s="289">
        <f>K39</f>
        <v>3.125E-2</v>
      </c>
      <c r="M39" s="290"/>
      <c r="N39" s="65"/>
      <c r="P39" s="288" t="s">
        <v>193</v>
      </c>
      <c r="Q39" s="282">
        <f>COUNTIFS('1. All Data'!$AB$3:$AB$129,"Environment &amp; Housing",'1. All Data'!$R$3:$R$129,"Not yet due")</f>
        <v>1</v>
      </c>
      <c r="R39" s="289">
        <f>Q39/Q43</f>
        <v>3.125E-2</v>
      </c>
      <c r="S39" s="289">
        <f>R39</f>
        <v>3.125E-2</v>
      </c>
      <c r="T39" s="290"/>
      <c r="U39" s="65"/>
      <c r="W39" s="244" t="s">
        <v>193</v>
      </c>
      <c r="X39" s="282">
        <f>COUNTIFS('1. All Data'!$AB$3:$AB$129,"Environment &amp; Housing",'1. All Data'!$V$3:$V$129,"Not yet due")</f>
        <v>0</v>
      </c>
      <c r="Y39" s="289">
        <f>X39/X43</f>
        <v>0</v>
      </c>
      <c r="Z39" s="289">
        <f>Y39</f>
        <v>0</v>
      </c>
      <c r="AA39" s="246"/>
      <c r="AB39" s="65"/>
      <c r="AC39" s="227"/>
    </row>
    <row r="40" spans="2:29" ht="15" customHeight="1">
      <c r="B40" s="288" t="s">
        <v>159</v>
      </c>
      <c r="C40" s="282">
        <f>COUNTIFS('1. All Data'!$AB$3:$AB$129,"Environment &amp; Housing",'1. All Data'!$H$3:$H$129,"Update not provided")</f>
        <v>0</v>
      </c>
      <c r="D40" s="289">
        <f>C40/C43</f>
        <v>0</v>
      </c>
      <c r="E40" s="289">
        <f>D40</f>
        <v>0</v>
      </c>
      <c r="F40" s="290"/>
      <c r="G40" s="8"/>
      <c r="I40" s="288" t="s">
        <v>159</v>
      </c>
      <c r="J40" s="282">
        <f>COUNTIFS('1. All Data'!$AB$3:$AB$129,"Environment &amp; Housing",'1. All Data'!$M$3:$M$129,"Update not provided")</f>
        <v>0</v>
      </c>
      <c r="K40" s="289">
        <f>J40/J43</f>
        <v>0</v>
      </c>
      <c r="L40" s="289">
        <f>K40</f>
        <v>0</v>
      </c>
      <c r="M40" s="290"/>
      <c r="N40" s="8"/>
      <c r="P40" s="288" t="s">
        <v>159</v>
      </c>
      <c r="Q40" s="282">
        <f>COUNTIFS('1. All Data'!$AB$3:$AB$129,"Environment &amp; Housing",'1. All Data'!$R$3:$R$129,"Update not provided")</f>
        <v>0</v>
      </c>
      <c r="R40" s="289">
        <f>Q40/Q43</f>
        <v>0</v>
      </c>
      <c r="S40" s="289">
        <f>R40</f>
        <v>0</v>
      </c>
      <c r="T40" s="290"/>
      <c r="U40" s="8"/>
      <c r="W40" s="244" t="s">
        <v>159</v>
      </c>
      <c r="X40" s="282">
        <f>COUNTIFS('1. All Data'!$AB$3:$AB$129,"Environment &amp; Housing",'1. All Data'!$V$3:$V$129,"Update not provided")</f>
        <v>0</v>
      </c>
      <c r="Y40" s="289">
        <f>X40/X43</f>
        <v>0</v>
      </c>
      <c r="Z40" s="289">
        <f>Y40</f>
        <v>0</v>
      </c>
      <c r="AA40" s="246"/>
      <c r="AB40" s="8"/>
      <c r="AC40" s="227"/>
    </row>
    <row r="41" spans="2:29" ht="15.75" customHeight="1">
      <c r="B41" s="291" t="s">
        <v>167</v>
      </c>
      <c r="C41" s="282">
        <f>COUNTIFS('1. All Data'!$AB$3:$AB$129,"Environment &amp; Housing",'1. All Data'!$H$3:$H$129,"Deferred")</f>
        <v>1</v>
      </c>
      <c r="D41" s="292">
        <f>C41/C43</f>
        <v>3.125E-2</v>
      </c>
      <c r="E41" s="292">
        <f>D41</f>
        <v>3.125E-2</v>
      </c>
      <c r="F41" s="293"/>
      <c r="G41" s="65"/>
      <c r="I41" s="291" t="s">
        <v>167</v>
      </c>
      <c r="J41" s="282">
        <f>COUNTIFS('1. All Data'!$AB$3:$AB$129,"Environment &amp; Housing",'1. All Data'!$M$3:$M$129,"Deferred")</f>
        <v>1</v>
      </c>
      <c r="K41" s="292">
        <f>J41/J43</f>
        <v>3.125E-2</v>
      </c>
      <c r="L41" s="292">
        <f>K41</f>
        <v>3.125E-2</v>
      </c>
      <c r="M41" s="293"/>
      <c r="N41" s="65"/>
      <c r="P41" s="291" t="s">
        <v>167</v>
      </c>
      <c r="Q41" s="282">
        <f>COUNTIFS('1. All Data'!$AB$3:$AB$129,"Environment &amp; Housing",'1. All Data'!$R$3:$R$129,"Deferred")</f>
        <v>1</v>
      </c>
      <c r="R41" s="292">
        <f>Q41/Q43</f>
        <v>3.125E-2</v>
      </c>
      <c r="S41" s="292">
        <f>R41</f>
        <v>3.125E-2</v>
      </c>
      <c r="T41" s="293"/>
      <c r="U41" s="65"/>
      <c r="W41" s="247" t="s">
        <v>167</v>
      </c>
      <c r="X41" s="282">
        <f>COUNTIFS('1. All Data'!$AB$3:$AB$129,"Environment &amp; Housing",'1. All Data'!$V$3:$V$129,"Deferred")</f>
        <v>1</v>
      </c>
      <c r="Y41" s="292">
        <f>X41/X43</f>
        <v>3.125E-2</v>
      </c>
      <c r="Z41" s="292">
        <f>Y41</f>
        <v>3.125E-2</v>
      </c>
      <c r="AA41" s="249"/>
      <c r="AB41" s="65"/>
      <c r="AC41" s="227"/>
    </row>
    <row r="42" spans="2:29" ht="15.75" customHeight="1">
      <c r="B42" s="291" t="s">
        <v>168</v>
      </c>
      <c r="C42" s="282">
        <f>COUNTIFS('1. All Data'!$AB$3:$AB$129,"Environment &amp; Housing",'1. All Data'!$H$3:$H$129,"Deleted")</f>
        <v>0</v>
      </c>
      <c r="D42" s="292">
        <f>C42/C43</f>
        <v>0</v>
      </c>
      <c r="E42" s="292">
        <f>D42</f>
        <v>0</v>
      </c>
      <c r="F42" s="293"/>
      <c r="G42" s="36" t="s">
        <v>194</v>
      </c>
      <c r="I42" s="291" t="s">
        <v>168</v>
      </c>
      <c r="J42" s="282">
        <f>COUNTIFS('1. All Data'!$AB$3:$AB$129,"Environment &amp; Housing",'1. All Data'!$M$3:$M$129,"Deleted")</f>
        <v>0</v>
      </c>
      <c r="K42" s="292">
        <f>J42/J43</f>
        <v>0</v>
      </c>
      <c r="L42" s="292">
        <f>K42</f>
        <v>0</v>
      </c>
      <c r="M42" s="293"/>
      <c r="N42" s="36" t="s">
        <v>194</v>
      </c>
      <c r="P42" s="291" t="s">
        <v>168</v>
      </c>
      <c r="Q42" s="282">
        <f>COUNTIFS('1. All Data'!$AB$3:$AB$129,"Environment &amp; Housing",'1. All Data'!$R$3:$R$129,"Deleted")</f>
        <v>0</v>
      </c>
      <c r="R42" s="292">
        <f>Q42/Q43</f>
        <v>0</v>
      </c>
      <c r="S42" s="292">
        <f>R42</f>
        <v>0</v>
      </c>
      <c r="T42" s="293"/>
      <c r="U42" s="36" t="s">
        <v>194</v>
      </c>
      <c r="W42" s="247" t="s">
        <v>168</v>
      </c>
      <c r="X42" s="282">
        <f>COUNTIFS('1. All Data'!$AB$3:$AB$129,"Environment &amp; Housing",'1. All Data'!$V$3:$V$129,"Deleted")</f>
        <v>0</v>
      </c>
      <c r="Y42" s="292">
        <f>X42/X43</f>
        <v>0</v>
      </c>
      <c r="Z42" s="292">
        <f>Y42</f>
        <v>0</v>
      </c>
      <c r="AA42" s="249"/>
      <c r="AB42" s="9" t="s">
        <v>194</v>
      </c>
      <c r="AC42" s="227"/>
    </row>
    <row r="43" spans="2:29" ht="15.75" customHeight="1">
      <c r="B43" s="294" t="s">
        <v>195</v>
      </c>
      <c r="C43" s="295">
        <f>SUM(C29:C42)</f>
        <v>32</v>
      </c>
      <c r="D43" s="249"/>
      <c r="E43" s="249"/>
      <c r="F43" s="296"/>
      <c r="G43" s="65"/>
      <c r="I43" s="294" t="s">
        <v>195</v>
      </c>
      <c r="J43" s="295">
        <f>SUM(J29:J42)</f>
        <v>32</v>
      </c>
      <c r="K43" s="249"/>
      <c r="L43" s="249"/>
      <c r="M43" s="296"/>
      <c r="N43" s="65"/>
      <c r="P43" s="294" t="s">
        <v>195</v>
      </c>
      <c r="Q43" s="295">
        <f>SUM(Q29:Q42)</f>
        <v>32</v>
      </c>
      <c r="R43" s="249"/>
      <c r="S43" s="249"/>
      <c r="T43" s="296"/>
      <c r="U43" s="65"/>
      <c r="W43" s="250" t="s">
        <v>195</v>
      </c>
      <c r="X43" s="295">
        <f>SUM(X29:X42)</f>
        <v>32</v>
      </c>
      <c r="Y43" s="249"/>
      <c r="Z43" s="249"/>
      <c r="AA43" s="65"/>
      <c r="AB43" s="65"/>
      <c r="AC43" s="227"/>
    </row>
    <row r="44" spans="2:29" ht="15.75" customHeight="1">
      <c r="B44" s="294" t="s">
        <v>196</v>
      </c>
      <c r="C44" s="295">
        <f>C43-C42-C41-C40-C39</f>
        <v>24</v>
      </c>
      <c r="D44" s="65"/>
      <c r="E44" s="65"/>
      <c r="F44" s="296"/>
      <c r="G44" s="65"/>
      <c r="I44" s="294" t="s">
        <v>196</v>
      </c>
      <c r="J44" s="295">
        <f>J43-J42-J41-J40-J39</f>
        <v>30</v>
      </c>
      <c r="K44" s="65"/>
      <c r="L44" s="65"/>
      <c r="M44" s="296"/>
      <c r="N44" s="65"/>
      <c r="P44" s="294" t="s">
        <v>196</v>
      </c>
      <c r="Q44" s="295">
        <f>Q43-Q42-Q41-Q40-Q39</f>
        <v>30</v>
      </c>
      <c r="R44" s="65"/>
      <c r="S44" s="65"/>
      <c r="T44" s="296"/>
      <c r="U44" s="65"/>
      <c r="W44" s="250" t="s">
        <v>196</v>
      </c>
      <c r="X44" s="295">
        <f>X43-X42-X41-X40-X39</f>
        <v>31</v>
      </c>
      <c r="Y44" s="65"/>
      <c r="Z44" s="65"/>
      <c r="AA44" s="65"/>
      <c r="AB44" s="65"/>
      <c r="AC44" s="227"/>
    </row>
    <row r="45" spans="2:29" ht="15.75" customHeight="1">
      <c r="W45" s="252"/>
      <c r="AA45" s="8"/>
      <c r="AC45" s="227"/>
    </row>
    <row r="46" spans="2:29" ht="15.75" customHeight="1">
      <c r="W46" s="226"/>
      <c r="X46" s="226"/>
      <c r="Y46" s="226"/>
      <c r="Z46" s="226"/>
      <c r="AA46" s="226"/>
      <c r="AB46" s="259"/>
      <c r="AC46" s="227"/>
    </row>
    <row r="47" spans="2:29" s="227" customFormat="1" ht="15.75" customHeight="1">
      <c r="B47" s="260"/>
      <c r="C47" s="226"/>
      <c r="D47" s="226"/>
      <c r="E47" s="226"/>
      <c r="F47" s="296"/>
      <c r="G47" s="226"/>
      <c r="I47" s="260"/>
      <c r="J47" s="226"/>
      <c r="K47" s="226"/>
      <c r="L47" s="226"/>
      <c r="M47" s="296"/>
      <c r="N47" s="226"/>
      <c r="P47" s="260"/>
      <c r="Q47" s="226"/>
      <c r="R47" s="226"/>
      <c r="S47" s="226"/>
      <c r="T47" s="296"/>
      <c r="U47" s="226"/>
      <c r="W47" s="297"/>
      <c r="X47" s="65"/>
      <c r="Y47" s="65"/>
      <c r="Z47" s="65"/>
      <c r="AA47" s="65"/>
      <c r="AB47" s="249"/>
    </row>
    <row r="48" spans="2:29" s="227" customFormat="1" ht="15.75" customHeight="1">
      <c r="B48" s="276" t="s">
        <v>218</v>
      </c>
      <c r="C48" s="277"/>
      <c r="D48" s="277"/>
      <c r="E48" s="277"/>
      <c r="F48" s="278"/>
      <c r="G48" s="277"/>
      <c r="I48" s="276" t="s">
        <v>218</v>
      </c>
      <c r="J48" s="277"/>
      <c r="K48" s="277"/>
      <c r="L48" s="277"/>
      <c r="M48" s="278"/>
      <c r="N48" s="277"/>
      <c r="P48" s="276" t="s">
        <v>940</v>
      </c>
      <c r="Q48" s="277"/>
      <c r="R48" s="277"/>
      <c r="S48" s="277"/>
      <c r="T48" s="278"/>
      <c r="U48" s="277"/>
      <c r="W48" s="276" t="s">
        <v>940</v>
      </c>
      <c r="X48" s="277"/>
      <c r="Y48" s="277"/>
      <c r="Z48" s="277"/>
      <c r="AA48" s="278"/>
      <c r="AB48" s="277"/>
    </row>
    <row r="49" spans="2:29" ht="36" customHeight="1">
      <c r="B49" s="279" t="s">
        <v>186</v>
      </c>
      <c r="C49" s="280" t="s">
        <v>187</v>
      </c>
      <c r="D49" s="280" t="s">
        <v>188</v>
      </c>
      <c r="E49" s="280" t="s">
        <v>189</v>
      </c>
      <c r="F49" s="279" t="s">
        <v>190</v>
      </c>
      <c r="G49" s="280" t="s">
        <v>191</v>
      </c>
      <c r="I49" s="279" t="s">
        <v>186</v>
      </c>
      <c r="J49" s="280" t="s">
        <v>187</v>
      </c>
      <c r="K49" s="280" t="s">
        <v>188</v>
      </c>
      <c r="L49" s="280" t="s">
        <v>189</v>
      </c>
      <c r="M49" s="279" t="s">
        <v>190</v>
      </c>
      <c r="N49" s="280" t="s">
        <v>191</v>
      </c>
      <c r="P49" s="279" t="s">
        <v>186</v>
      </c>
      <c r="Q49" s="280" t="s">
        <v>187</v>
      </c>
      <c r="R49" s="280" t="s">
        <v>188</v>
      </c>
      <c r="S49" s="280" t="s">
        <v>189</v>
      </c>
      <c r="T49" s="279" t="s">
        <v>190</v>
      </c>
      <c r="U49" s="280" t="s">
        <v>191</v>
      </c>
      <c r="W49" s="223" t="s">
        <v>186</v>
      </c>
      <c r="X49" s="223" t="s">
        <v>187</v>
      </c>
      <c r="Y49" s="223" t="s">
        <v>188</v>
      </c>
      <c r="Z49" s="223" t="s">
        <v>189</v>
      </c>
      <c r="AA49" s="223" t="s">
        <v>190</v>
      </c>
      <c r="AB49" s="223" t="s">
        <v>191</v>
      </c>
      <c r="AC49" s="227"/>
    </row>
    <row r="50" spans="2:29" s="227" customFormat="1" ht="7.5" customHeight="1">
      <c r="B50" s="224"/>
      <c r="C50" s="225"/>
      <c r="D50" s="225"/>
      <c r="E50" s="225"/>
      <c r="F50" s="224"/>
      <c r="G50" s="225"/>
      <c r="I50" s="224"/>
      <c r="J50" s="225"/>
      <c r="K50" s="225"/>
      <c r="L50" s="225"/>
      <c r="M50" s="224"/>
      <c r="N50" s="225"/>
      <c r="P50" s="224"/>
      <c r="Q50" s="225"/>
      <c r="R50" s="225"/>
      <c r="S50" s="225"/>
      <c r="T50" s="224"/>
      <c r="U50" s="225"/>
      <c r="W50" s="224"/>
      <c r="X50" s="225"/>
      <c r="Y50" s="225"/>
      <c r="Z50" s="225"/>
      <c r="AA50" s="225"/>
      <c r="AB50" s="225"/>
    </row>
    <row r="51" spans="2:29" ht="18.75" customHeight="1">
      <c r="B51" s="281" t="s">
        <v>192</v>
      </c>
      <c r="C51" s="282">
        <f>COUNTIFS('1. All Data'!$AB$3:$AB$129,"Leisure, Culture &amp; Tourism",'1. All Data'!$H$3:$H$129,"Fully Achieved")</f>
        <v>0</v>
      </c>
      <c r="D51" s="283" t="e">
        <f>C51/C65</f>
        <v>#DIV/0!</v>
      </c>
      <c r="E51" s="423" t="e">
        <f>D51+D52</f>
        <v>#DIV/0!</v>
      </c>
      <c r="F51" s="284" t="e">
        <f>C51/C66</f>
        <v>#DIV/0!</v>
      </c>
      <c r="G51" s="439" t="e">
        <f>F51+F52</f>
        <v>#DIV/0!</v>
      </c>
      <c r="I51" s="281" t="s">
        <v>192</v>
      </c>
      <c r="J51" s="282">
        <f>COUNTIFS('1. All Data'!$AB$3:$AB$129,"Leisure, Culture &amp; Tourism",'1. All Data'!$M$3:$M$129,"Fully Achieved")</f>
        <v>0</v>
      </c>
      <c r="K51" s="283" t="e">
        <f>J51/J65</f>
        <v>#DIV/0!</v>
      </c>
      <c r="L51" s="423" t="e">
        <f>K51+K52</f>
        <v>#DIV/0!</v>
      </c>
      <c r="M51" s="284" t="e">
        <f>J51/J66</f>
        <v>#DIV/0!</v>
      </c>
      <c r="N51" s="439" t="e">
        <f>M51+M52</f>
        <v>#DIV/0!</v>
      </c>
      <c r="P51" s="281" t="s">
        <v>192</v>
      </c>
      <c r="Q51" s="282">
        <f>COUNTIFS('1. All Data'!$AB$3:$AB$129,"Leisure, Amenities &amp; Tourism",'1. All Data'!$R$3:$R$129,"Fully Achieved")</f>
        <v>4</v>
      </c>
      <c r="R51" s="283">
        <f>Q51/Q65</f>
        <v>0.23529411764705882</v>
      </c>
      <c r="S51" s="423">
        <f>R51+R52</f>
        <v>0.58823529411764708</v>
      </c>
      <c r="T51" s="284">
        <f>Q51/Q66</f>
        <v>0.33333333333333331</v>
      </c>
      <c r="U51" s="439">
        <f>T51+T52</f>
        <v>0.83333333333333326</v>
      </c>
      <c r="W51" s="228" t="s">
        <v>192</v>
      </c>
      <c r="X51" s="282">
        <f>COUNTIFS('1. All Data'!$AB$3:$AB$129,"Leisure, Amenities &amp; Tourism",'1. All Data'!$V$3:$V$129,"Fully Achieved")</f>
        <v>10</v>
      </c>
      <c r="Y51" s="283">
        <f>X51/X65</f>
        <v>0.58823529411764708</v>
      </c>
      <c r="Z51" s="423">
        <f>Y51+Y52</f>
        <v>0.58823529411764708</v>
      </c>
      <c r="AA51" s="283">
        <f>X51/X66</f>
        <v>0.83333333333333337</v>
      </c>
      <c r="AB51" s="398">
        <f>AA51+AA52</f>
        <v>0.83333333333333337</v>
      </c>
      <c r="AC51" s="227"/>
    </row>
    <row r="52" spans="2:29" ht="18.75" customHeight="1">
      <c r="B52" s="281" t="s">
        <v>169</v>
      </c>
      <c r="C52" s="282">
        <f>COUNTIFS('1. All Data'!$AB$3:$AB$129,"Leisure, Culture &amp; Tourism",'1. All Data'!$H$3:$H$129,"On Track to be Achieved")</f>
        <v>0</v>
      </c>
      <c r="D52" s="283" t="e">
        <f>C52/C65</f>
        <v>#DIV/0!</v>
      </c>
      <c r="E52" s="423"/>
      <c r="F52" s="284" t="e">
        <f>C52/C66</f>
        <v>#DIV/0!</v>
      </c>
      <c r="G52" s="439"/>
      <c r="I52" s="281" t="s">
        <v>169</v>
      </c>
      <c r="J52" s="282">
        <f>COUNTIFS('1. All Data'!$AB$3:$AB$129,"Leisure, Culture &amp; Tourism",'1. All Data'!$M$3:$M$129,"On Track to be Achieved")</f>
        <v>0</v>
      </c>
      <c r="K52" s="283" t="e">
        <f>J52/J65</f>
        <v>#DIV/0!</v>
      </c>
      <c r="L52" s="423"/>
      <c r="M52" s="284" t="e">
        <f>J52/J66</f>
        <v>#DIV/0!</v>
      </c>
      <c r="N52" s="439"/>
      <c r="P52" s="281" t="s">
        <v>169</v>
      </c>
      <c r="Q52" s="282">
        <f>COUNTIFS('1. All Data'!$AB$3:$AB$129,"Leisure, Amenities &amp; Tourism",'1. All Data'!$R$3:$R$129,"On Track to be Achieved")</f>
        <v>6</v>
      </c>
      <c r="R52" s="283">
        <f>Q52/Q65</f>
        <v>0.35294117647058826</v>
      </c>
      <c r="S52" s="423"/>
      <c r="T52" s="284">
        <f>Q52/Q66</f>
        <v>0.5</v>
      </c>
      <c r="U52" s="439"/>
      <c r="W52" s="228" t="s">
        <v>161</v>
      </c>
      <c r="X52" s="282">
        <f>COUNTIFS('1. All Data'!$AB$3:$AB$129,"Leisure, Amenities &amp; Tourism",'1. All Data'!$V$3:$V$129,"Numerical Outturn Within 5% Tolerance")</f>
        <v>0</v>
      </c>
      <c r="Y52" s="283">
        <f>X52/X65</f>
        <v>0</v>
      </c>
      <c r="Z52" s="423"/>
      <c r="AA52" s="283">
        <f>X52/X66</f>
        <v>0</v>
      </c>
      <c r="AB52" s="398"/>
      <c r="AC52" s="227"/>
    </row>
    <row r="53" spans="2:29" s="227" customFormat="1" ht="6.75" customHeight="1">
      <c r="B53" s="224"/>
      <c r="C53" s="242"/>
      <c r="D53" s="239"/>
      <c r="E53" s="239"/>
      <c r="F53" s="285"/>
      <c r="G53" s="240"/>
      <c r="I53" s="224"/>
      <c r="J53" s="242"/>
      <c r="K53" s="239"/>
      <c r="L53" s="239"/>
      <c r="M53" s="285"/>
      <c r="N53" s="240"/>
      <c r="P53" s="224"/>
      <c r="Q53" s="242"/>
      <c r="R53" s="239"/>
      <c r="S53" s="239"/>
      <c r="T53" s="285"/>
      <c r="U53" s="240"/>
      <c r="W53" s="231"/>
      <c r="X53" s="232"/>
      <c r="Y53" s="233"/>
      <c r="Z53" s="233"/>
      <c r="AA53" s="233"/>
      <c r="AB53" s="234"/>
    </row>
    <row r="54" spans="2:29" ht="16.5" customHeight="1">
      <c r="B54" s="424" t="s">
        <v>170</v>
      </c>
      <c r="C54" s="427">
        <f>COUNTIFS('1. All Data'!$AB$3:$AB$129,"Leisure, Culture &amp; Tourism",'1. All Data'!$H$3:$H$129,"In Danger of Falling Behind Target")</f>
        <v>0</v>
      </c>
      <c r="D54" s="430" t="e">
        <f>C54/C65</f>
        <v>#DIV/0!</v>
      </c>
      <c r="E54" s="430" t="e">
        <f>D54</f>
        <v>#DIV/0!</v>
      </c>
      <c r="F54" s="433" t="e">
        <f>C54/C66</f>
        <v>#DIV/0!</v>
      </c>
      <c r="G54" s="436" t="e">
        <f>F54</f>
        <v>#DIV/0!</v>
      </c>
      <c r="I54" s="424" t="s">
        <v>170</v>
      </c>
      <c r="J54" s="427">
        <f>COUNTIFS('1. All Data'!$AB$3:$AB$129,"Leisure, Culture &amp; Tourism",'1. All Data'!$M$3:$M$129,"In Danger of Falling Behind Target")</f>
        <v>0</v>
      </c>
      <c r="K54" s="430" t="e">
        <f>J54/J65</f>
        <v>#DIV/0!</v>
      </c>
      <c r="L54" s="430" t="e">
        <f>K54</f>
        <v>#DIV/0!</v>
      </c>
      <c r="M54" s="433" t="e">
        <f>J54/J66</f>
        <v>#DIV/0!</v>
      </c>
      <c r="N54" s="436" t="e">
        <f>M54</f>
        <v>#DIV/0!</v>
      </c>
      <c r="P54" s="424" t="s">
        <v>170</v>
      </c>
      <c r="Q54" s="427">
        <f>COUNTIFS('1. All Data'!$AB$3:$AB$129,"Leisure, Amenities &amp; Tourism",'1. All Data'!$R$3:$R$129,"In Danger of Falling Behind Target")</f>
        <v>0</v>
      </c>
      <c r="R54" s="430">
        <f>Q54/Q65</f>
        <v>0</v>
      </c>
      <c r="S54" s="430">
        <f>R54</f>
        <v>0</v>
      </c>
      <c r="T54" s="433">
        <f>Q54/Q66</f>
        <v>0</v>
      </c>
      <c r="U54" s="436">
        <f>T54</f>
        <v>0</v>
      </c>
      <c r="W54" s="237" t="s">
        <v>162</v>
      </c>
      <c r="X54" s="238">
        <f>COUNTIFS('1. All Data'!$AB$3:$AB$129,"Leisure, Amenities &amp; Tourism",'1. All Data'!$V$3:$V$129,"Numerical Outturn Within 10% Tolerance")</f>
        <v>0</v>
      </c>
      <c r="Y54" s="230">
        <f>X54/X65</f>
        <v>0</v>
      </c>
      <c r="Z54" s="399">
        <f>SUM(Y54:Y56)</f>
        <v>5.8823529411764705E-2</v>
      </c>
      <c r="AA54" s="230">
        <f>X54/X66</f>
        <v>0</v>
      </c>
      <c r="AB54" s="412">
        <f>SUM(AA54:AA56)</f>
        <v>8.3333333333333329E-2</v>
      </c>
      <c r="AC54" s="227"/>
    </row>
    <row r="55" spans="2:29" ht="16.5" customHeight="1">
      <c r="B55" s="425"/>
      <c r="C55" s="428"/>
      <c r="D55" s="431"/>
      <c r="E55" s="431"/>
      <c r="F55" s="434"/>
      <c r="G55" s="437"/>
      <c r="I55" s="425"/>
      <c r="J55" s="428"/>
      <c r="K55" s="431"/>
      <c r="L55" s="431"/>
      <c r="M55" s="434"/>
      <c r="N55" s="437"/>
      <c r="P55" s="425"/>
      <c r="Q55" s="428"/>
      <c r="R55" s="431"/>
      <c r="S55" s="431"/>
      <c r="T55" s="434"/>
      <c r="U55" s="437"/>
      <c r="W55" s="237" t="s">
        <v>163</v>
      </c>
      <c r="X55" s="238">
        <f>COUNTIFS('1. All Data'!$AB$3:$AB$129,"Leisure, Amenities &amp; Tourism",'1. All Data'!$V$3:$V$129,"Target Partially Met")</f>
        <v>0</v>
      </c>
      <c r="Y55" s="230">
        <f>X55/X65</f>
        <v>0</v>
      </c>
      <c r="Z55" s="399"/>
      <c r="AA55" s="230">
        <f>X55/X66</f>
        <v>0</v>
      </c>
      <c r="AB55" s="412"/>
      <c r="AC55" s="227"/>
    </row>
    <row r="56" spans="2:29" ht="16.5" customHeight="1">
      <c r="B56" s="426"/>
      <c r="C56" s="429"/>
      <c r="D56" s="432"/>
      <c r="E56" s="432"/>
      <c r="F56" s="435"/>
      <c r="G56" s="438"/>
      <c r="I56" s="426"/>
      <c r="J56" s="429"/>
      <c r="K56" s="432"/>
      <c r="L56" s="432"/>
      <c r="M56" s="435"/>
      <c r="N56" s="438"/>
      <c r="P56" s="426"/>
      <c r="Q56" s="429"/>
      <c r="R56" s="432"/>
      <c r="S56" s="432"/>
      <c r="T56" s="435"/>
      <c r="U56" s="438"/>
      <c r="W56" s="237" t="s">
        <v>166</v>
      </c>
      <c r="X56" s="238">
        <f>COUNTIFS('1. All Data'!$AB$3:$AB$129,"Leisure, Amenities &amp; Tourism",'1. All Data'!$V$3:$V$129,"Completion Date Within Reasonable Tolerance")</f>
        <v>1</v>
      </c>
      <c r="Y56" s="230">
        <f>X56/X65</f>
        <v>5.8823529411764705E-2</v>
      </c>
      <c r="Z56" s="399"/>
      <c r="AA56" s="230">
        <f>X56/X66</f>
        <v>8.3333333333333329E-2</v>
      </c>
      <c r="AB56" s="412"/>
      <c r="AC56" s="227"/>
    </row>
    <row r="57" spans="2:29" s="227" customFormat="1" ht="6" customHeight="1">
      <c r="B57" s="224"/>
      <c r="C57" s="225"/>
      <c r="D57" s="239"/>
      <c r="E57" s="239"/>
      <c r="F57" s="285"/>
      <c r="G57" s="240"/>
      <c r="I57" s="224"/>
      <c r="J57" s="225"/>
      <c r="K57" s="239"/>
      <c r="L57" s="239"/>
      <c r="M57" s="285"/>
      <c r="N57" s="240"/>
      <c r="P57" s="224"/>
      <c r="Q57" s="225"/>
      <c r="R57" s="239"/>
      <c r="S57" s="239"/>
      <c r="T57" s="285"/>
      <c r="U57" s="240"/>
      <c r="W57" s="224"/>
      <c r="X57" s="225"/>
      <c r="Y57" s="239"/>
      <c r="Z57" s="239"/>
      <c r="AA57" s="239"/>
      <c r="AB57" s="240"/>
    </row>
    <row r="58" spans="2:29" ht="22.5" customHeight="1">
      <c r="B58" s="286" t="s">
        <v>171</v>
      </c>
      <c r="C58" s="282">
        <f>COUNTIFS('1. All Data'!$AB$3:$AB$129,"Leisure, Culture &amp; Tourism",'1. All Data'!$H$3:$H$129,"Completed Behind Schedule")</f>
        <v>0</v>
      </c>
      <c r="D58" s="283" t="e">
        <f>C58/C65</f>
        <v>#DIV/0!</v>
      </c>
      <c r="E58" s="423" t="e">
        <f>D58+D59</f>
        <v>#DIV/0!</v>
      </c>
      <c r="F58" s="284" t="e">
        <f>C58/C66</f>
        <v>#DIV/0!</v>
      </c>
      <c r="G58" s="441" t="e">
        <f>F58+F59</f>
        <v>#DIV/0!</v>
      </c>
      <c r="I58" s="286" t="s">
        <v>171</v>
      </c>
      <c r="J58" s="282">
        <f>COUNTIFS('1. All Data'!$AB$3:$AB$129,"Leisure, Culture &amp; Tourism",'1. All Data'!$M$3:$M$129,"Completed Behind Schedule")</f>
        <v>0</v>
      </c>
      <c r="K58" s="283" t="e">
        <f>J58/J65</f>
        <v>#DIV/0!</v>
      </c>
      <c r="L58" s="423" t="e">
        <f>K58+K59</f>
        <v>#DIV/0!</v>
      </c>
      <c r="M58" s="284" t="e">
        <f>J58/J66</f>
        <v>#DIV/0!</v>
      </c>
      <c r="N58" s="441" t="e">
        <f>M58+M59</f>
        <v>#DIV/0!</v>
      </c>
      <c r="P58" s="286" t="s">
        <v>171</v>
      </c>
      <c r="Q58" s="282">
        <f>COUNTIFS('1. All Data'!$AB$3:$AB$129,"Leisure, Amenities &amp; Tourism",'1. All Data'!$R$3:$R$129,"Completed Behind Schedule")</f>
        <v>1</v>
      </c>
      <c r="R58" s="283">
        <f>Q58/Q65</f>
        <v>5.8823529411764705E-2</v>
      </c>
      <c r="S58" s="423">
        <f>R58+R59</f>
        <v>0.11764705882352941</v>
      </c>
      <c r="T58" s="284">
        <f>Q58/Q66</f>
        <v>8.3333333333333329E-2</v>
      </c>
      <c r="U58" s="441">
        <f>T58+T59</f>
        <v>0.16666666666666666</v>
      </c>
      <c r="W58" s="241" t="s">
        <v>165</v>
      </c>
      <c r="X58" s="282">
        <f>COUNTIFS('1. All Data'!$AB$3:$AB$129,"Leisure, Amenities &amp; Tourism",'1. All Data'!$V$3:$V$129,"Completed Significantly After Target Deadline")</f>
        <v>0</v>
      </c>
      <c r="Y58" s="283">
        <f>X58/X65</f>
        <v>0</v>
      </c>
      <c r="Z58" s="423">
        <f>Y58+Y59</f>
        <v>5.8823529411764705E-2</v>
      </c>
      <c r="AA58" s="283">
        <f>X58/X66</f>
        <v>0</v>
      </c>
      <c r="AB58" s="413">
        <f>AA58+AA59</f>
        <v>8.3333333333333329E-2</v>
      </c>
      <c r="AC58" s="227"/>
    </row>
    <row r="59" spans="2:29" ht="22.5" customHeight="1">
      <c r="B59" s="286" t="s">
        <v>164</v>
      </c>
      <c r="C59" s="282">
        <f>COUNTIFS('1. All Data'!$AB$3:$AB$129,"Leisure, Culture &amp; Tourism",'1. All Data'!$H$3:$H$129,"Off Target")</f>
        <v>0</v>
      </c>
      <c r="D59" s="283" t="e">
        <f>C59/C65</f>
        <v>#DIV/0!</v>
      </c>
      <c r="E59" s="423"/>
      <c r="F59" s="284" t="e">
        <f>C59/C66</f>
        <v>#DIV/0!</v>
      </c>
      <c r="G59" s="441"/>
      <c r="I59" s="286" t="s">
        <v>164</v>
      </c>
      <c r="J59" s="282">
        <f>COUNTIFS('1. All Data'!$AB$3:$AB$129,"Leisure, Culture &amp; Tourism",'1. All Data'!$M$3:$M$129,"Off Target")</f>
        <v>0</v>
      </c>
      <c r="K59" s="283" t="e">
        <f>J59/J65</f>
        <v>#DIV/0!</v>
      </c>
      <c r="L59" s="423"/>
      <c r="M59" s="284" t="e">
        <f>J59/J66</f>
        <v>#DIV/0!</v>
      </c>
      <c r="N59" s="441"/>
      <c r="P59" s="286" t="s">
        <v>164</v>
      </c>
      <c r="Q59" s="282">
        <f>COUNTIFS('1. All Data'!$AB$3:$AB$129,"Leisure, Amenities &amp; Tourism",'1. All Data'!$R$3:$R$129,"Off Target")</f>
        <v>1</v>
      </c>
      <c r="R59" s="283">
        <f>Q59/Q65</f>
        <v>5.8823529411764705E-2</v>
      </c>
      <c r="S59" s="423"/>
      <c r="T59" s="284">
        <f>Q59/Q66</f>
        <v>8.3333333333333329E-2</v>
      </c>
      <c r="U59" s="441"/>
      <c r="W59" s="241" t="s">
        <v>164</v>
      </c>
      <c r="X59" s="282">
        <f>COUNTIFS('1. All Data'!$AB$3:$AB$129,"Leisure, Amenities &amp; Tourism",'1. All Data'!$V$3:$V$129,"Off Target")</f>
        <v>1</v>
      </c>
      <c r="Y59" s="283">
        <f>X59/X65</f>
        <v>5.8823529411764705E-2</v>
      </c>
      <c r="Z59" s="423"/>
      <c r="AA59" s="283">
        <f>X59/X66</f>
        <v>8.3333333333333329E-2</v>
      </c>
      <c r="AB59" s="413"/>
      <c r="AC59" s="227"/>
    </row>
    <row r="60" spans="2:29" s="227" customFormat="1" ht="6.75" customHeight="1">
      <c r="B60" s="224"/>
      <c r="C60" s="242"/>
      <c r="D60" s="239"/>
      <c r="E60" s="239"/>
      <c r="F60" s="285"/>
      <c r="G60" s="243"/>
      <c r="I60" s="224"/>
      <c r="J60" s="242"/>
      <c r="K60" s="239"/>
      <c r="L60" s="239"/>
      <c r="M60" s="285"/>
      <c r="N60" s="243"/>
      <c r="P60" s="224"/>
      <c r="Q60" s="242"/>
      <c r="R60" s="239"/>
      <c r="S60" s="239"/>
      <c r="T60" s="285"/>
      <c r="U60" s="243"/>
      <c r="W60" s="224"/>
      <c r="X60" s="242"/>
      <c r="Y60" s="239"/>
      <c r="Z60" s="239"/>
      <c r="AA60" s="239"/>
      <c r="AB60" s="243"/>
    </row>
    <row r="61" spans="2:29" ht="15.75" customHeight="1">
      <c r="B61" s="288" t="s">
        <v>193</v>
      </c>
      <c r="C61" s="282">
        <f>COUNTIFS('1. All Data'!$AB$3:$AB$129,"Leisure, Culture &amp; Tourism",'1. All Data'!$H$3:$H$129,"Not yet due")</f>
        <v>0</v>
      </c>
      <c r="D61" s="289" t="e">
        <f>C61/C65</f>
        <v>#DIV/0!</v>
      </c>
      <c r="E61" s="289" t="e">
        <f>D61</f>
        <v>#DIV/0!</v>
      </c>
      <c r="F61" s="290"/>
      <c r="G61" s="65"/>
      <c r="I61" s="288" t="s">
        <v>193</v>
      </c>
      <c r="J61" s="282">
        <f>COUNTIFS('1. All Data'!$AB$3:$AB$129,"Leisure, Culture &amp; Tourism",'1. All Data'!$M$3:$M$129,"Not yet due")</f>
        <v>0</v>
      </c>
      <c r="K61" s="289" t="e">
        <f>J61/J65</f>
        <v>#DIV/0!</v>
      </c>
      <c r="L61" s="289" t="e">
        <f>K61</f>
        <v>#DIV/0!</v>
      </c>
      <c r="M61" s="290"/>
      <c r="N61" s="65"/>
      <c r="P61" s="288" t="s">
        <v>193</v>
      </c>
      <c r="Q61" s="282">
        <f>COUNTIFS('1. All Data'!$AB$3:$AB$129,"Leisure, Amenities &amp; Tourism",'1. All Data'!$R$3:$R$129,"Not yet due")</f>
        <v>0</v>
      </c>
      <c r="R61" s="289">
        <f>Q61/Q65</f>
        <v>0</v>
      </c>
      <c r="S61" s="289">
        <f>R61</f>
        <v>0</v>
      </c>
      <c r="T61" s="290"/>
      <c r="U61" s="65"/>
      <c r="W61" s="244" t="s">
        <v>193</v>
      </c>
      <c r="X61" s="282">
        <f>COUNTIFS('1. All Data'!$AB$3:$AB$129,"Leisure, Amenities &amp; Tourism",'1. All Data'!$V$3:$V$129,"Not yet due")</f>
        <v>0</v>
      </c>
      <c r="Y61" s="289">
        <f>X61/X65</f>
        <v>0</v>
      </c>
      <c r="Z61" s="289">
        <f>Y61</f>
        <v>0</v>
      </c>
      <c r="AA61" s="246"/>
      <c r="AB61" s="65"/>
      <c r="AC61" s="227"/>
    </row>
    <row r="62" spans="2:29" ht="15.75" customHeight="1">
      <c r="B62" s="288" t="s">
        <v>159</v>
      </c>
      <c r="C62" s="282">
        <f>COUNTIFS('1. All Data'!$AB$3:$AB$129,"Leisure, Culture &amp; Tourism",'1. All Data'!$H$3:$H$129,"Update not provided")</f>
        <v>0</v>
      </c>
      <c r="D62" s="289" t="e">
        <f>C62/C65</f>
        <v>#DIV/0!</v>
      </c>
      <c r="E62" s="289" t="e">
        <f>D62</f>
        <v>#DIV/0!</v>
      </c>
      <c r="F62" s="290"/>
      <c r="G62" s="8"/>
      <c r="I62" s="288" t="s">
        <v>159</v>
      </c>
      <c r="J62" s="282">
        <f>COUNTIFS('1. All Data'!$AB$3:$AB$129,"Leisure, Culture &amp; Tourism",'1. All Data'!$M$3:$M$129,"Update not provided")</f>
        <v>0</v>
      </c>
      <c r="K62" s="289" t="e">
        <f>J62/J65</f>
        <v>#DIV/0!</v>
      </c>
      <c r="L62" s="289" t="e">
        <f>K62</f>
        <v>#DIV/0!</v>
      </c>
      <c r="M62" s="290"/>
      <c r="N62" s="8"/>
      <c r="P62" s="288" t="s">
        <v>159</v>
      </c>
      <c r="Q62" s="282">
        <f>COUNTIFS('1. All Data'!$AB$3:$AB$129,"Leisure, Amenities &amp; Tourism",'1. All Data'!$R$3:$R$129,"Update not provided")</f>
        <v>0</v>
      </c>
      <c r="R62" s="289">
        <f>Q62/Q65</f>
        <v>0</v>
      </c>
      <c r="S62" s="289">
        <f>R62</f>
        <v>0</v>
      </c>
      <c r="T62" s="290"/>
      <c r="U62" s="8"/>
      <c r="W62" s="244" t="s">
        <v>159</v>
      </c>
      <c r="X62" s="282">
        <f>COUNTIFS('1. All Data'!$AB$3:$AB$129,"Leisure, Amenities &amp; Tourism",'1. All Data'!$V$3:$V$129,"Update not provided")</f>
        <v>0</v>
      </c>
      <c r="Y62" s="289">
        <f>X62/X65</f>
        <v>0</v>
      </c>
      <c r="Z62" s="289">
        <f>Y62</f>
        <v>0</v>
      </c>
      <c r="AA62" s="246"/>
      <c r="AB62" s="8"/>
      <c r="AC62" s="227"/>
    </row>
    <row r="63" spans="2:29" ht="15.75" customHeight="1">
      <c r="B63" s="291" t="s">
        <v>167</v>
      </c>
      <c r="C63" s="282">
        <f>COUNTIFS('1. All Data'!$AB$3:$AB$129,"Leisure, Culture &amp; Tourism",'1. All Data'!$H$3:$H$129,"Deferred")</f>
        <v>0</v>
      </c>
      <c r="D63" s="292" t="e">
        <f>C63/C65</f>
        <v>#DIV/0!</v>
      </c>
      <c r="E63" s="292" t="e">
        <f>D63</f>
        <v>#DIV/0!</v>
      </c>
      <c r="F63" s="293"/>
      <c r="G63" s="65"/>
      <c r="I63" s="291" t="s">
        <v>167</v>
      </c>
      <c r="J63" s="282">
        <f>COUNTIFS('1. All Data'!$AB$3:$AB$129,"Leisure, Culture &amp; Tourism",'1. All Data'!$M$3:$M$129,"Deferred")</f>
        <v>0</v>
      </c>
      <c r="K63" s="292" t="e">
        <f>J63/J65</f>
        <v>#DIV/0!</v>
      </c>
      <c r="L63" s="292" t="e">
        <f>K63</f>
        <v>#DIV/0!</v>
      </c>
      <c r="M63" s="293"/>
      <c r="N63" s="65"/>
      <c r="P63" s="291" t="s">
        <v>167</v>
      </c>
      <c r="Q63" s="282">
        <f>COUNTIFS('1. All Data'!$AB$3:$AB$129,"Leisure, Amenities &amp; Tourism",'1. All Data'!$R$3:$R$129,"Deferred")</f>
        <v>5</v>
      </c>
      <c r="R63" s="292">
        <f>Q63/Q65</f>
        <v>0.29411764705882354</v>
      </c>
      <c r="S63" s="292">
        <f>R63</f>
        <v>0.29411764705882354</v>
      </c>
      <c r="T63" s="293"/>
      <c r="U63" s="65"/>
      <c r="W63" s="247" t="s">
        <v>167</v>
      </c>
      <c r="X63" s="282">
        <f>COUNTIFS('1. All Data'!$AB$3:$AB$129,"Leisure, Amenities &amp; Tourism",'1. All Data'!$V$3:$V$129,"Deferred")</f>
        <v>5</v>
      </c>
      <c r="Y63" s="292">
        <f>X63/X65</f>
        <v>0.29411764705882354</v>
      </c>
      <c r="Z63" s="292">
        <f>Y63</f>
        <v>0.29411764705882354</v>
      </c>
      <c r="AA63" s="249"/>
      <c r="AB63" s="65"/>
      <c r="AC63" s="227"/>
    </row>
    <row r="64" spans="2:29" ht="15.75" customHeight="1">
      <c r="B64" s="291" t="s">
        <v>168</v>
      </c>
      <c r="C64" s="282">
        <f>COUNTIFS('1. All Data'!$AB$3:$AB$129,"Leisure, Culture &amp; Tourism",'1. All Data'!$H$3:$H$129,"Deleted")</f>
        <v>0</v>
      </c>
      <c r="D64" s="292" t="e">
        <f>C64/C65</f>
        <v>#DIV/0!</v>
      </c>
      <c r="E64" s="292" t="e">
        <f>D64</f>
        <v>#DIV/0!</v>
      </c>
      <c r="F64" s="293"/>
      <c r="G64" s="36" t="s">
        <v>194</v>
      </c>
      <c r="I64" s="291" t="s">
        <v>168</v>
      </c>
      <c r="J64" s="282">
        <f>COUNTIFS('1. All Data'!$AB$3:$AB$129,"Leisure, Culture &amp; Tourism",'1. All Data'!$M$3:$M$129,"Deleted")</f>
        <v>0</v>
      </c>
      <c r="K64" s="292" t="e">
        <f>J64/J65</f>
        <v>#DIV/0!</v>
      </c>
      <c r="L64" s="292" t="e">
        <f>K64</f>
        <v>#DIV/0!</v>
      </c>
      <c r="M64" s="293"/>
      <c r="N64" s="36" t="s">
        <v>194</v>
      </c>
      <c r="P64" s="291" t="s">
        <v>168</v>
      </c>
      <c r="Q64" s="282">
        <f>COUNTIFS('1. All Data'!$AB$3:$AB$129,"Leisure, Amenities &amp; Tourism",'1. All Data'!$R$3:$R$129,"Deleted")</f>
        <v>0</v>
      </c>
      <c r="R64" s="292">
        <f>Q64/Q65</f>
        <v>0</v>
      </c>
      <c r="S64" s="292">
        <f>R64</f>
        <v>0</v>
      </c>
      <c r="T64" s="293"/>
      <c r="U64" s="36" t="s">
        <v>194</v>
      </c>
      <c r="W64" s="247" t="s">
        <v>168</v>
      </c>
      <c r="X64" s="282">
        <f>COUNTIFS('1. All Data'!$AB$3:$AB$129,"Leisure, Amenities &amp; Tourism",'1. All Data'!$V$3:$V$129,"Deleted")</f>
        <v>0</v>
      </c>
      <c r="Y64" s="292">
        <f>X64/X65</f>
        <v>0</v>
      </c>
      <c r="Z64" s="292">
        <f>Y64</f>
        <v>0</v>
      </c>
      <c r="AA64" s="249"/>
      <c r="AB64" s="9" t="s">
        <v>194</v>
      </c>
      <c r="AC64" s="227"/>
    </row>
    <row r="65" spans="2:29" ht="15.75" customHeight="1">
      <c r="B65" s="294" t="s">
        <v>195</v>
      </c>
      <c r="C65" s="295">
        <f>SUM(C51:C64)</f>
        <v>0</v>
      </c>
      <c r="D65" s="249"/>
      <c r="E65" s="249"/>
      <c r="F65" s="296"/>
      <c r="G65" s="65"/>
      <c r="I65" s="294" t="s">
        <v>195</v>
      </c>
      <c r="J65" s="295">
        <f>SUM(J51:J64)</f>
        <v>0</v>
      </c>
      <c r="K65" s="249"/>
      <c r="L65" s="249"/>
      <c r="M65" s="296"/>
      <c r="N65" s="65"/>
      <c r="P65" s="294" t="s">
        <v>195</v>
      </c>
      <c r="Q65" s="295">
        <f>SUM(Q51:Q64)</f>
        <v>17</v>
      </c>
      <c r="R65" s="249"/>
      <c r="S65" s="249"/>
      <c r="T65" s="296"/>
      <c r="U65" s="65"/>
      <c r="W65" s="250" t="s">
        <v>195</v>
      </c>
      <c r="X65" s="295">
        <f>SUM(X51:X64)</f>
        <v>17</v>
      </c>
      <c r="Y65" s="249"/>
      <c r="Z65" s="249"/>
      <c r="AA65" s="65"/>
      <c r="AB65" s="65"/>
      <c r="AC65" s="227"/>
    </row>
    <row r="66" spans="2:29" ht="15.75" customHeight="1">
      <c r="B66" s="294" t="s">
        <v>196</v>
      </c>
      <c r="C66" s="295">
        <f>C65-C64-C63-C62-C61</f>
        <v>0</v>
      </c>
      <c r="D66" s="65"/>
      <c r="E66" s="65"/>
      <c r="F66" s="296"/>
      <c r="G66" s="65"/>
      <c r="I66" s="294" t="s">
        <v>196</v>
      </c>
      <c r="J66" s="295">
        <f>J65-J64-J63-J62-J61</f>
        <v>0</v>
      </c>
      <c r="K66" s="65"/>
      <c r="L66" s="65"/>
      <c r="M66" s="296"/>
      <c r="N66" s="65"/>
      <c r="P66" s="294" t="s">
        <v>196</v>
      </c>
      <c r="Q66" s="295">
        <f>Q65-Q64-Q63-Q62-Q61</f>
        <v>12</v>
      </c>
      <c r="R66" s="65"/>
      <c r="S66" s="65"/>
      <c r="T66" s="296"/>
      <c r="U66" s="65"/>
      <c r="W66" s="250" t="s">
        <v>196</v>
      </c>
      <c r="X66" s="295">
        <f>X65-X64-X63-X62-X61</f>
        <v>12</v>
      </c>
      <c r="Y66" s="65"/>
      <c r="Z66" s="65"/>
      <c r="AA66" s="65"/>
      <c r="AB66" s="65"/>
      <c r="AC66" s="227"/>
    </row>
    <row r="67" spans="2:29" ht="15.75" customHeight="1">
      <c r="W67" s="252"/>
      <c r="AA67" s="8"/>
      <c r="AC67" s="227"/>
    </row>
    <row r="68" spans="2:29" ht="15.75" customHeight="1">
      <c r="W68" s="226"/>
      <c r="X68" s="298"/>
      <c r="Y68" s="226"/>
      <c r="Z68" s="226"/>
      <c r="AA68" s="226"/>
      <c r="AB68" s="259"/>
      <c r="AC68" s="227"/>
    </row>
    <row r="69" spans="2:29" ht="15.75" customHeight="1">
      <c r="W69" s="299"/>
      <c r="X69" s="300"/>
      <c r="Y69" s="65"/>
      <c r="Z69" s="65"/>
      <c r="AA69" s="65"/>
      <c r="AB69" s="249"/>
      <c r="AC69" s="227"/>
    </row>
    <row r="70" spans="2:29" s="227" customFormat="1" ht="15.6">
      <c r="B70" s="301" t="s">
        <v>219</v>
      </c>
      <c r="C70" s="277"/>
      <c r="D70" s="277"/>
      <c r="E70" s="277"/>
      <c r="F70" s="278"/>
      <c r="G70" s="277"/>
      <c r="I70" s="301" t="s">
        <v>219</v>
      </c>
      <c r="J70" s="277"/>
      <c r="K70" s="277"/>
      <c r="L70" s="277"/>
      <c r="M70" s="278"/>
      <c r="N70" s="277"/>
      <c r="P70" s="301" t="s">
        <v>219</v>
      </c>
      <c r="Q70" s="277"/>
      <c r="R70" s="277"/>
      <c r="S70" s="277"/>
      <c r="T70" s="278"/>
      <c r="U70" s="277"/>
      <c r="W70" s="301" t="s">
        <v>219</v>
      </c>
      <c r="X70" s="277"/>
      <c r="Y70" s="277"/>
      <c r="Z70" s="277"/>
      <c r="AA70" s="278"/>
      <c r="AB70" s="277"/>
    </row>
    <row r="71" spans="2:29" ht="41.25" customHeight="1">
      <c r="B71" s="279" t="s">
        <v>186</v>
      </c>
      <c r="C71" s="280" t="s">
        <v>187</v>
      </c>
      <c r="D71" s="280" t="s">
        <v>188</v>
      </c>
      <c r="E71" s="280" t="s">
        <v>189</v>
      </c>
      <c r="F71" s="279" t="s">
        <v>190</v>
      </c>
      <c r="G71" s="280" t="s">
        <v>191</v>
      </c>
      <c r="I71" s="279" t="s">
        <v>186</v>
      </c>
      <c r="J71" s="280" t="s">
        <v>187</v>
      </c>
      <c r="K71" s="280" t="s">
        <v>188</v>
      </c>
      <c r="L71" s="280" t="s">
        <v>189</v>
      </c>
      <c r="M71" s="279" t="s">
        <v>190</v>
      </c>
      <c r="N71" s="280" t="s">
        <v>191</v>
      </c>
      <c r="P71" s="279" t="s">
        <v>186</v>
      </c>
      <c r="Q71" s="280" t="s">
        <v>187</v>
      </c>
      <c r="R71" s="280" t="s">
        <v>188</v>
      </c>
      <c r="S71" s="280" t="s">
        <v>189</v>
      </c>
      <c r="T71" s="279" t="s">
        <v>190</v>
      </c>
      <c r="U71" s="280" t="s">
        <v>191</v>
      </c>
      <c r="W71" s="223" t="s">
        <v>186</v>
      </c>
      <c r="X71" s="223" t="s">
        <v>187</v>
      </c>
      <c r="Y71" s="223" t="s">
        <v>188</v>
      </c>
      <c r="Z71" s="223" t="s">
        <v>189</v>
      </c>
      <c r="AA71" s="223" t="s">
        <v>190</v>
      </c>
      <c r="AB71" s="223" t="s">
        <v>191</v>
      </c>
      <c r="AC71" s="227"/>
    </row>
    <row r="72" spans="2:29" ht="6.75" customHeight="1">
      <c r="B72" s="224"/>
      <c r="C72" s="225"/>
      <c r="D72" s="225"/>
      <c r="E72" s="225"/>
      <c r="F72" s="224"/>
      <c r="G72" s="225"/>
      <c r="I72" s="224"/>
      <c r="J72" s="225"/>
      <c r="K72" s="225"/>
      <c r="L72" s="225"/>
      <c r="M72" s="224"/>
      <c r="N72" s="225"/>
      <c r="P72" s="224"/>
      <c r="Q72" s="225"/>
      <c r="R72" s="225"/>
      <c r="S72" s="225"/>
      <c r="T72" s="224"/>
      <c r="U72" s="225"/>
      <c r="W72" s="224"/>
      <c r="X72" s="225"/>
      <c r="Y72" s="225"/>
      <c r="Z72" s="225"/>
      <c r="AA72" s="225"/>
      <c r="AB72" s="225"/>
      <c r="AC72" s="227"/>
    </row>
    <row r="73" spans="2:29" ht="27.75" customHeight="1">
      <c r="B73" s="281" t="s">
        <v>192</v>
      </c>
      <c r="C73" s="282">
        <f>COUNTIFS('1. All Data'!$AB$3:$AB$129,"Regeneration &amp; Planning Policy",'1. All Data'!$H$3:$H$129,"Fully Achieved")</f>
        <v>0</v>
      </c>
      <c r="D73" s="283">
        <f>C73/C87</f>
        <v>0</v>
      </c>
      <c r="E73" s="423">
        <f>D73+D74</f>
        <v>0.75</v>
      </c>
      <c r="F73" s="284">
        <f>C73/C88</f>
        <v>0</v>
      </c>
      <c r="G73" s="439">
        <f>F73+F74</f>
        <v>0.94736842105263153</v>
      </c>
      <c r="I73" s="281" t="s">
        <v>192</v>
      </c>
      <c r="J73" s="282">
        <f>COUNTIFS('1. All Data'!$AB$3:$AB$129,"Regeneration &amp; Planning Policy",'1. All Data'!$M$3:$M$129,"Fully Achieved")</f>
        <v>0</v>
      </c>
      <c r="K73" s="283">
        <f>J73/J87</f>
        <v>0</v>
      </c>
      <c r="L73" s="423">
        <f>K73+K74</f>
        <v>0.95833333333333337</v>
      </c>
      <c r="M73" s="284">
        <f>J73/J88</f>
        <v>0</v>
      </c>
      <c r="N73" s="439">
        <f>M73+M74</f>
        <v>1</v>
      </c>
      <c r="P73" s="281" t="s">
        <v>192</v>
      </c>
      <c r="Q73" s="282">
        <f>COUNTIFS('1. All Data'!$AB$3:$AB$129,"Regeneration &amp; Planning Policy",'1. All Data'!$R$3:$R$129,"Fully Achieved")</f>
        <v>11</v>
      </c>
      <c r="R73" s="283">
        <f>Q73/Q87</f>
        <v>0.45833333333333331</v>
      </c>
      <c r="S73" s="423">
        <f>R73+R74</f>
        <v>0.91666666666666663</v>
      </c>
      <c r="T73" s="284">
        <f>Q73/Q88</f>
        <v>0.5</v>
      </c>
      <c r="U73" s="439">
        <f>T73+T74</f>
        <v>1</v>
      </c>
      <c r="W73" s="228" t="s">
        <v>192</v>
      </c>
      <c r="X73" s="282">
        <f>COUNTIFS('1. All Data'!$AB$3:$AB$129,"Regeneration &amp; Planning Policy",'1. All Data'!$V$3:$V$129,"Fully Achieved")</f>
        <v>21</v>
      </c>
      <c r="Y73" s="283">
        <f>X73/X87</f>
        <v>0.875</v>
      </c>
      <c r="Z73" s="423">
        <f>Y73+Y74</f>
        <v>0.875</v>
      </c>
      <c r="AA73" s="283">
        <f>X73/X88</f>
        <v>0.95454545454545459</v>
      </c>
      <c r="AB73" s="398">
        <f>AA73+AA74</f>
        <v>0.95454545454545459</v>
      </c>
      <c r="AC73" s="227"/>
    </row>
    <row r="74" spans="2:29" ht="27.75" customHeight="1">
      <c r="B74" s="281" t="s">
        <v>169</v>
      </c>
      <c r="C74" s="282">
        <f>COUNTIFS('1. All Data'!$AB$3:$AB$129,"Regeneration &amp; Planning Policy",'1. All Data'!$H$3:$H$129,"On Track to be Achieved")</f>
        <v>18</v>
      </c>
      <c r="D74" s="283">
        <f>C74/C87</f>
        <v>0.75</v>
      </c>
      <c r="E74" s="423"/>
      <c r="F74" s="284">
        <f>C74/C88</f>
        <v>0.94736842105263153</v>
      </c>
      <c r="G74" s="439"/>
      <c r="I74" s="281" t="s">
        <v>169</v>
      </c>
      <c r="J74" s="282">
        <f>COUNTIFS('1. All Data'!$AB$3:$AB$129,"Regeneration &amp; Planning Policy",'1. All Data'!$M$3:$M$129,"On Track to be Achieved")</f>
        <v>23</v>
      </c>
      <c r="K74" s="283">
        <f>J74/J87</f>
        <v>0.95833333333333337</v>
      </c>
      <c r="L74" s="423"/>
      <c r="M74" s="284">
        <f>J74/J88</f>
        <v>1</v>
      </c>
      <c r="N74" s="439"/>
      <c r="P74" s="281" t="s">
        <v>169</v>
      </c>
      <c r="Q74" s="282">
        <f>COUNTIFS('1. All Data'!$AB$3:$AB$129,"Regeneration &amp; Planning Policy",'1. All Data'!$R$3:$R$129,"On Track to be Achieved")</f>
        <v>11</v>
      </c>
      <c r="R74" s="283">
        <f>Q74/Q87</f>
        <v>0.45833333333333331</v>
      </c>
      <c r="S74" s="423"/>
      <c r="T74" s="284">
        <f>Q74/Q88</f>
        <v>0.5</v>
      </c>
      <c r="U74" s="439"/>
      <c r="W74" s="228" t="s">
        <v>161</v>
      </c>
      <c r="X74" s="282">
        <f>COUNTIFS('1. All Data'!$AB$3:$AB$129,"Regeneration &amp; Planning Policy",'1. All Data'!$V$3:$V$129,"Numerical Outturn Within 5% Tolerance")</f>
        <v>0</v>
      </c>
      <c r="Y74" s="283">
        <f>X74/X87</f>
        <v>0</v>
      </c>
      <c r="Z74" s="423"/>
      <c r="AA74" s="283">
        <f>X74/X88</f>
        <v>0</v>
      </c>
      <c r="AB74" s="398"/>
      <c r="AC74" s="227"/>
    </row>
    <row r="75" spans="2:29" ht="7.5" customHeight="1">
      <c r="B75" s="224"/>
      <c r="C75" s="242"/>
      <c r="D75" s="239"/>
      <c r="E75" s="239"/>
      <c r="F75" s="285"/>
      <c r="G75" s="240"/>
      <c r="I75" s="224"/>
      <c r="J75" s="242"/>
      <c r="K75" s="239"/>
      <c r="L75" s="239"/>
      <c r="M75" s="285"/>
      <c r="N75" s="240"/>
      <c r="P75" s="224"/>
      <c r="Q75" s="242"/>
      <c r="R75" s="239"/>
      <c r="S75" s="239"/>
      <c r="T75" s="285"/>
      <c r="U75" s="240"/>
      <c r="W75" s="231"/>
      <c r="X75" s="232"/>
      <c r="Y75" s="233"/>
      <c r="Z75" s="233"/>
      <c r="AA75" s="233"/>
      <c r="AB75" s="234"/>
      <c r="AC75" s="227"/>
    </row>
    <row r="76" spans="2:29" ht="21" customHeight="1">
      <c r="B76" s="424" t="s">
        <v>170</v>
      </c>
      <c r="C76" s="427">
        <f>COUNTIFS('1. All Data'!$AB$3:$AB$129,"Regeneration &amp; Planning Policy",'1. All Data'!$H$3:$H$129,"In Danger of Falling Behind Target")</f>
        <v>1</v>
      </c>
      <c r="D76" s="430">
        <f>C76/C87</f>
        <v>4.1666666666666664E-2</v>
      </c>
      <c r="E76" s="430">
        <f>D76</f>
        <v>4.1666666666666664E-2</v>
      </c>
      <c r="F76" s="433">
        <f>C76/C88</f>
        <v>5.2631578947368418E-2</v>
      </c>
      <c r="G76" s="436">
        <f>F76</f>
        <v>5.2631578947368418E-2</v>
      </c>
      <c r="I76" s="424" t="s">
        <v>170</v>
      </c>
      <c r="J76" s="427">
        <f>COUNTIFS('1. All Data'!$AB$3:$AB$129,"Regeneration &amp; Planning Policy",'1. All Data'!$M$3:$M$129,"In Danger of Falling Behind Target")</f>
        <v>0</v>
      </c>
      <c r="K76" s="430">
        <f>J76/J87</f>
        <v>0</v>
      </c>
      <c r="L76" s="430">
        <f>K76</f>
        <v>0</v>
      </c>
      <c r="M76" s="433">
        <f>J76/J88</f>
        <v>0</v>
      </c>
      <c r="N76" s="436">
        <f>M76</f>
        <v>0</v>
      </c>
      <c r="P76" s="424" t="s">
        <v>170</v>
      </c>
      <c r="Q76" s="427">
        <f>COUNTIFS('1. All Data'!$AB$3:$AB$129,"Regeneration &amp; Planning Policy",'1. All Data'!$R$3:$R$129,"In Danger of Falling Behind Target")</f>
        <v>0</v>
      </c>
      <c r="R76" s="430">
        <f>Q76/Q87</f>
        <v>0</v>
      </c>
      <c r="S76" s="430">
        <f>R76</f>
        <v>0</v>
      </c>
      <c r="T76" s="433">
        <f>Q76/Q88</f>
        <v>0</v>
      </c>
      <c r="U76" s="436">
        <f>T76</f>
        <v>0</v>
      </c>
      <c r="W76" s="237" t="s">
        <v>162</v>
      </c>
      <c r="X76" s="238">
        <f>COUNTIFS('1. All Data'!$AB$3:$AB$129,"Regeneration &amp; Planning Policy",'1. All Data'!$V$3:$V$129,"Numerical Outturn Within 10% Tolerance")</f>
        <v>0</v>
      </c>
      <c r="Y76" s="230">
        <f>X76/X87</f>
        <v>0</v>
      </c>
      <c r="Z76" s="399">
        <f>SUM(Y76:Y78)</f>
        <v>4.1666666666666664E-2</v>
      </c>
      <c r="AA76" s="230">
        <f>X76/X88</f>
        <v>0</v>
      </c>
      <c r="AB76" s="412">
        <f>SUM(AA76:AA78)</f>
        <v>4.5454545454545456E-2</v>
      </c>
      <c r="AC76" s="227"/>
    </row>
    <row r="77" spans="2:29" ht="18.75" customHeight="1">
      <c r="B77" s="425"/>
      <c r="C77" s="428"/>
      <c r="D77" s="431"/>
      <c r="E77" s="431"/>
      <c r="F77" s="434"/>
      <c r="G77" s="437"/>
      <c r="I77" s="425"/>
      <c r="J77" s="428"/>
      <c r="K77" s="431"/>
      <c r="L77" s="431"/>
      <c r="M77" s="434"/>
      <c r="N77" s="437"/>
      <c r="P77" s="425"/>
      <c r="Q77" s="428"/>
      <c r="R77" s="431"/>
      <c r="S77" s="431"/>
      <c r="T77" s="434"/>
      <c r="U77" s="437"/>
      <c r="W77" s="237" t="s">
        <v>163</v>
      </c>
      <c r="X77" s="238">
        <f>COUNTIFS('1. All Data'!$AB$3:$AB$129,"Regeneration &amp; Planning Policy",'1. All Data'!$V$3:$V$129,"Target Partially Met")</f>
        <v>1</v>
      </c>
      <c r="Y77" s="230">
        <f>X77/X87</f>
        <v>4.1666666666666664E-2</v>
      </c>
      <c r="Z77" s="399"/>
      <c r="AA77" s="230">
        <f>X77/X88</f>
        <v>4.5454545454545456E-2</v>
      </c>
      <c r="AB77" s="412"/>
      <c r="AC77" s="227"/>
    </row>
    <row r="78" spans="2:29" ht="20.25" customHeight="1">
      <c r="B78" s="426"/>
      <c r="C78" s="429"/>
      <c r="D78" s="432"/>
      <c r="E78" s="432"/>
      <c r="F78" s="435"/>
      <c r="G78" s="438"/>
      <c r="I78" s="426"/>
      <c r="J78" s="429"/>
      <c r="K78" s="432"/>
      <c r="L78" s="432"/>
      <c r="M78" s="435"/>
      <c r="N78" s="438"/>
      <c r="P78" s="426"/>
      <c r="Q78" s="429"/>
      <c r="R78" s="432"/>
      <c r="S78" s="432"/>
      <c r="T78" s="435"/>
      <c r="U78" s="438"/>
      <c r="W78" s="237" t="s">
        <v>166</v>
      </c>
      <c r="X78" s="238">
        <f>COUNTIFS('1. All Data'!$AB$3:$AB$129,"Regeneration &amp; Planning Policy",'1. All Data'!$V$3:$V$129,"Completion Date Within Reasonable Tolerance")</f>
        <v>0</v>
      </c>
      <c r="Y78" s="230">
        <f>X78/X87</f>
        <v>0</v>
      </c>
      <c r="Z78" s="399"/>
      <c r="AA78" s="230">
        <f>X78/X88</f>
        <v>0</v>
      </c>
      <c r="AB78" s="412"/>
      <c r="AC78" s="227"/>
    </row>
    <row r="79" spans="2:29" ht="6" customHeight="1">
      <c r="B79" s="224"/>
      <c r="C79" s="225"/>
      <c r="D79" s="239"/>
      <c r="E79" s="239"/>
      <c r="F79" s="285"/>
      <c r="G79" s="240"/>
      <c r="I79" s="224"/>
      <c r="J79" s="225"/>
      <c r="K79" s="239"/>
      <c r="L79" s="239"/>
      <c r="M79" s="285"/>
      <c r="N79" s="240"/>
      <c r="P79" s="224"/>
      <c r="Q79" s="225"/>
      <c r="R79" s="239"/>
      <c r="S79" s="239"/>
      <c r="T79" s="285"/>
      <c r="U79" s="240"/>
      <c r="W79" s="224"/>
      <c r="X79" s="225"/>
      <c r="Y79" s="239"/>
      <c r="Z79" s="239"/>
      <c r="AA79" s="239"/>
      <c r="AB79" s="240"/>
      <c r="AC79" s="227"/>
    </row>
    <row r="80" spans="2:29" ht="30" customHeight="1">
      <c r="B80" s="286" t="s">
        <v>171</v>
      </c>
      <c r="C80" s="282">
        <f>COUNTIFS('1. All Data'!$AB$3:$AB$129,"Regeneration &amp; Planning Policy",'1. All Data'!$H$3:$H$129,"Completed Behind Schedule")</f>
        <v>0</v>
      </c>
      <c r="D80" s="283">
        <f>C80/C87</f>
        <v>0</v>
      </c>
      <c r="E80" s="423">
        <f>D80+D81</f>
        <v>0</v>
      </c>
      <c r="F80" s="284">
        <f>C80/C88</f>
        <v>0</v>
      </c>
      <c r="G80" s="441">
        <f>F80+F81</f>
        <v>0</v>
      </c>
      <c r="I80" s="286" t="s">
        <v>171</v>
      </c>
      <c r="J80" s="282">
        <f>COUNTIFS('1. All Data'!$AB$3:$AB$129,"Regeneration &amp; Planning Policy",'1. All Data'!$M$3:$M$129,"Completed Behind Schedule")</f>
        <v>0</v>
      </c>
      <c r="K80" s="283">
        <f>J80/J87</f>
        <v>0</v>
      </c>
      <c r="L80" s="423">
        <f>K80+K81</f>
        <v>0</v>
      </c>
      <c r="M80" s="284">
        <f>J80/J88</f>
        <v>0</v>
      </c>
      <c r="N80" s="441">
        <f>M80+M81</f>
        <v>0</v>
      </c>
      <c r="P80" s="286" t="s">
        <v>171</v>
      </c>
      <c r="Q80" s="282">
        <f>COUNTIFS('1. All Data'!$AB$3:$AB$129,"Regeneration &amp; Planning Policy",'1. All Data'!$R$3:$R$129,"Completed Behind Schedule")</f>
        <v>0</v>
      </c>
      <c r="R80" s="283">
        <f>Q80/Q87</f>
        <v>0</v>
      </c>
      <c r="S80" s="423">
        <f>R80+R81</f>
        <v>0</v>
      </c>
      <c r="T80" s="284">
        <f>Q80/Q88</f>
        <v>0</v>
      </c>
      <c r="U80" s="441">
        <f>T80+T81</f>
        <v>0</v>
      </c>
      <c r="W80" s="241" t="s">
        <v>165</v>
      </c>
      <c r="X80" s="282">
        <f>COUNTIFS('1. All Data'!$AB$3:$AB$129,"Regeneration &amp; Planning Policy",'1. All Data'!$V$3:$V$129,"Completed Significantly After Target Deadline")</f>
        <v>0</v>
      </c>
      <c r="Y80" s="283">
        <f>X80/X87</f>
        <v>0</v>
      </c>
      <c r="Z80" s="423">
        <f>Y80+Y81</f>
        <v>0</v>
      </c>
      <c r="AA80" s="230">
        <f>X80/X88</f>
        <v>0</v>
      </c>
      <c r="AB80" s="413">
        <f>AA80+AA81</f>
        <v>0</v>
      </c>
      <c r="AC80" s="227"/>
    </row>
    <row r="81" spans="2:29" ht="30" customHeight="1">
      <c r="B81" s="286" t="s">
        <v>164</v>
      </c>
      <c r="C81" s="282">
        <f>COUNTIFS('1. All Data'!$AB$3:$AB$129,"Regeneration &amp; Planning Policy",'1. All Data'!$H$3:$H$129,"Off Target")</f>
        <v>0</v>
      </c>
      <c r="D81" s="283">
        <f>C81/C87</f>
        <v>0</v>
      </c>
      <c r="E81" s="423"/>
      <c r="F81" s="284">
        <f>C81/C88</f>
        <v>0</v>
      </c>
      <c r="G81" s="441"/>
      <c r="I81" s="286" t="s">
        <v>164</v>
      </c>
      <c r="J81" s="282">
        <f>COUNTIFS('1. All Data'!$AB$3:$AB$129,"Regeneration &amp; Planning Policy",'1. All Data'!$M$3:$M$129,"Off Target")</f>
        <v>0</v>
      </c>
      <c r="K81" s="283">
        <f>J81/J87</f>
        <v>0</v>
      </c>
      <c r="L81" s="423"/>
      <c r="M81" s="284">
        <f>J81/J88</f>
        <v>0</v>
      </c>
      <c r="N81" s="441"/>
      <c r="P81" s="286" t="s">
        <v>164</v>
      </c>
      <c r="Q81" s="282">
        <f>COUNTIFS('1. All Data'!$AB$3:$AB$129,"Regeneration &amp; Planning Policy",'1. All Data'!$R$3:$R$129,"Off Target")</f>
        <v>0</v>
      </c>
      <c r="R81" s="283">
        <f>Q81/Q87</f>
        <v>0</v>
      </c>
      <c r="S81" s="423"/>
      <c r="T81" s="284">
        <f>Q81/Q88</f>
        <v>0</v>
      </c>
      <c r="U81" s="441"/>
      <c r="W81" s="241" t="s">
        <v>164</v>
      </c>
      <c r="X81" s="282">
        <f>COUNTIFS('1. All Data'!$AB$3:$AB$129,"Regeneration &amp; Planning Policy",'1. All Data'!$R$3:$R$129,"Off Target")</f>
        <v>0</v>
      </c>
      <c r="Y81" s="283">
        <f>X81/X87</f>
        <v>0</v>
      </c>
      <c r="Z81" s="423"/>
      <c r="AA81" s="230">
        <f>X81/X88</f>
        <v>0</v>
      </c>
      <c r="AB81" s="413"/>
      <c r="AC81" s="227"/>
    </row>
    <row r="82" spans="2:29" ht="5.25" customHeight="1">
      <c r="B82" s="224"/>
      <c r="C82" s="242"/>
      <c r="D82" s="239"/>
      <c r="E82" s="239"/>
      <c r="F82" s="285"/>
      <c r="G82" s="243"/>
      <c r="I82" s="224"/>
      <c r="J82" s="242"/>
      <c r="K82" s="239"/>
      <c r="L82" s="239"/>
      <c r="M82" s="285"/>
      <c r="N82" s="243"/>
      <c r="P82" s="224"/>
      <c r="Q82" s="242"/>
      <c r="R82" s="239"/>
      <c r="S82" s="239"/>
      <c r="T82" s="285"/>
      <c r="U82" s="243"/>
      <c r="W82" s="224"/>
      <c r="X82" s="242"/>
      <c r="Y82" s="239"/>
      <c r="Z82" s="239"/>
      <c r="AA82" s="239"/>
      <c r="AB82" s="243"/>
      <c r="AC82" s="227"/>
    </row>
    <row r="83" spans="2:29" ht="15.75" customHeight="1">
      <c r="B83" s="288" t="s">
        <v>193</v>
      </c>
      <c r="C83" s="282">
        <f>COUNTIFS('1. All Data'!$AB$3:$AB$129,"Regeneration &amp; Planning Policy",'1. All Data'!$H$3:$H$129,"Not yet due")</f>
        <v>4</v>
      </c>
      <c r="D83" s="289">
        <f>C83/C87</f>
        <v>0.16666666666666666</v>
      </c>
      <c r="E83" s="289">
        <f>D83</f>
        <v>0.16666666666666666</v>
      </c>
      <c r="F83" s="290"/>
      <c r="G83" s="65"/>
      <c r="I83" s="288" t="s">
        <v>193</v>
      </c>
      <c r="J83" s="282">
        <f>COUNTIFS('1. All Data'!$AB$3:$AB$129,"Regeneration &amp; Planning Policy",'1. All Data'!$M$3:$M$129,"Not yet due")</f>
        <v>0</v>
      </c>
      <c r="K83" s="289">
        <f>J83/J87</f>
        <v>0</v>
      </c>
      <c r="L83" s="289">
        <f>K83</f>
        <v>0</v>
      </c>
      <c r="M83" s="290"/>
      <c r="N83" s="65"/>
      <c r="P83" s="288" t="s">
        <v>193</v>
      </c>
      <c r="Q83" s="282">
        <f>COUNTIFS('1. All Data'!$AB$3:$AB$129,"Regeneration &amp; Planning Policy",'1. All Data'!$R$3:$R$129,"Not yet due")</f>
        <v>0</v>
      </c>
      <c r="R83" s="289">
        <f>Q83/Q87</f>
        <v>0</v>
      </c>
      <c r="S83" s="289">
        <f>R83</f>
        <v>0</v>
      </c>
      <c r="T83" s="290"/>
      <c r="U83" s="65"/>
      <c r="W83" s="244" t="s">
        <v>193</v>
      </c>
      <c r="X83" s="282">
        <f>COUNTIFS('1. All Data'!$AB$3:$AB$129,"Regeneration &amp; Planning Policy",'1. All Data'!$V$3:$V$129,"Not yet due")</f>
        <v>0</v>
      </c>
      <c r="Y83" s="289">
        <f>X83/X87</f>
        <v>0</v>
      </c>
      <c r="Z83" s="289">
        <f>Y83</f>
        <v>0</v>
      </c>
      <c r="AA83" s="246"/>
      <c r="AB83" s="65"/>
      <c r="AC83" s="227"/>
    </row>
    <row r="84" spans="2:29" ht="15.75" customHeight="1">
      <c r="B84" s="288" t="s">
        <v>159</v>
      </c>
      <c r="C84" s="282">
        <f>COUNTIFS('1. All Data'!$AB$3:$AB$129,"Regeneration &amp; Planning Policy",'1. All Data'!$H$3:$H$129,"Update not provided")</f>
        <v>0</v>
      </c>
      <c r="D84" s="289">
        <f>C84/C87</f>
        <v>0</v>
      </c>
      <c r="E84" s="289">
        <f>D84</f>
        <v>0</v>
      </c>
      <c r="F84" s="290"/>
      <c r="G84" s="8"/>
      <c r="I84" s="288" t="s">
        <v>159</v>
      </c>
      <c r="J84" s="282">
        <f>COUNTIFS('1. All Data'!$AB$3:$AB$129,"Regeneration &amp; Planning Policy",'1. All Data'!$M$3:$M$129,"Update not provided")</f>
        <v>0</v>
      </c>
      <c r="K84" s="289">
        <f>J84/J87</f>
        <v>0</v>
      </c>
      <c r="L84" s="289">
        <f>K84</f>
        <v>0</v>
      </c>
      <c r="M84" s="290"/>
      <c r="N84" s="8"/>
      <c r="P84" s="288" t="s">
        <v>159</v>
      </c>
      <c r="Q84" s="282">
        <f>COUNTIFS('1. All Data'!$AB$3:$AB$129,"Regeneration &amp; Planning Policy",'1. All Data'!$R$3:$R$129,"Update not provided")</f>
        <v>0</v>
      </c>
      <c r="R84" s="289">
        <f>Q84/Q87</f>
        <v>0</v>
      </c>
      <c r="S84" s="289">
        <f>R84</f>
        <v>0</v>
      </c>
      <c r="T84" s="290"/>
      <c r="U84" s="8"/>
      <c r="W84" s="244" t="s">
        <v>159</v>
      </c>
      <c r="X84" s="282">
        <f>COUNTIFS('1. All Data'!$AB$3:$AB$129,"Regeneration &amp; Planning Policy",'1. All Data'!$V$3:$V$129,"Update not provided")</f>
        <v>0</v>
      </c>
      <c r="Y84" s="289">
        <f>X84/X87</f>
        <v>0</v>
      </c>
      <c r="Z84" s="289">
        <f>Y84</f>
        <v>0</v>
      </c>
      <c r="AA84" s="246"/>
      <c r="AB84" s="8"/>
      <c r="AC84" s="227"/>
    </row>
    <row r="85" spans="2:29" ht="15.75" customHeight="1">
      <c r="B85" s="291" t="s">
        <v>167</v>
      </c>
      <c r="C85" s="282">
        <f>COUNTIFS('1. All Data'!$AB$3:$AB$129,"Regeneration &amp; Planning Policy",'1. All Data'!$H$3:$H$129,"Deferred")</f>
        <v>1</v>
      </c>
      <c r="D85" s="292">
        <f>C85/C87</f>
        <v>4.1666666666666664E-2</v>
      </c>
      <c r="E85" s="292">
        <f>D85</f>
        <v>4.1666666666666664E-2</v>
      </c>
      <c r="F85" s="293"/>
      <c r="G85" s="65"/>
      <c r="I85" s="291" t="s">
        <v>167</v>
      </c>
      <c r="J85" s="282">
        <f>COUNTIFS('1. All Data'!$AB$3:$AB$129,"Regeneration &amp; Planning Policy",'1. All Data'!$M$3:$M$129,"Deferred")</f>
        <v>1</v>
      </c>
      <c r="K85" s="292">
        <f>J85/J87</f>
        <v>4.1666666666666664E-2</v>
      </c>
      <c r="L85" s="292">
        <f>K85</f>
        <v>4.1666666666666664E-2</v>
      </c>
      <c r="M85" s="293"/>
      <c r="N85" s="65"/>
      <c r="P85" s="291" t="s">
        <v>167</v>
      </c>
      <c r="Q85" s="282">
        <f>COUNTIFS('1. All Data'!$AB$3:$AB$129,"Regeneration &amp; Planning Policy",'1. All Data'!$R$3:$R$129,"Deferred")</f>
        <v>2</v>
      </c>
      <c r="R85" s="292">
        <f>Q85/Q87</f>
        <v>8.3333333333333329E-2</v>
      </c>
      <c r="S85" s="292">
        <f>R85</f>
        <v>8.3333333333333329E-2</v>
      </c>
      <c r="T85" s="293"/>
      <c r="U85" s="65"/>
      <c r="W85" s="247" t="s">
        <v>167</v>
      </c>
      <c r="X85" s="282">
        <f>COUNTIFS('1. All Data'!$AB$3:$AB$129,"Regeneration &amp; Planning Policy",'1. All Data'!$V$3:$V$129,"Deferred")</f>
        <v>2</v>
      </c>
      <c r="Y85" s="292">
        <f>X85/X87</f>
        <v>8.3333333333333329E-2</v>
      </c>
      <c r="Z85" s="292">
        <f>Y85</f>
        <v>8.3333333333333329E-2</v>
      </c>
      <c r="AA85" s="249"/>
      <c r="AB85" s="65"/>
      <c r="AC85" s="227"/>
    </row>
    <row r="86" spans="2:29" ht="15.75" customHeight="1">
      <c r="B86" s="291" t="s">
        <v>168</v>
      </c>
      <c r="C86" s="282">
        <f>COUNTIFS('1. All Data'!$AB$3:$AB$129,"Regeneration &amp; Planning Policy",'1. All Data'!$H$3:$H$129,"Deleted")</f>
        <v>0</v>
      </c>
      <c r="D86" s="292">
        <f>C86/C87</f>
        <v>0</v>
      </c>
      <c r="E86" s="292">
        <f>D86</f>
        <v>0</v>
      </c>
      <c r="F86" s="293"/>
      <c r="G86" s="36" t="s">
        <v>194</v>
      </c>
      <c r="I86" s="291" t="s">
        <v>168</v>
      </c>
      <c r="J86" s="282">
        <f>COUNTIFS('1. All Data'!$AB$3:$AB$129,"Regeneration &amp; Planning Policy",'1. All Data'!$M$3:$M$129,"Deleted")</f>
        <v>0</v>
      </c>
      <c r="K86" s="292">
        <f>J86/J87</f>
        <v>0</v>
      </c>
      <c r="L86" s="292">
        <f>K86</f>
        <v>0</v>
      </c>
      <c r="M86" s="293"/>
      <c r="N86" s="36" t="s">
        <v>194</v>
      </c>
      <c r="P86" s="291" t="s">
        <v>168</v>
      </c>
      <c r="Q86" s="282">
        <f>COUNTIFS('1. All Data'!$AB$3:$AB$129,"Regeneration &amp; Planning Policy",'1. All Data'!$R$3:$R$129,"Deleted")</f>
        <v>0</v>
      </c>
      <c r="R86" s="292">
        <f>Q86/Q87</f>
        <v>0</v>
      </c>
      <c r="S86" s="292">
        <f>R86</f>
        <v>0</v>
      </c>
      <c r="T86" s="293"/>
      <c r="U86" s="36" t="s">
        <v>194</v>
      </c>
      <c r="W86" s="247" t="s">
        <v>168</v>
      </c>
      <c r="X86" s="282">
        <f>COUNTIFS('1. All Data'!$AB$3:$AB$129,"Regeneration &amp; Planning Policy",'1. All Data'!$V$3:$V$129,"Deleted")</f>
        <v>0</v>
      </c>
      <c r="Y86" s="292">
        <f>X86/X87</f>
        <v>0</v>
      </c>
      <c r="Z86" s="292">
        <f>Y86</f>
        <v>0</v>
      </c>
      <c r="AA86" s="249"/>
      <c r="AB86" s="9" t="s">
        <v>194</v>
      </c>
      <c r="AC86" s="227"/>
    </row>
    <row r="87" spans="2:29" ht="15.75" customHeight="1">
      <c r="B87" s="294" t="s">
        <v>195</v>
      </c>
      <c r="C87" s="295">
        <f>SUM(C73:C86)</f>
        <v>24</v>
      </c>
      <c r="D87" s="249"/>
      <c r="E87" s="249"/>
      <c r="F87" s="296"/>
      <c r="G87" s="65"/>
      <c r="I87" s="294" t="s">
        <v>195</v>
      </c>
      <c r="J87" s="295">
        <f>SUM(J73:J86)</f>
        <v>24</v>
      </c>
      <c r="K87" s="249"/>
      <c r="L87" s="249"/>
      <c r="M87" s="296"/>
      <c r="N87" s="65"/>
      <c r="P87" s="294" t="s">
        <v>195</v>
      </c>
      <c r="Q87" s="295">
        <f>SUM(Q73:Q86)</f>
        <v>24</v>
      </c>
      <c r="R87" s="249"/>
      <c r="S87" s="249"/>
      <c r="T87" s="296"/>
      <c r="U87" s="65"/>
      <c r="W87" s="250" t="s">
        <v>195</v>
      </c>
      <c r="X87" s="295">
        <f>SUM(X73:X86)</f>
        <v>24</v>
      </c>
      <c r="Y87" s="249"/>
      <c r="Z87" s="249"/>
      <c r="AA87" s="65"/>
      <c r="AB87" s="65"/>
      <c r="AC87" s="227"/>
    </row>
    <row r="88" spans="2:29" ht="15.75" customHeight="1">
      <c r="B88" s="294" t="s">
        <v>196</v>
      </c>
      <c r="C88" s="295">
        <f>C87-C86-C85-C84-C83</f>
        <v>19</v>
      </c>
      <c r="D88" s="65"/>
      <c r="E88" s="65"/>
      <c r="F88" s="296"/>
      <c r="G88" s="65"/>
      <c r="I88" s="294" t="s">
        <v>196</v>
      </c>
      <c r="J88" s="295">
        <f>J87-J86-J85-J84-J83</f>
        <v>23</v>
      </c>
      <c r="K88" s="65"/>
      <c r="L88" s="65"/>
      <c r="M88" s="296"/>
      <c r="N88" s="65"/>
      <c r="P88" s="294" t="s">
        <v>196</v>
      </c>
      <c r="Q88" s="295">
        <f>Q87-Q86-Q85-Q84-Q83</f>
        <v>22</v>
      </c>
      <c r="R88" s="65"/>
      <c r="S88" s="65"/>
      <c r="T88" s="296"/>
      <c r="U88" s="65"/>
      <c r="W88" s="250" t="s">
        <v>196</v>
      </c>
      <c r="X88" s="295">
        <f>X87-X86-X85-X84-X83</f>
        <v>22</v>
      </c>
      <c r="Y88" s="65"/>
      <c r="Z88" s="65"/>
      <c r="AA88" s="65"/>
      <c r="AB88" s="65"/>
      <c r="AC88" s="227"/>
    </row>
    <row r="89" spans="2:29" ht="15.75" customHeight="1">
      <c r="W89" s="252"/>
      <c r="AA89" s="8"/>
      <c r="AC89" s="227"/>
    </row>
    <row r="90" spans="2:29" ht="15.75" customHeight="1">
      <c r="W90" s="226"/>
      <c r="X90" s="226"/>
      <c r="Y90" s="226"/>
      <c r="Z90" s="226"/>
      <c r="AA90" s="226"/>
      <c r="AB90" s="259"/>
      <c r="AC90" s="227"/>
    </row>
    <row r="91" spans="2:29" s="227" customFormat="1" ht="15.75" customHeight="1">
      <c r="B91" s="260"/>
      <c r="C91" s="226"/>
      <c r="D91" s="226"/>
      <c r="E91" s="226"/>
      <c r="F91" s="296"/>
      <c r="G91" s="226"/>
      <c r="I91" s="260"/>
      <c r="J91" s="226"/>
      <c r="K91" s="226"/>
      <c r="L91" s="226"/>
      <c r="M91" s="296"/>
      <c r="N91" s="226"/>
      <c r="P91" s="260"/>
      <c r="Q91" s="226"/>
      <c r="R91" s="226"/>
      <c r="S91" s="226"/>
      <c r="T91" s="296"/>
      <c r="U91" s="226"/>
      <c r="W91" s="226"/>
      <c r="X91" s="226"/>
      <c r="Y91" s="226"/>
      <c r="Z91" s="226"/>
      <c r="AA91" s="226"/>
      <c r="AB91" s="259"/>
    </row>
    <row r="92" spans="2:29" s="227" customFormat="1" ht="15.6">
      <c r="B92" s="301" t="s">
        <v>220</v>
      </c>
      <c r="C92" s="277"/>
      <c r="D92" s="277"/>
      <c r="E92" s="277"/>
      <c r="F92" s="278"/>
      <c r="G92" s="277"/>
      <c r="I92" s="301" t="s">
        <v>220</v>
      </c>
      <c r="J92" s="277"/>
      <c r="K92" s="277"/>
      <c r="L92" s="277"/>
      <c r="M92" s="278"/>
      <c r="N92" s="277"/>
      <c r="P92" s="301" t="s">
        <v>941</v>
      </c>
      <c r="Q92" s="277"/>
      <c r="R92" s="277"/>
      <c r="S92" s="277"/>
      <c r="T92" s="278"/>
      <c r="U92" s="277"/>
      <c r="W92" s="301" t="s">
        <v>941</v>
      </c>
      <c r="X92" s="277"/>
      <c r="Y92" s="277"/>
      <c r="Z92" s="277"/>
      <c r="AA92" s="278"/>
      <c r="AB92" s="277"/>
    </row>
    <row r="93" spans="2:29" ht="36" customHeight="1">
      <c r="B93" s="279" t="s">
        <v>186</v>
      </c>
      <c r="C93" s="280" t="s">
        <v>187</v>
      </c>
      <c r="D93" s="280" t="s">
        <v>188</v>
      </c>
      <c r="E93" s="280" t="s">
        <v>189</v>
      </c>
      <c r="F93" s="279" t="s">
        <v>190</v>
      </c>
      <c r="G93" s="280" t="s">
        <v>191</v>
      </c>
      <c r="I93" s="279" t="s">
        <v>186</v>
      </c>
      <c r="J93" s="280" t="s">
        <v>187</v>
      </c>
      <c r="K93" s="280" t="s">
        <v>188</v>
      </c>
      <c r="L93" s="280" t="s">
        <v>189</v>
      </c>
      <c r="M93" s="279" t="s">
        <v>190</v>
      </c>
      <c r="N93" s="280" t="s">
        <v>191</v>
      </c>
      <c r="P93" s="279" t="s">
        <v>186</v>
      </c>
      <c r="Q93" s="280" t="s">
        <v>187</v>
      </c>
      <c r="R93" s="280" t="s">
        <v>188</v>
      </c>
      <c r="S93" s="280" t="s">
        <v>189</v>
      </c>
      <c r="T93" s="279" t="s">
        <v>190</v>
      </c>
      <c r="U93" s="280" t="s">
        <v>191</v>
      </c>
      <c r="W93" s="223" t="s">
        <v>186</v>
      </c>
      <c r="X93" s="223" t="s">
        <v>187</v>
      </c>
      <c r="Y93" s="223" t="s">
        <v>188</v>
      </c>
      <c r="Z93" s="223" t="s">
        <v>189</v>
      </c>
      <c r="AA93" s="223" t="s">
        <v>190</v>
      </c>
      <c r="AB93" s="223" t="s">
        <v>191</v>
      </c>
      <c r="AC93" s="227"/>
    </row>
    <row r="94" spans="2:29" s="227" customFormat="1" ht="7.5" customHeight="1">
      <c r="B94" s="224"/>
      <c r="C94" s="225"/>
      <c r="D94" s="225"/>
      <c r="E94" s="225"/>
      <c r="F94" s="224"/>
      <c r="G94" s="225"/>
      <c r="I94" s="224"/>
      <c r="J94" s="225"/>
      <c r="K94" s="225"/>
      <c r="L94" s="225"/>
      <c r="M94" s="224"/>
      <c r="N94" s="225"/>
      <c r="P94" s="224"/>
      <c r="Q94" s="225"/>
      <c r="R94" s="225"/>
      <c r="S94" s="225"/>
      <c r="T94" s="224"/>
      <c r="U94" s="225"/>
      <c r="W94" s="224"/>
      <c r="X94" s="225"/>
      <c r="Y94" s="225"/>
      <c r="Z94" s="225"/>
      <c r="AA94" s="225"/>
      <c r="AB94" s="225"/>
    </row>
    <row r="95" spans="2:29" ht="18.75" customHeight="1">
      <c r="B95" s="281" t="s">
        <v>192</v>
      </c>
      <c r="C95" s="282">
        <f>COUNTIFS('1. All Data'!$AB$3:$AB$129,"Regulatory &amp; Community Support",'1. All Data'!$H$3:$H$129,"Fully Achieved")</f>
        <v>0</v>
      </c>
      <c r="D95" s="283" t="e">
        <f>C95/C109</f>
        <v>#DIV/0!</v>
      </c>
      <c r="E95" s="423" t="e">
        <f>D95+D96</f>
        <v>#DIV/0!</v>
      </c>
      <c r="F95" s="284" t="e">
        <f>C95/C110</f>
        <v>#DIV/0!</v>
      </c>
      <c r="G95" s="439" t="e">
        <f>F95+F96</f>
        <v>#DIV/0!</v>
      </c>
      <c r="I95" s="281" t="s">
        <v>192</v>
      </c>
      <c r="J95" s="282">
        <f>COUNTIFS('1. All Data'!$AB$3:$AB$129,"Regulatory &amp; Community Support",'1. All Data'!$M$3:$M$129,"Fully Achieved")</f>
        <v>0</v>
      </c>
      <c r="K95" s="283" t="e">
        <f>J95/J109</f>
        <v>#DIV/0!</v>
      </c>
      <c r="L95" s="423" t="e">
        <f>K95+K96</f>
        <v>#DIV/0!</v>
      </c>
      <c r="M95" s="284" t="e">
        <f>J95/J110</f>
        <v>#DIV/0!</v>
      </c>
      <c r="N95" s="439" t="e">
        <f>M95+M96</f>
        <v>#DIV/0!</v>
      </c>
      <c r="P95" s="281" t="s">
        <v>192</v>
      </c>
      <c r="Q95" s="282">
        <f>COUNTIFS('1. All Data'!$AB$3:$AB$129,"Community &amp; Regulatory Services",'1. All Data'!$R$3:$R$129,"Fully Achieved")</f>
        <v>4</v>
      </c>
      <c r="R95" s="283">
        <f>Q95/Q109</f>
        <v>0.30769230769230771</v>
      </c>
      <c r="S95" s="423">
        <f>R95+R96</f>
        <v>0.69230769230769229</v>
      </c>
      <c r="T95" s="284">
        <f>Q95/Q110</f>
        <v>0.4</v>
      </c>
      <c r="U95" s="439">
        <f>T95+T96</f>
        <v>0.9</v>
      </c>
      <c r="W95" s="228" t="s">
        <v>192</v>
      </c>
      <c r="X95" s="282">
        <f>COUNTIFS('1. All Data'!$AB$3:$AB$129,"Community &amp; Regulatory Services",'1. All Data'!$V$3:$V$129,"Fully Achieved")</f>
        <v>8</v>
      </c>
      <c r="Y95" s="283">
        <f>X95/X109</f>
        <v>0.66666666666666663</v>
      </c>
      <c r="Z95" s="423">
        <f>Y95+Y96</f>
        <v>0.66666666666666663</v>
      </c>
      <c r="AA95" s="283">
        <f>X95/X110</f>
        <v>0.88888888888888884</v>
      </c>
      <c r="AB95" s="398">
        <f>AA95+AA96</f>
        <v>0.88888888888888884</v>
      </c>
      <c r="AC95" s="227"/>
    </row>
    <row r="96" spans="2:29" ht="18.75" customHeight="1">
      <c r="B96" s="281" t="s">
        <v>169</v>
      </c>
      <c r="C96" s="282">
        <f>COUNTIFS('1. All Data'!$AB$3:$AB$129,"Regulatory &amp; Community Support",'1. All Data'!$H$3:$H$129,"On Track to be Achieved")</f>
        <v>0</v>
      </c>
      <c r="D96" s="283" t="e">
        <f>C96/C109</f>
        <v>#DIV/0!</v>
      </c>
      <c r="E96" s="423"/>
      <c r="F96" s="284" t="e">
        <f>C96/C110</f>
        <v>#DIV/0!</v>
      </c>
      <c r="G96" s="439"/>
      <c r="I96" s="281" t="s">
        <v>169</v>
      </c>
      <c r="J96" s="282">
        <f>COUNTIFS('1. All Data'!$AB$3:$AB$129,"Regulatory &amp; Community Support",'1. All Data'!$M$3:$M$129,"On Track to be Achieved")</f>
        <v>0</v>
      </c>
      <c r="K96" s="283" t="e">
        <f>J96/J109</f>
        <v>#DIV/0!</v>
      </c>
      <c r="L96" s="423"/>
      <c r="M96" s="284" t="e">
        <f>J96/J110</f>
        <v>#DIV/0!</v>
      </c>
      <c r="N96" s="439"/>
      <c r="P96" s="281" t="s">
        <v>169</v>
      </c>
      <c r="Q96" s="282">
        <f>COUNTIFS('1. All Data'!$AB$3:$AB$129,"Community &amp; Regulatory Services",'1. All Data'!$R$3:$R$129,"On Track to be Achieved")</f>
        <v>5</v>
      </c>
      <c r="R96" s="283">
        <f>Q96/Q109</f>
        <v>0.38461538461538464</v>
      </c>
      <c r="S96" s="423"/>
      <c r="T96" s="284">
        <f>Q96/Q110</f>
        <v>0.5</v>
      </c>
      <c r="U96" s="439"/>
      <c r="W96" s="228" t="s">
        <v>161</v>
      </c>
      <c r="X96" s="282">
        <f>COUNTIFS('1. All Data'!$AB$3:$AB$129,"Community &amp; Regulatory Services",'1. All Data'!$V$3:$V$129,"Numerical Outturn Within 5% Tolerance")</f>
        <v>0</v>
      </c>
      <c r="Y96" s="283">
        <f>X96/X109</f>
        <v>0</v>
      </c>
      <c r="Z96" s="423"/>
      <c r="AA96" s="283">
        <f>X96/X110</f>
        <v>0</v>
      </c>
      <c r="AB96" s="398"/>
      <c r="AC96" s="227"/>
    </row>
    <row r="97" spans="2:29" s="227" customFormat="1" ht="6.75" customHeight="1">
      <c r="B97" s="224"/>
      <c r="C97" s="242"/>
      <c r="D97" s="239"/>
      <c r="E97" s="239"/>
      <c r="F97" s="285"/>
      <c r="G97" s="240"/>
      <c r="I97" s="224"/>
      <c r="J97" s="242"/>
      <c r="K97" s="239"/>
      <c r="L97" s="239"/>
      <c r="M97" s="285"/>
      <c r="N97" s="240"/>
      <c r="P97" s="224"/>
      <c r="Q97" s="242"/>
      <c r="R97" s="239"/>
      <c r="S97" s="239"/>
      <c r="T97" s="285"/>
      <c r="U97" s="240"/>
      <c r="W97" s="231"/>
      <c r="X97" s="232"/>
      <c r="Y97" s="233"/>
      <c r="Z97" s="233"/>
      <c r="AA97" s="233"/>
      <c r="AB97" s="234"/>
    </row>
    <row r="98" spans="2:29" ht="16.5" customHeight="1">
      <c r="B98" s="424" t="s">
        <v>170</v>
      </c>
      <c r="C98" s="427">
        <f>COUNTIFS('1. All Data'!$AB$3:$AB$129,"Regulatory &amp; Community Support",'1. All Data'!$H$3:$H$129,"In Danger of Falling Behind Target")</f>
        <v>0</v>
      </c>
      <c r="D98" s="430" t="e">
        <f>C98/C109</f>
        <v>#DIV/0!</v>
      </c>
      <c r="E98" s="430" t="e">
        <f>D98</f>
        <v>#DIV/0!</v>
      </c>
      <c r="F98" s="433" t="e">
        <f>C98/C110</f>
        <v>#DIV/0!</v>
      </c>
      <c r="G98" s="436" t="e">
        <f>F98</f>
        <v>#DIV/0!</v>
      </c>
      <c r="I98" s="424" t="s">
        <v>170</v>
      </c>
      <c r="J98" s="427">
        <f>COUNTIFS('1. All Data'!$AB$3:$AB$129,"Regulatory &amp; Community Support",'1. All Data'!$M$3:$M$129,"In Danger of Falling Behind Target")</f>
        <v>0</v>
      </c>
      <c r="K98" s="430" t="e">
        <f>J98/J109</f>
        <v>#DIV/0!</v>
      </c>
      <c r="L98" s="430" t="e">
        <f>K98</f>
        <v>#DIV/0!</v>
      </c>
      <c r="M98" s="433" t="e">
        <f>J98/J110</f>
        <v>#DIV/0!</v>
      </c>
      <c r="N98" s="436" t="e">
        <f>M98</f>
        <v>#DIV/0!</v>
      </c>
      <c r="P98" s="424" t="s">
        <v>170</v>
      </c>
      <c r="Q98" s="427">
        <f>COUNTIFS('1. All Data'!$AB$3:$AB$129,"Community &amp; Regulatory Services",'1. All Data'!$R$3:$R$129,"In Danger of Falling Behind Target")</f>
        <v>1</v>
      </c>
      <c r="R98" s="430">
        <f>Q98/Q109</f>
        <v>7.6923076923076927E-2</v>
      </c>
      <c r="S98" s="430">
        <f>R98</f>
        <v>7.6923076923076927E-2</v>
      </c>
      <c r="T98" s="433">
        <f>Q98/Q110</f>
        <v>0.1</v>
      </c>
      <c r="U98" s="436">
        <f>T98</f>
        <v>0.1</v>
      </c>
      <c r="W98" s="237" t="s">
        <v>162</v>
      </c>
      <c r="X98" s="238">
        <f>COUNTIFS('1. All Data'!$AB$3:$AB$129,"Community &amp; Regulatory Services",'1. All Data'!$V$3:$V$129,"Numerical Outturn Within 10% Tolerance")</f>
        <v>0</v>
      </c>
      <c r="Y98" s="230">
        <f>X98/X109</f>
        <v>0</v>
      </c>
      <c r="Z98" s="399">
        <f>SUM(Y98:Y100)</f>
        <v>8.3333333333333329E-2</v>
      </c>
      <c r="AA98" s="230">
        <f>X98/X110</f>
        <v>0</v>
      </c>
      <c r="AB98" s="412">
        <f>SUM(AA98:AA100)</f>
        <v>0.1111111111111111</v>
      </c>
      <c r="AC98" s="227"/>
    </row>
    <row r="99" spans="2:29" ht="16.5" customHeight="1">
      <c r="B99" s="425"/>
      <c r="C99" s="428"/>
      <c r="D99" s="431"/>
      <c r="E99" s="431"/>
      <c r="F99" s="434"/>
      <c r="G99" s="437"/>
      <c r="I99" s="425"/>
      <c r="J99" s="428"/>
      <c r="K99" s="431"/>
      <c r="L99" s="431"/>
      <c r="M99" s="434"/>
      <c r="N99" s="437"/>
      <c r="P99" s="425"/>
      <c r="Q99" s="428"/>
      <c r="R99" s="431"/>
      <c r="S99" s="431"/>
      <c r="T99" s="434"/>
      <c r="U99" s="437"/>
      <c r="W99" s="237" t="s">
        <v>163</v>
      </c>
      <c r="X99" s="238">
        <f>COUNTIFS('1. All Data'!$AB$3:$AB$129,"Community &amp; Regulatory Services",'1. All Data'!$V$3:$V$129,"Target Partially Met")</f>
        <v>1</v>
      </c>
      <c r="Y99" s="230">
        <f>X99/X109</f>
        <v>8.3333333333333329E-2</v>
      </c>
      <c r="Z99" s="399"/>
      <c r="AA99" s="230">
        <f>X99/X110</f>
        <v>0.1111111111111111</v>
      </c>
      <c r="AB99" s="412"/>
      <c r="AC99" s="227"/>
    </row>
    <row r="100" spans="2:29" ht="16.5" customHeight="1">
      <c r="B100" s="426"/>
      <c r="C100" s="429"/>
      <c r="D100" s="432"/>
      <c r="E100" s="432"/>
      <c r="F100" s="435"/>
      <c r="G100" s="438"/>
      <c r="I100" s="426"/>
      <c r="J100" s="429"/>
      <c r="K100" s="432"/>
      <c r="L100" s="432"/>
      <c r="M100" s="435"/>
      <c r="N100" s="438"/>
      <c r="P100" s="426"/>
      <c r="Q100" s="429"/>
      <c r="R100" s="432"/>
      <c r="S100" s="432"/>
      <c r="T100" s="435"/>
      <c r="U100" s="438"/>
      <c r="W100" s="237" t="s">
        <v>166</v>
      </c>
      <c r="X100" s="238">
        <f>COUNTIFS('1. All Data'!$AB$3:$AB$129,"Community &amp; Regulatory Services",'1. All Data'!$V$3:$V$129,"Completion Date Within Reasonable Tolerance")</f>
        <v>0</v>
      </c>
      <c r="Y100" s="230">
        <f>X100/X109</f>
        <v>0</v>
      </c>
      <c r="Z100" s="399"/>
      <c r="AA100" s="230">
        <f>X100/X110</f>
        <v>0</v>
      </c>
      <c r="AB100" s="412"/>
      <c r="AC100" s="227"/>
    </row>
    <row r="101" spans="2:29" s="227" customFormat="1" ht="6" customHeight="1">
      <c r="B101" s="224"/>
      <c r="C101" s="225"/>
      <c r="D101" s="239"/>
      <c r="E101" s="239"/>
      <c r="F101" s="285"/>
      <c r="G101" s="240"/>
      <c r="I101" s="224"/>
      <c r="J101" s="225"/>
      <c r="K101" s="239"/>
      <c r="L101" s="239"/>
      <c r="M101" s="285"/>
      <c r="N101" s="240"/>
      <c r="P101" s="224"/>
      <c r="Q101" s="225"/>
      <c r="R101" s="239"/>
      <c r="S101" s="239"/>
      <c r="T101" s="285"/>
      <c r="U101" s="240"/>
      <c r="W101" s="224"/>
      <c r="X101" s="225"/>
      <c r="Y101" s="239"/>
      <c r="Z101" s="239"/>
      <c r="AA101" s="239"/>
      <c r="AB101" s="240"/>
    </row>
    <row r="102" spans="2:29" ht="22.5" customHeight="1">
      <c r="B102" s="286" t="s">
        <v>171</v>
      </c>
      <c r="C102" s="282">
        <f>COUNTIFS('1. All Data'!$AB$3:$AB$129,"Regulatory &amp; Community Support",'1. All Data'!$H$3:$H$129,"Completed Behind Schedule")</f>
        <v>0</v>
      </c>
      <c r="D102" s="283" t="e">
        <f>C102/C109</f>
        <v>#DIV/0!</v>
      </c>
      <c r="E102" s="423" t="e">
        <f>D102+D103</f>
        <v>#DIV/0!</v>
      </c>
      <c r="F102" s="284" t="e">
        <f>C102/C110</f>
        <v>#DIV/0!</v>
      </c>
      <c r="G102" s="441" t="e">
        <f>F102+F103</f>
        <v>#DIV/0!</v>
      </c>
      <c r="I102" s="286" t="s">
        <v>171</v>
      </c>
      <c r="J102" s="282">
        <f>COUNTIFS('1. All Data'!$AB$3:$AB$129,"Regulatory &amp; Community Support",'1. All Data'!$M$3:$M$129,"Completed Behind Schedule")</f>
        <v>0</v>
      </c>
      <c r="K102" s="283" t="e">
        <f>J102/J109</f>
        <v>#DIV/0!</v>
      </c>
      <c r="L102" s="423" t="e">
        <f>K102+K103</f>
        <v>#DIV/0!</v>
      </c>
      <c r="M102" s="284" t="e">
        <f>J102/J110</f>
        <v>#DIV/0!</v>
      </c>
      <c r="N102" s="441" t="e">
        <f>M102+M103</f>
        <v>#DIV/0!</v>
      </c>
      <c r="P102" s="286" t="s">
        <v>171</v>
      </c>
      <c r="Q102" s="282">
        <f>COUNTIFS('1. All Data'!$AB$3:$AB$129,"Community &amp; Regulatory Services",'1. All Data'!$R$3:$R$129,"Completed Behind Schedule")</f>
        <v>0</v>
      </c>
      <c r="R102" s="283">
        <f>Q102/Q109</f>
        <v>0</v>
      </c>
      <c r="S102" s="423">
        <f>R102+R103</f>
        <v>0</v>
      </c>
      <c r="T102" s="284">
        <f>Q102/Q110</f>
        <v>0</v>
      </c>
      <c r="U102" s="441">
        <f>T102+T103</f>
        <v>0</v>
      </c>
      <c r="W102" s="241" t="s">
        <v>165</v>
      </c>
      <c r="X102" s="282">
        <f>COUNTIFS('1. All Data'!$AB$3:$AB$129,"Community &amp; Regulatory Services",'1. All Data'!$V$3:$V$129,"Completed Significantly After Target Deadline")</f>
        <v>0</v>
      </c>
      <c r="Y102" s="283">
        <f>X102/X109</f>
        <v>0</v>
      </c>
      <c r="Z102" s="423">
        <f>Y102+Y103</f>
        <v>0</v>
      </c>
      <c r="AA102" s="230">
        <f>X102/X110</f>
        <v>0</v>
      </c>
      <c r="AB102" s="413">
        <f>AA102+AA103</f>
        <v>0</v>
      </c>
      <c r="AC102" s="227"/>
    </row>
    <row r="103" spans="2:29" ht="22.5" customHeight="1">
      <c r="B103" s="286" t="s">
        <v>164</v>
      </c>
      <c r="C103" s="282">
        <f>COUNTIFS('1. All Data'!$AB$3:$AB$129,"Regulatory &amp; Community Support",'1. All Data'!$H$3:$H$129,"Off Target")</f>
        <v>0</v>
      </c>
      <c r="D103" s="283" t="e">
        <f>C103/C109</f>
        <v>#DIV/0!</v>
      </c>
      <c r="E103" s="423"/>
      <c r="F103" s="284" t="e">
        <f>C103/C110</f>
        <v>#DIV/0!</v>
      </c>
      <c r="G103" s="441"/>
      <c r="I103" s="286" t="s">
        <v>164</v>
      </c>
      <c r="J103" s="282">
        <f>COUNTIFS('1. All Data'!$AB$3:$AB$129,"Regulatory &amp; Community Support",'1. All Data'!$M$3:$M$129,"Off Target")</f>
        <v>0</v>
      </c>
      <c r="K103" s="283" t="e">
        <f>J103/J109</f>
        <v>#DIV/0!</v>
      </c>
      <c r="L103" s="423"/>
      <c r="M103" s="284" t="e">
        <f>J103/J110</f>
        <v>#DIV/0!</v>
      </c>
      <c r="N103" s="441"/>
      <c r="P103" s="286" t="s">
        <v>164</v>
      </c>
      <c r="Q103" s="282">
        <f>COUNTIFS('1. All Data'!$AB$3:$AB$129,"Community &amp; Regulatory Services",'1. All Data'!$R$3:$R$129,"Off Target")</f>
        <v>0</v>
      </c>
      <c r="R103" s="283">
        <f>Q103/Q109</f>
        <v>0</v>
      </c>
      <c r="S103" s="423"/>
      <c r="T103" s="284">
        <f>Q103/Q110</f>
        <v>0</v>
      </c>
      <c r="U103" s="441"/>
      <c r="W103" s="241" t="s">
        <v>164</v>
      </c>
      <c r="X103" s="282">
        <f>COUNTIFS('1. All Data'!$AB$3:$AB$129,"Community &amp; Regulatory Services",'1. All Data'!$R$3:$R$129,"Off Target")</f>
        <v>0</v>
      </c>
      <c r="Y103" s="283">
        <f>X103/X109</f>
        <v>0</v>
      </c>
      <c r="Z103" s="423"/>
      <c r="AA103" s="230">
        <f>X103/X110</f>
        <v>0</v>
      </c>
      <c r="AB103" s="413"/>
      <c r="AC103" s="227"/>
    </row>
    <row r="104" spans="2:29" s="227" customFormat="1" ht="6.75" customHeight="1">
      <c r="B104" s="224"/>
      <c r="C104" s="242"/>
      <c r="D104" s="239"/>
      <c r="E104" s="239"/>
      <c r="F104" s="285"/>
      <c r="G104" s="243"/>
      <c r="I104" s="224"/>
      <c r="J104" s="242"/>
      <c r="K104" s="239"/>
      <c r="L104" s="239"/>
      <c r="M104" s="285"/>
      <c r="N104" s="243"/>
      <c r="P104" s="224"/>
      <c r="Q104" s="242"/>
      <c r="R104" s="239"/>
      <c r="S104" s="239"/>
      <c r="T104" s="285"/>
      <c r="U104" s="243"/>
      <c r="W104" s="224"/>
      <c r="X104" s="242"/>
      <c r="Y104" s="239"/>
      <c r="Z104" s="239"/>
      <c r="AA104" s="239"/>
      <c r="AB104" s="243"/>
    </row>
    <row r="105" spans="2:29" ht="15.75" customHeight="1">
      <c r="B105" s="288" t="s">
        <v>193</v>
      </c>
      <c r="C105" s="282">
        <f>COUNTIFS('1. All Data'!$AB$3:$AB$129,"Regulatory &amp; Community Support",'1. All Data'!$H$3:$H$129,"Not yet due")</f>
        <v>0</v>
      </c>
      <c r="D105" s="289" t="e">
        <f>C105/C109</f>
        <v>#DIV/0!</v>
      </c>
      <c r="E105" s="289" t="e">
        <f>D105</f>
        <v>#DIV/0!</v>
      </c>
      <c r="F105" s="290"/>
      <c r="G105" s="65"/>
      <c r="I105" s="288" t="s">
        <v>193</v>
      </c>
      <c r="J105" s="282">
        <f>COUNTIFS('1. All Data'!$AB$3:$AB$129,"Regulatory &amp; Community Support",'1. All Data'!$M$3:$M$129,"Not yet due")</f>
        <v>0</v>
      </c>
      <c r="K105" s="289" t="e">
        <f>J105/J109</f>
        <v>#DIV/0!</v>
      </c>
      <c r="L105" s="289" t="e">
        <f>K105</f>
        <v>#DIV/0!</v>
      </c>
      <c r="M105" s="290"/>
      <c r="N105" s="65"/>
      <c r="P105" s="288" t="s">
        <v>193</v>
      </c>
      <c r="Q105" s="282">
        <f>COUNTIFS('1. All Data'!$AB$3:$AB$129,"Community &amp; Regulatory Services",'1. All Data'!$R$3:$R$129,"Not yet due")</f>
        <v>0</v>
      </c>
      <c r="R105" s="289">
        <f>Q105/Q109</f>
        <v>0</v>
      </c>
      <c r="S105" s="289">
        <f>R105</f>
        <v>0</v>
      </c>
      <c r="T105" s="290"/>
      <c r="U105" s="65"/>
      <c r="W105" s="244" t="s">
        <v>193</v>
      </c>
      <c r="X105" s="282">
        <f>COUNTIFS('1. All Data'!$AB$3:$AB$129,"Community &amp; Regulatory Services",'1. All Data'!$V$3:$V$129,"Not yet due")</f>
        <v>0</v>
      </c>
      <c r="Y105" s="289">
        <f>X105/X109</f>
        <v>0</v>
      </c>
      <c r="Z105" s="289">
        <f>Y105</f>
        <v>0</v>
      </c>
      <c r="AA105" s="246"/>
      <c r="AB105" s="65"/>
      <c r="AC105" s="227"/>
    </row>
    <row r="106" spans="2:29" ht="15.75" customHeight="1">
      <c r="B106" s="288" t="s">
        <v>159</v>
      </c>
      <c r="C106" s="282">
        <f>COUNTIFS('1. All Data'!$AB$3:$AB$129,"Regulatory &amp; Community Support",'1. All Data'!$H$3:$H$129,"Update not provided")</f>
        <v>0</v>
      </c>
      <c r="D106" s="289" t="e">
        <f>C106/C109</f>
        <v>#DIV/0!</v>
      </c>
      <c r="E106" s="289" t="e">
        <f>D106</f>
        <v>#DIV/0!</v>
      </c>
      <c r="F106" s="290"/>
      <c r="G106" s="8"/>
      <c r="I106" s="288" t="s">
        <v>159</v>
      </c>
      <c r="J106" s="282">
        <f>COUNTIFS('1. All Data'!$AB$3:$AB$129,"Regulatory &amp; Community Support",'1. All Data'!$M$3:$M$129,"Update not provided")</f>
        <v>0</v>
      </c>
      <c r="K106" s="289" t="e">
        <f>J106/J109</f>
        <v>#DIV/0!</v>
      </c>
      <c r="L106" s="289" t="e">
        <f>K106</f>
        <v>#DIV/0!</v>
      </c>
      <c r="M106" s="290"/>
      <c r="N106" s="8"/>
      <c r="P106" s="288" t="s">
        <v>159</v>
      </c>
      <c r="Q106" s="282">
        <f>COUNTIFS('1. All Data'!$AB$3:$AB$129,"Community &amp; Regulatory Services",'1. All Data'!$R$3:$R$129,"Update not provided")</f>
        <v>0</v>
      </c>
      <c r="R106" s="289">
        <f>Q106/Q109</f>
        <v>0</v>
      </c>
      <c r="S106" s="289">
        <f>R106</f>
        <v>0</v>
      </c>
      <c r="T106" s="290"/>
      <c r="U106" s="8"/>
      <c r="W106" s="244" t="s">
        <v>159</v>
      </c>
      <c r="X106" s="282">
        <f>COUNTIFS('1. All Data'!$AB$3:$AB$129,"Community &amp; Regulatory Services",'1. All Data'!$V$3:$V$129,"Update not provided")</f>
        <v>0</v>
      </c>
      <c r="Y106" s="289">
        <f>X106/X109</f>
        <v>0</v>
      </c>
      <c r="Z106" s="289">
        <f>Y106</f>
        <v>0</v>
      </c>
      <c r="AA106" s="246"/>
      <c r="AB106" s="8"/>
      <c r="AC106" s="227"/>
    </row>
    <row r="107" spans="2:29" ht="15.75" customHeight="1">
      <c r="B107" s="291" t="s">
        <v>167</v>
      </c>
      <c r="C107" s="282">
        <f>COUNTIFS('1. All Data'!$AB$3:$AB$129,"Regulatory &amp; Community Support",'1. All Data'!$H$3:$H$129,"Deferred")</f>
        <v>0</v>
      </c>
      <c r="D107" s="292" t="e">
        <f>C107/C109</f>
        <v>#DIV/0!</v>
      </c>
      <c r="E107" s="292" t="e">
        <f>D107</f>
        <v>#DIV/0!</v>
      </c>
      <c r="F107" s="293"/>
      <c r="G107" s="65"/>
      <c r="I107" s="291" t="s">
        <v>167</v>
      </c>
      <c r="J107" s="282">
        <f>COUNTIFS('1. All Data'!$AB$3:$AB$129,"Regulatory &amp; Community Support",'1. All Data'!$M$3:$M$129,"Deferred")</f>
        <v>0</v>
      </c>
      <c r="K107" s="292" t="e">
        <f>J107/J109</f>
        <v>#DIV/0!</v>
      </c>
      <c r="L107" s="292" t="e">
        <f>K107</f>
        <v>#DIV/0!</v>
      </c>
      <c r="M107" s="293"/>
      <c r="N107" s="65"/>
      <c r="P107" s="291" t="s">
        <v>167</v>
      </c>
      <c r="Q107" s="282">
        <f>COUNTIFS('1. All Data'!$AB$3:$AB$129,"Community &amp; Regulatory Services",'1. All Data'!$R$3:$R$129,"Deferred")</f>
        <v>3</v>
      </c>
      <c r="R107" s="292">
        <f>Q107/Q109</f>
        <v>0.23076923076923078</v>
      </c>
      <c r="S107" s="292">
        <f>R107</f>
        <v>0.23076923076923078</v>
      </c>
      <c r="T107" s="293"/>
      <c r="U107" s="65"/>
      <c r="W107" s="247" t="s">
        <v>167</v>
      </c>
      <c r="X107" s="282">
        <f>COUNTIFS('1. All Data'!$AB$3:$AB$129,"Community &amp; Regulatory Services",'1. All Data'!$V$3:$V$129,"Deferred")</f>
        <v>3</v>
      </c>
      <c r="Y107" s="292">
        <f>X107/X109</f>
        <v>0.25</v>
      </c>
      <c r="Z107" s="292">
        <f>Y107</f>
        <v>0.25</v>
      </c>
      <c r="AA107" s="249"/>
      <c r="AB107" s="65"/>
      <c r="AC107" s="227"/>
    </row>
    <row r="108" spans="2:29" ht="15.75" customHeight="1">
      <c r="B108" s="291" t="s">
        <v>168</v>
      </c>
      <c r="C108" s="282">
        <f>COUNTIFS('1. All Data'!$AB$3:$AB$129,"Regulatory &amp; Community Support",'1. All Data'!$H$3:$H$129,"Deleted")</f>
        <v>0</v>
      </c>
      <c r="D108" s="292" t="e">
        <f>C108/C109</f>
        <v>#DIV/0!</v>
      </c>
      <c r="E108" s="292" t="e">
        <f>D108</f>
        <v>#DIV/0!</v>
      </c>
      <c r="F108" s="293"/>
      <c r="G108" s="36" t="s">
        <v>194</v>
      </c>
      <c r="I108" s="291" t="s">
        <v>168</v>
      </c>
      <c r="J108" s="282">
        <f>COUNTIFS('1. All Data'!$AB$3:$AB$129,"Regulatory &amp; Community Support",'1. All Data'!$M$3:$M$129,"Deleted")</f>
        <v>0</v>
      </c>
      <c r="K108" s="292" t="e">
        <f>J108/J109</f>
        <v>#DIV/0!</v>
      </c>
      <c r="L108" s="292" t="e">
        <f>K108</f>
        <v>#DIV/0!</v>
      </c>
      <c r="M108" s="293"/>
      <c r="N108" s="36" t="s">
        <v>194</v>
      </c>
      <c r="P108" s="291" t="s">
        <v>168</v>
      </c>
      <c r="Q108" s="282">
        <f>COUNTIFS('1. All Data'!$AB$3:$AB$129,"Community &amp; Regulatory Services",'1. All Data'!$R$3:$R$129,"Deleted")</f>
        <v>0</v>
      </c>
      <c r="R108" s="292">
        <f>Q108/Q109</f>
        <v>0</v>
      </c>
      <c r="S108" s="292">
        <f>R108</f>
        <v>0</v>
      </c>
      <c r="T108" s="293"/>
      <c r="U108" s="36" t="s">
        <v>194</v>
      </c>
      <c r="W108" s="247" t="s">
        <v>168</v>
      </c>
      <c r="X108" s="282">
        <f>COUNTIFS('1. All Data'!$AB$3:$AB$129,"Community &amp; Regulatory Services",'1. All Data'!$V$3:$V$129,"Deleted")</f>
        <v>0</v>
      </c>
      <c r="Y108" s="292">
        <f>X108/X109</f>
        <v>0</v>
      </c>
      <c r="Z108" s="292">
        <f>Y108</f>
        <v>0</v>
      </c>
      <c r="AA108" s="249"/>
      <c r="AB108" s="9" t="s">
        <v>194</v>
      </c>
      <c r="AC108" s="227"/>
    </row>
    <row r="109" spans="2:29" ht="15.75" customHeight="1">
      <c r="B109" s="294" t="s">
        <v>195</v>
      </c>
      <c r="C109" s="295">
        <f>SUM(C95:C108)</f>
        <v>0</v>
      </c>
      <c r="D109" s="249"/>
      <c r="E109" s="249"/>
      <c r="F109" s="296"/>
      <c r="G109" s="65"/>
      <c r="I109" s="294" t="s">
        <v>195</v>
      </c>
      <c r="J109" s="295">
        <f>SUM(J95:J108)</f>
        <v>0</v>
      </c>
      <c r="K109" s="249"/>
      <c r="L109" s="249"/>
      <c r="M109" s="296"/>
      <c r="N109" s="65"/>
      <c r="P109" s="294" t="s">
        <v>195</v>
      </c>
      <c r="Q109" s="295">
        <f>SUM(Q95:Q108)</f>
        <v>13</v>
      </c>
      <c r="R109" s="249"/>
      <c r="S109" s="249"/>
      <c r="T109" s="296"/>
      <c r="U109" s="65"/>
      <c r="W109" s="250" t="s">
        <v>195</v>
      </c>
      <c r="X109" s="295">
        <f>SUM(X95:X108)</f>
        <v>12</v>
      </c>
      <c r="Y109" s="249"/>
      <c r="Z109" s="249"/>
      <c r="AA109" s="65"/>
      <c r="AB109" s="65"/>
      <c r="AC109" s="227"/>
    </row>
    <row r="110" spans="2:29" ht="15.75" customHeight="1">
      <c r="B110" s="294" t="s">
        <v>196</v>
      </c>
      <c r="C110" s="295">
        <f>C109-C108-C107-C106-C105</f>
        <v>0</v>
      </c>
      <c r="D110" s="65"/>
      <c r="E110" s="65"/>
      <c r="F110" s="296"/>
      <c r="G110" s="65"/>
      <c r="I110" s="294" t="s">
        <v>196</v>
      </c>
      <c r="J110" s="295">
        <f>J109-J108-J107-J106-J105</f>
        <v>0</v>
      </c>
      <c r="K110" s="65"/>
      <c r="L110" s="65"/>
      <c r="M110" s="296"/>
      <c r="N110" s="65"/>
      <c r="P110" s="294" t="s">
        <v>196</v>
      </c>
      <c r="Q110" s="295">
        <f>Q109-Q108-Q107-Q106-Q105</f>
        <v>10</v>
      </c>
      <c r="R110" s="65"/>
      <c r="S110" s="65"/>
      <c r="T110" s="296"/>
      <c r="U110" s="65"/>
      <c r="W110" s="250" t="s">
        <v>196</v>
      </c>
      <c r="X110" s="295">
        <f>X109-X108-X107-X106-X105</f>
        <v>9</v>
      </c>
      <c r="Y110" s="65"/>
      <c r="Z110" s="65"/>
      <c r="AA110" s="65"/>
      <c r="AB110" s="65"/>
      <c r="AC110" s="227"/>
    </row>
    <row r="111" spans="2:29" ht="15.75" customHeight="1">
      <c r="W111" s="252"/>
      <c r="AA111" s="8"/>
      <c r="AC111" s="227"/>
    </row>
    <row r="112" spans="2:29" ht="15.75" customHeight="1">
      <c r="W112" s="226"/>
      <c r="X112" s="226"/>
      <c r="Y112" s="226"/>
      <c r="Z112" s="226"/>
      <c r="AA112" s="226"/>
      <c r="AB112" s="259"/>
      <c r="AC112" s="227"/>
    </row>
    <row r="113" spans="23:29" ht="15.75" customHeight="1">
      <c r="W113" s="226"/>
      <c r="X113" s="226"/>
      <c r="Y113" s="226"/>
      <c r="Z113" s="226"/>
      <c r="AA113" s="226"/>
      <c r="AB113" s="259"/>
      <c r="AC113" s="227"/>
    </row>
    <row r="114" spans="23:29">
      <c r="W114" s="226"/>
      <c r="X114" s="226"/>
      <c r="Y114" s="226"/>
      <c r="Z114" s="226"/>
      <c r="AA114" s="226"/>
      <c r="AB114" s="259"/>
      <c r="AC114" s="227"/>
    </row>
    <row r="115" spans="23:29">
      <c r="W115" s="226"/>
      <c r="X115" s="226"/>
      <c r="Y115" s="226"/>
      <c r="Z115" s="226"/>
      <c r="AA115" s="226"/>
      <c r="AB115" s="259"/>
      <c r="AC115" s="227"/>
    </row>
    <row r="116" spans="23:29">
      <c r="W116" s="226"/>
      <c r="X116" s="226"/>
      <c r="Y116" s="226"/>
      <c r="Z116" s="226"/>
      <c r="AA116" s="226"/>
      <c r="AB116" s="259"/>
      <c r="AC116" s="227"/>
    </row>
    <row r="117" spans="23:29">
      <c r="W117" s="226"/>
      <c r="X117" s="226"/>
      <c r="Y117" s="226"/>
      <c r="Z117" s="226"/>
      <c r="AA117" s="226"/>
      <c r="AB117" s="259"/>
      <c r="AC117" s="227"/>
    </row>
    <row r="118" spans="23:29">
      <c r="W118" s="226"/>
      <c r="X118" s="226"/>
      <c r="Y118" s="226"/>
      <c r="Z118" s="226"/>
      <c r="AA118" s="226"/>
      <c r="AB118" s="259"/>
      <c r="AC118" s="227"/>
    </row>
    <row r="119" spans="23:29">
      <c r="W119" s="226"/>
      <c r="X119" s="226"/>
      <c r="Y119" s="226"/>
      <c r="Z119" s="226"/>
      <c r="AA119" s="226"/>
      <c r="AB119" s="259"/>
      <c r="AC119" s="227"/>
    </row>
    <row r="120" spans="23:29">
      <c r="W120" s="226"/>
      <c r="X120" s="226"/>
      <c r="Y120" s="226"/>
      <c r="Z120" s="226"/>
      <c r="AA120" s="226"/>
      <c r="AB120" s="259"/>
      <c r="AC120" s="227"/>
    </row>
    <row r="121" spans="23:29">
      <c r="W121" s="226"/>
      <c r="X121" s="226"/>
      <c r="Y121" s="226"/>
      <c r="Z121" s="226"/>
      <c r="AA121" s="226"/>
      <c r="AB121" s="259"/>
      <c r="AC121" s="227"/>
    </row>
    <row r="122" spans="23:29">
      <c r="W122" s="226"/>
      <c r="X122" s="226"/>
      <c r="Y122" s="226"/>
      <c r="Z122" s="226"/>
      <c r="AA122" s="226"/>
      <c r="AB122" s="259"/>
      <c r="AC122" s="227"/>
    </row>
    <row r="123" spans="23:29">
      <c r="W123" s="226"/>
      <c r="X123" s="226"/>
      <c r="Y123" s="226"/>
      <c r="Z123" s="226"/>
      <c r="AA123" s="226"/>
      <c r="AB123" s="259"/>
      <c r="AC123" s="227"/>
    </row>
    <row r="124" spans="23:29">
      <c r="W124" s="226"/>
      <c r="X124" s="226"/>
      <c r="Y124" s="226"/>
      <c r="Z124" s="226"/>
      <c r="AA124" s="226"/>
      <c r="AB124" s="259"/>
      <c r="AC124" s="227"/>
    </row>
    <row r="125" spans="23:29">
      <c r="W125" s="226"/>
      <c r="X125" s="226"/>
      <c r="Y125" s="226"/>
      <c r="Z125" s="226"/>
      <c r="AA125" s="226"/>
      <c r="AB125" s="259"/>
      <c r="AC125" s="227"/>
    </row>
    <row r="126" spans="23:29">
      <c r="W126" s="226"/>
      <c r="X126" s="226"/>
      <c r="Y126" s="226"/>
      <c r="Z126" s="226"/>
      <c r="AA126" s="226"/>
      <c r="AB126" s="259"/>
      <c r="AC126" s="227"/>
    </row>
    <row r="127" spans="23:29">
      <c r="W127" s="226"/>
      <c r="X127" s="226"/>
      <c r="Y127" s="226"/>
      <c r="Z127" s="226"/>
      <c r="AA127" s="226"/>
      <c r="AB127" s="259"/>
      <c r="AC127" s="227"/>
    </row>
    <row r="128" spans="23:29">
      <c r="W128" s="226"/>
      <c r="X128" s="226"/>
      <c r="Y128" s="226"/>
      <c r="Z128" s="226"/>
      <c r="AA128" s="226"/>
      <c r="AB128" s="259"/>
      <c r="AC128" s="227"/>
    </row>
    <row r="129" spans="23:29">
      <c r="W129" s="226"/>
      <c r="X129" s="226"/>
      <c r="Y129" s="226"/>
      <c r="Z129" s="226"/>
      <c r="AA129" s="226"/>
      <c r="AB129" s="259"/>
      <c r="AC129" s="227"/>
    </row>
    <row r="130" spans="23:29">
      <c r="W130" s="226"/>
      <c r="X130" s="226"/>
      <c r="Y130" s="226"/>
      <c r="Z130" s="226"/>
      <c r="AA130" s="226"/>
      <c r="AB130" s="259"/>
      <c r="AC130" s="227"/>
    </row>
    <row r="131" spans="23:29">
      <c r="W131" s="226"/>
      <c r="X131" s="226"/>
      <c r="Y131" s="226"/>
      <c r="Z131" s="226"/>
      <c r="AA131" s="226"/>
      <c r="AB131" s="259"/>
      <c r="AC131" s="227"/>
    </row>
    <row r="132" spans="23:29">
      <c r="W132" s="226"/>
      <c r="X132" s="226"/>
      <c r="Y132" s="226"/>
      <c r="Z132" s="226"/>
      <c r="AA132" s="226"/>
      <c r="AB132" s="259"/>
      <c r="AC132" s="227"/>
    </row>
    <row r="133" spans="23:29">
      <c r="W133" s="226"/>
      <c r="X133" s="226"/>
      <c r="Y133" s="226"/>
      <c r="Z133" s="226"/>
      <c r="AA133" s="226"/>
      <c r="AB133" s="259"/>
      <c r="AC133" s="227"/>
    </row>
    <row r="134" spans="23:29">
      <c r="W134" s="226"/>
      <c r="X134" s="226"/>
      <c r="Y134" s="226"/>
      <c r="Z134" s="226"/>
      <c r="AA134" s="226"/>
      <c r="AB134" s="259"/>
      <c r="AC134" s="227"/>
    </row>
    <row r="135" spans="23:29">
      <c r="W135" s="226"/>
      <c r="X135" s="226"/>
      <c r="Y135" s="226"/>
      <c r="Z135" s="226"/>
      <c r="AA135" s="226"/>
      <c r="AB135" s="259"/>
      <c r="AC135" s="227"/>
    </row>
    <row r="136" spans="23:29">
      <c r="W136" s="226"/>
      <c r="X136" s="226"/>
      <c r="Y136" s="226"/>
      <c r="Z136" s="226"/>
      <c r="AA136" s="226"/>
      <c r="AB136" s="259"/>
      <c r="AC136" s="227"/>
    </row>
    <row r="137" spans="23:29">
      <c r="W137" s="226"/>
      <c r="X137" s="226"/>
      <c r="Y137" s="226"/>
      <c r="Z137" s="226"/>
      <c r="AA137" s="226"/>
      <c r="AB137" s="259"/>
      <c r="AC137" s="227"/>
    </row>
    <row r="138" spans="23:29">
      <c r="W138" s="226"/>
      <c r="X138" s="226"/>
      <c r="Y138" s="226"/>
      <c r="Z138" s="226"/>
      <c r="AA138" s="226"/>
      <c r="AB138" s="259"/>
      <c r="AC138" s="227"/>
    </row>
    <row r="139" spans="23:29">
      <c r="W139" s="226"/>
      <c r="X139" s="226"/>
      <c r="Y139" s="226"/>
      <c r="Z139" s="226"/>
      <c r="AA139" s="226"/>
      <c r="AB139" s="259"/>
      <c r="AC139" s="227"/>
    </row>
    <row r="140" spans="23:29">
      <c r="W140" s="226"/>
      <c r="X140" s="226"/>
      <c r="Y140" s="226"/>
      <c r="Z140" s="226"/>
      <c r="AA140" s="226"/>
      <c r="AB140" s="259"/>
      <c r="AC140" s="227"/>
    </row>
    <row r="141" spans="23:29">
      <c r="W141" s="226"/>
      <c r="X141" s="226"/>
      <c r="Y141" s="226"/>
      <c r="Z141" s="226"/>
      <c r="AA141" s="226"/>
      <c r="AB141" s="259"/>
      <c r="AC141" s="227"/>
    </row>
    <row r="142" spans="23:29">
      <c r="W142" s="226"/>
      <c r="X142" s="226"/>
      <c r="Y142" s="226"/>
      <c r="Z142" s="226"/>
      <c r="AA142" s="226"/>
      <c r="AB142" s="259"/>
      <c r="AC142" s="227"/>
    </row>
    <row r="143" spans="23:29">
      <c r="W143" s="226"/>
      <c r="X143" s="226"/>
      <c r="Y143" s="226"/>
      <c r="Z143" s="226"/>
      <c r="AA143" s="226"/>
      <c r="AB143" s="259"/>
      <c r="AC143" s="227"/>
    </row>
    <row r="144" spans="23:29">
      <c r="W144" s="226"/>
      <c r="X144" s="226"/>
      <c r="Y144" s="226"/>
      <c r="Z144" s="226"/>
      <c r="AA144" s="226"/>
      <c r="AB144" s="259"/>
      <c r="AC144" s="227"/>
    </row>
    <row r="145" spans="23:29">
      <c r="W145" s="226"/>
      <c r="X145" s="226"/>
      <c r="Y145" s="226"/>
      <c r="Z145" s="226"/>
      <c r="AA145" s="226"/>
      <c r="AB145" s="259"/>
      <c r="AC145" s="227"/>
    </row>
    <row r="146" spans="23:29">
      <c r="W146" s="226"/>
      <c r="X146" s="226"/>
      <c r="Y146" s="226"/>
      <c r="Z146" s="226"/>
      <c r="AA146" s="226"/>
      <c r="AB146" s="259"/>
      <c r="AC146" s="227"/>
    </row>
    <row r="147" spans="23:29">
      <c r="W147" s="226"/>
      <c r="X147" s="226"/>
      <c r="Y147" s="226"/>
      <c r="Z147" s="226"/>
      <c r="AA147" s="226"/>
      <c r="AB147" s="259"/>
      <c r="AC147" s="227"/>
    </row>
    <row r="148" spans="23:29">
      <c r="W148" s="226"/>
      <c r="X148" s="226"/>
      <c r="Y148" s="226"/>
      <c r="Z148" s="226"/>
      <c r="AA148" s="226"/>
      <c r="AB148" s="259"/>
      <c r="AC148" s="227"/>
    </row>
    <row r="149" spans="23:29">
      <c r="W149" s="226"/>
      <c r="X149" s="226"/>
      <c r="Y149" s="226"/>
      <c r="Z149" s="226"/>
      <c r="AA149" s="226"/>
      <c r="AB149" s="259"/>
      <c r="AC149" s="227"/>
    </row>
    <row r="150" spans="23:29">
      <c r="W150" s="226"/>
      <c r="X150" s="226"/>
      <c r="Y150" s="226"/>
      <c r="Z150" s="226"/>
      <c r="AA150" s="226"/>
      <c r="AB150" s="259"/>
      <c r="AC150" s="227"/>
    </row>
    <row r="151" spans="23:29">
      <c r="W151" s="226"/>
      <c r="X151" s="226"/>
      <c r="Y151" s="226"/>
      <c r="Z151" s="226"/>
      <c r="AA151" s="226"/>
      <c r="AB151" s="259"/>
      <c r="AC151" s="227"/>
    </row>
    <row r="152" spans="23:29">
      <c r="W152" s="226"/>
      <c r="X152" s="226"/>
      <c r="Y152" s="226"/>
      <c r="Z152" s="226"/>
      <c r="AA152" s="226"/>
      <c r="AB152" s="259"/>
      <c r="AC152" s="227"/>
    </row>
    <row r="153" spans="23:29">
      <c r="W153" s="226"/>
      <c r="X153" s="226"/>
      <c r="Y153" s="226"/>
      <c r="Z153" s="226"/>
      <c r="AA153" s="226"/>
      <c r="AB153" s="259"/>
      <c r="AC153" s="227"/>
    </row>
    <row r="154" spans="23:29">
      <c r="W154" s="226"/>
      <c r="X154" s="226"/>
      <c r="Y154" s="226"/>
      <c r="Z154" s="226"/>
      <c r="AA154" s="226"/>
      <c r="AB154" s="259"/>
      <c r="AC154" s="227"/>
    </row>
    <row r="155" spans="23:29">
      <c r="W155" s="226"/>
      <c r="X155" s="226"/>
      <c r="Y155" s="226"/>
      <c r="Z155" s="226"/>
      <c r="AA155" s="226"/>
      <c r="AB155" s="259"/>
      <c r="AC155" s="227"/>
    </row>
    <row r="156" spans="23:29">
      <c r="W156" s="226"/>
      <c r="X156" s="226"/>
      <c r="Y156" s="226"/>
      <c r="Z156" s="226"/>
      <c r="AA156" s="226"/>
      <c r="AB156" s="259"/>
      <c r="AC156" s="227"/>
    </row>
    <row r="157" spans="23:29">
      <c r="W157" s="226"/>
      <c r="X157" s="226"/>
      <c r="Y157" s="226"/>
      <c r="Z157" s="226"/>
      <c r="AA157" s="226"/>
      <c r="AB157" s="259"/>
      <c r="AC157" s="227"/>
    </row>
    <row r="158" spans="23:29">
      <c r="W158" s="226"/>
      <c r="X158" s="226"/>
      <c r="Y158" s="226"/>
      <c r="Z158" s="226"/>
      <c r="AA158" s="226"/>
      <c r="AB158" s="259"/>
      <c r="AC158" s="227"/>
    </row>
    <row r="159" spans="23:29">
      <c r="W159" s="226"/>
      <c r="X159" s="226"/>
      <c r="Y159" s="226"/>
      <c r="Z159" s="226"/>
      <c r="AA159" s="226"/>
      <c r="AB159" s="259"/>
      <c r="AC159" s="227"/>
    </row>
    <row r="160" spans="23:29">
      <c r="W160" s="226"/>
      <c r="X160" s="226"/>
      <c r="Y160" s="226"/>
      <c r="Z160" s="226"/>
      <c r="AA160" s="226"/>
      <c r="AB160" s="259"/>
      <c r="AC160" s="227"/>
    </row>
    <row r="161" spans="23:29">
      <c r="W161" s="226"/>
      <c r="X161" s="226"/>
      <c r="Y161" s="226"/>
      <c r="Z161" s="226"/>
      <c r="AA161" s="226"/>
      <c r="AB161" s="259"/>
      <c r="AC161" s="227"/>
    </row>
    <row r="162" spans="23:29">
      <c r="W162" s="226"/>
      <c r="X162" s="226"/>
      <c r="Y162" s="226"/>
      <c r="Z162" s="226"/>
      <c r="AA162" s="226"/>
      <c r="AB162" s="259"/>
      <c r="AC162" s="227"/>
    </row>
    <row r="163" spans="23:29">
      <c r="W163" s="226"/>
      <c r="X163" s="226"/>
      <c r="Y163" s="226"/>
      <c r="Z163" s="226"/>
      <c r="AA163" s="226"/>
      <c r="AB163" s="259"/>
      <c r="AC163" s="227"/>
    </row>
    <row r="164" spans="23:29">
      <c r="W164" s="226"/>
      <c r="X164" s="226"/>
      <c r="Y164" s="226"/>
      <c r="Z164" s="226"/>
      <c r="AA164" s="226"/>
      <c r="AB164" s="259"/>
      <c r="AC164" s="227"/>
    </row>
    <row r="165" spans="23:29">
      <c r="W165" s="226"/>
      <c r="X165" s="226"/>
      <c r="Y165" s="226"/>
      <c r="Z165" s="226"/>
      <c r="AA165" s="226"/>
      <c r="AB165" s="259"/>
      <c r="AC165" s="227"/>
    </row>
    <row r="166" spans="23:29">
      <c r="W166" s="226"/>
      <c r="X166" s="226"/>
      <c r="Y166" s="226"/>
      <c r="Z166" s="226"/>
      <c r="AA166" s="226"/>
      <c r="AB166" s="259"/>
      <c r="AC166" s="227"/>
    </row>
    <row r="167" spans="23:29">
      <c r="W167" s="226"/>
      <c r="X167" s="226"/>
      <c r="Y167" s="226"/>
      <c r="Z167" s="226"/>
      <c r="AA167" s="226"/>
      <c r="AB167" s="259"/>
      <c r="AC167" s="227"/>
    </row>
    <row r="168" spans="23:29">
      <c r="W168" s="226"/>
      <c r="X168" s="226"/>
      <c r="Y168" s="226"/>
      <c r="Z168" s="226"/>
      <c r="AA168" s="226"/>
      <c r="AB168" s="259"/>
      <c r="AC168" s="227"/>
    </row>
    <row r="169" spans="23:29">
      <c r="W169" s="226"/>
      <c r="X169" s="226"/>
      <c r="Y169" s="226"/>
      <c r="Z169" s="226"/>
      <c r="AA169" s="226"/>
      <c r="AB169" s="259"/>
      <c r="AC169" s="227"/>
    </row>
    <row r="170" spans="23:29">
      <c r="W170" s="226"/>
      <c r="X170" s="226"/>
      <c r="Y170" s="226"/>
      <c r="Z170" s="226"/>
      <c r="AA170" s="226"/>
      <c r="AB170" s="259"/>
      <c r="AC170" s="227"/>
    </row>
    <row r="171" spans="23:29">
      <c r="W171" s="226"/>
      <c r="X171" s="226"/>
      <c r="Y171" s="226"/>
      <c r="Z171" s="226"/>
      <c r="AA171" s="226"/>
      <c r="AB171" s="259"/>
      <c r="AC171" s="227"/>
    </row>
    <row r="172" spans="23:29">
      <c r="W172" s="226"/>
      <c r="X172" s="226"/>
      <c r="Y172" s="226"/>
      <c r="Z172" s="226"/>
      <c r="AA172" s="226"/>
      <c r="AB172" s="259"/>
      <c r="AC172" s="227"/>
    </row>
    <row r="173" spans="23:29">
      <c r="W173" s="226"/>
      <c r="X173" s="226"/>
      <c r="Y173" s="226"/>
      <c r="Z173" s="226"/>
      <c r="AA173" s="226"/>
      <c r="AB173" s="259"/>
      <c r="AC173" s="227"/>
    </row>
    <row r="174" spans="23:29">
      <c r="W174" s="226"/>
      <c r="X174" s="226"/>
      <c r="Y174" s="226"/>
      <c r="Z174" s="226"/>
      <c r="AA174" s="226"/>
      <c r="AB174" s="259"/>
      <c r="AC174" s="227"/>
    </row>
    <row r="175" spans="23:29">
      <c r="W175" s="226"/>
      <c r="X175" s="226"/>
      <c r="Y175" s="226"/>
      <c r="Z175" s="226"/>
      <c r="AA175" s="226"/>
      <c r="AB175" s="259"/>
      <c r="AC175" s="227"/>
    </row>
    <row r="176" spans="23:29">
      <c r="W176" s="226"/>
      <c r="X176" s="226"/>
      <c r="Y176" s="226"/>
      <c r="Z176" s="226"/>
      <c r="AA176" s="226"/>
      <c r="AB176" s="259"/>
      <c r="AC176" s="227"/>
    </row>
    <row r="177" spans="23:29">
      <c r="W177" s="226"/>
      <c r="X177" s="226"/>
      <c r="Y177" s="226"/>
      <c r="Z177" s="226"/>
      <c r="AA177" s="226"/>
      <c r="AB177" s="259"/>
      <c r="AC177" s="227"/>
    </row>
    <row r="178" spans="23:29">
      <c r="W178" s="226"/>
      <c r="X178" s="226"/>
      <c r="Y178" s="226"/>
      <c r="Z178" s="226"/>
      <c r="AA178" s="226"/>
      <c r="AB178" s="259"/>
      <c r="AC178" s="227"/>
    </row>
    <row r="179" spans="23:29">
      <c r="W179" s="226"/>
      <c r="X179" s="226"/>
      <c r="Y179" s="226"/>
      <c r="Z179" s="226"/>
      <c r="AA179" s="226"/>
      <c r="AB179" s="259"/>
      <c r="AC179" s="227"/>
    </row>
    <row r="180" spans="23:29">
      <c r="W180" s="226"/>
      <c r="X180" s="226"/>
      <c r="Y180" s="226"/>
      <c r="Z180" s="226"/>
      <c r="AA180" s="226"/>
      <c r="AB180" s="259"/>
      <c r="AC180" s="227"/>
    </row>
    <row r="181" spans="23:29">
      <c r="W181" s="226"/>
      <c r="X181" s="226"/>
      <c r="Y181" s="226"/>
      <c r="Z181" s="226"/>
      <c r="AA181" s="226"/>
      <c r="AB181" s="259"/>
      <c r="AC181" s="227"/>
    </row>
    <row r="182" spans="23:29">
      <c r="W182" s="226"/>
      <c r="X182" s="226"/>
      <c r="Y182" s="226"/>
      <c r="Z182" s="226"/>
      <c r="AA182" s="226"/>
      <c r="AB182" s="259"/>
      <c r="AC182" s="227"/>
    </row>
    <row r="183" spans="23:29">
      <c r="W183" s="226"/>
      <c r="X183" s="226"/>
      <c r="Y183" s="226"/>
      <c r="Z183" s="226"/>
      <c r="AA183" s="226"/>
      <c r="AB183" s="259"/>
      <c r="AC183" s="227"/>
    </row>
    <row r="184" spans="23:29">
      <c r="W184" s="226"/>
      <c r="X184" s="226"/>
      <c r="Y184" s="226"/>
      <c r="Z184" s="226"/>
      <c r="AA184" s="226"/>
      <c r="AB184" s="259"/>
      <c r="AC184" s="227"/>
    </row>
    <row r="185" spans="23:29">
      <c r="W185" s="226"/>
      <c r="X185" s="226"/>
      <c r="Y185" s="226"/>
      <c r="Z185" s="226"/>
      <c r="AA185" s="226"/>
      <c r="AB185" s="259"/>
      <c r="AC185" s="227"/>
    </row>
    <row r="186" spans="23:29">
      <c r="W186" s="226"/>
      <c r="X186" s="226"/>
      <c r="Y186" s="226"/>
      <c r="Z186" s="226"/>
      <c r="AA186" s="226"/>
      <c r="AB186" s="259"/>
      <c r="AC186" s="227"/>
    </row>
    <row r="187" spans="23:29">
      <c r="W187" s="226"/>
      <c r="X187" s="226"/>
      <c r="Y187" s="226"/>
      <c r="Z187" s="226"/>
      <c r="AA187" s="226"/>
      <c r="AB187" s="259"/>
      <c r="AC187" s="227"/>
    </row>
    <row r="188" spans="23:29">
      <c r="W188" s="226"/>
      <c r="X188" s="226"/>
      <c r="Y188" s="226"/>
      <c r="Z188" s="226"/>
      <c r="AA188" s="226"/>
      <c r="AB188" s="259"/>
      <c r="AC188" s="227"/>
    </row>
    <row r="189" spans="23:29">
      <c r="W189" s="226"/>
      <c r="X189" s="226"/>
      <c r="Y189" s="226"/>
      <c r="Z189" s="226"/>
      <c r="AA189" s="226"/>
      <c r="AB189" s="259"/>
      <c r="AC189" s="227"/>
    </row>
    <row r="190" spans="23:29">
      <c r="W190" s="226"/>
      <c r="X190" s="226"/>
      <c r="Y190" s="226"/>
      <c r="Z190" s="226"/>
      <c r="AA190" s="226"/>
      <c r="AB190" s="259"/>
      <c r="AC190" s="227"/>
    </row>
    <row r="191" spans="23:29">
      <c r="W191" s="226"/>
      <c r="X191" s="226"/>
      <c r="Y191" s="226"/>
      <c r="Z191" s="226"/>
      <c r="AA191" s="226"/>
      <c r="AB191" s="259"/>
      <c r="AC191" s="227"/>
    </row>
    <row r="192" spans="23:29">
      <c r="W192" s="226"/>
      <c r="X192" s="226"/>
      <c r="Y192" s="226"/>
      <c r="Z192" s="226"/>
      <c r="AA192" s="226"/>
      <c r="AB192" s="259"/>
      <c r="AC192" s="227"/>
    </row>
    <row r="193" spans="23:29">
      <c r="W193" s="226"/>
      <c r="X193" s="226"/>
      <c r="Y193" s="226"/>
      <c r="Z193" s="226"/>
      <c r="AA193" s="226"/>
      <c r="AB193" s="259"/>
      <c r="AC193" s="227"/>
    </row>
    <row r="194" spans="23:29">
      <c r="W194" s="226"/>
      <c r="X194" s="226"/>
      <c r="Y194" s="226"/>
      <c r="Z194" s="226"/>
      <c r="AA194" s="226"/>
      <c r="AB194" s="259"/>
      <c r="AC194" s="227"/>
    </row>
    <row r="195" spans="23:29">
      <c r="W195" s="226"/>
      <c r="X195" s="226"/>
      <c r="Y195" s="226"/>
      <c r="Z195" s="226"/>
      <c r="AA195" s="226"/>
      <c r="AB195" s="259"/>
      <c r="AC195" s="227"/>
    </row>
    <row r="196" spans="23:29">
      <c r="W196" s="226"/>
      <c r="X196" s="226"/>
      <c r="Y196" s="226"/>
      <c r="Z196" s="226"/>
      <c r="AA196" s="226"/>
      <c r="AB196" s="259"/>
      <c r="AC196" s="227"/>
    </row>
    <row r="197" spans="23:29">
      <c r="W197" s="226"/>
      <c r="X197" s="226"/>
      <c r="Y197" s="226"/>
      <c r="Z197" s="226"/>
      <c r="AA197" s="226"/>
      <c r="AB197" s="259"/>
      <c r="AC197" s="227"/>
    </row>
    <row r="198" spans="23:29">
      <c r="W198" s="226"/>
      <c r="X198" s="226"/>
      <c r="Y198" s="226"/>
      <c r="Z198" s="226"/>
      <c r="AA198" s="226"/>
      <c r="AB198" s="259"/>
      <c r="AC198" s="227"/>
    </row>
    <row r="199" spans="23:29">
      <c r="W199" s="226"/>
      <c r="X199" s="226"/>
      <c r="Y199" s="226"/>
      <c r="Z199" s="226"/>
      <c r="AA199" s="226"/>
      <c r="AB199" s="259"/>
      <c r="AC199" s="227"/>
    </row>
    <row r="200" spans="23:29">
      <c r="W200" s="226"/>
      <c r="X200" s="226"/>
      <c r="Y200" s="226"/>
      <c r="Z200" s="226"/>
      <c r="AA200" s="226"/>
      <c r="AB200" s="259"/>
      <c r="AC200" s="227"/>
    </row>
    <row r="201" spans="23:29">
      <c r="W201" s="226"/>
      <c r="X201" s="226"/>
      <c r="Y201" s="226"/>
      <c r="Z201" s="226"/>
      <c r="AA201" s="226"/>
      <c r="AB201" s="259"/>
      <c r="AC201" s="227"/>
    </row>
    <row r="202" spans="23:29">
      <c r="W202" s="226"/>
      <c r="X202" s="226"/>
      <c r="Y202" s="226"/>
      <c r="Z202" s="226"/>
      <c r="AA202" s="226"/>
      <c r="AB202" s="259"/>
      <c r="AC202" s="227"/>
    </row>
    <row r="203" spans="23:29">
      <c r="W203" s="226"/>
      <c r="X203" s="226"/>
      <c r="Y203" s="226"/>
      <c r="Z203" s="226"/>
      <c r="AA203" s="226"/>
      <c r="AB203" s="259"/>
      <c r="AC203" s="227"/>
    </row>
    <row r="204" spans="23:29">
      <c r="W204" s="226"/>
      <c r="X204" s="226"/>
      <c r="Y204" s="226"/>
      <c r="Z204" s="226"/>
      <c r="AA204" s="226"/>
      <c r="AB204" s="259"/>
      <c r="AC204" s="227"/>
    </row>
    <row r="205" spans="23:29">
      <c r="W205" s="226"/>
      <c r="X205" s="226"/>
      <c r="Y205" s="226"/>
      <c r="Z205" s="226"/>
      <c r="AA205" s="226"/>
      <c r="AB205" s="259"/>
      <c r="AC205" s="227"/>
    </row>
    <row r="206" spans="23:29">
      <c r="W206" s="226"/>
      <c r="X206" s="226"/>
      <c r="Y206" s="226"/>
      <c r="Z206" s="226"/>
      <c r="AA206" s="226"/>
      <c r="AB206" s="259"/>
      <c r="AC206" s="227"/>
    </row>
    <row r="207" spans="23:29">
      <c r="W207" s="226"/>
      <c r="X207" s="226"/>
      <c r="Y207" s="226"/>
      <c r="Z207" s="226"/>
      <c r="AA207" s="226"/>
      <c r="AB207" s="259"/>
      <c r="AC207" s="227"/>
    </row>
    <row r="208" spans="23:29">
      <c r="W208" s="226"/>
      <c r="X208" s="226"/>
      <c r="Y208" s="226"/>
      <c r="Z208" s="226"/>
      <c r="AA208" s="226"/>
      <c r="AB208" s="259"/>
      <c r="AC208" s="227"/>
    </row>
    <row r="209" spans="23:29">
      <c r="W209" s="226"/>
      <c r="X209" s="226"/>
      <c r="Y209" s="226"/>
      <c r="Z209" s="226"/>
      <c r="AA209" s="226"/>
      <c r="AB209" s="259"/>
      <c r="AC209" s="227"/>
    </row>
    <row r="210" spans="23:29">
      <c r="W210" s="226"/>
      <c r="X210" s="226"/>
      <c r="Y210" s="226"/>
      <c r="Z210" s="226"/>
      <c r="AA210" s="226"/>
      <c r="AB210" s="259"/>
      <c r="AC210" s="227"/>
    </row>
    <row r="211" spans="23:29">
      <c r="W211" s="226"/>
      <c r="X211" s="226"/>
      <c r="Y211" s="226"/>
      <c r="Z211" s="226"/>
      <c r="AA211" s="226"/>
      <c r="AB211" s="259"/>
      <c r="AC211" s="227"/>
    </row>
    <row r="212" spans="23:29">
      <c r="W212" s="226"/>
      <c r="X212" s="226"/>
      <c r="Y212" s="226"/>
      <c r="Z212" s="226"/>
      <c r="AA212" s="226"/>
      <c r="AB212" s="259"/>
      <c r="AC212" s="227"/>
    </row>
    <row r="213" spans="23:29">
      <c r="W213" s="226"/>
      <c r="X213" s="226"/>
      <c r="Y213" s="226"/>
      <c r="Z213" s="226"/>
      <c r="AA213" s="226"/>
      <c r="AB213" s="259"/>
      <c r="AC213" s="227"/>
    </row>
    <row r="214" spans="23:29">
      <c r="W214" s="226"/>
      <c r="X214" s="226"/>
      <c r="Y214" s="226"/>
      <c r="Z214" s="226"/>
      <c r="AA214" s="226"/>
      <c r="AB214" s="259"/>
      <c r="AC214" s="227"/>
    </row>
    <row r="215" spans="23:29">
      <c r="W215" s="226"/>
      <c r="X215" s="226"/>
      <c r="Y215" s="226"/>
      <c r="Z215" s="226"/>
      <c r="AA215" s="226"/>
      <c r="AB215" s="259"/>
      <c r="AC215" s="227"/>
    </row>
    <row r="216" spans="23:29">
      <c r="W216" s="226"/>
      <c r="X216" s="226"/>
      <c r="Y216" s="226"/>
      <c r="Z216" s="226"/>
      <c r="AA216" s="226"/>
      <c r="AB216" s="259"/>
      <c r="AC216" s="227"/>
    </row>
    <row r="217" spans="23:29">
      <c r="W217" s="226"/>
      <c r="X217" s="226"/>
      <c r="Y217" s="226"/>
      <c r="Z217" s="226"/>
      <c r="AA217" s="226"/>
      <c r="AB217" s="259"/>
      <c r="AC217" s="227"/>
    </row>
  </sheetData>
  <sheetProtection algorithmName="SHA-512" hashValue="1A0gMNyOlfmnI1VIRoTxYQTjGPXb0TbuiZpfl8b9Xk6WUc6fWhlRnhFXThCH4tT8gqmo8LptvXBYj05fFZ3T5g==" saltValue="cnX/tRObd+V3dyVtzS72+w==" spinCount="100000" sheet="1" objects="1" scenarios="1"/>
  <mergeCells count="180">
    <mergeCell ref="M98:M100"/>
    <mergeCell ref="N98:N100"/>
    <mergeCell ref="P98:P100"/>
    <mergeCell ref="Q98:Q100"/>
    <mergeCell ref="Z102:Z103"/>
    <mergeCell ref="AB102:AB103"/>
    <mergeCell ref="E102:E103"/>
    <mergeCell ref="G102:G103"/>
    <mergeCell ref="L102:L103"/>
    <mergeCell ref="N102:N103"/>
    <mergeCell ref="S102:S103"/>
    <mergeCell ref="U102:U103"/>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M54:M56"/>
    <mergeCell ref="N54:N56"/>
    <mergeCell ref="P54:P56"/>
    <mergeCell ref="Q54:Q56"/>
    <mergeCell ref="B76:B78"/>
    <mergeCell ref="C76:C78"/>
    <mergeCell ref="D76:D78"/>
    <mergeCell ref="E76:E78"/>
    <mergeCell ref="F76:F78"/>
    <mergeCell ref="G76:G78"/>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M9:M11"/>
    <mergeCell ref="N9:N11"/>
    <mergeCell ref="P9:P11"/>
    <mergeCell ref="Q9:Q11"/>
    <mergeCell ref="B32:B34"/>
    <mergeCell ref="C32:C34"/>
    <mergeCell ref="D32:D34"/>
    <mergeCell ref="E32:E34"/>
    <mergeCell ref="F32:F34"/>
    <mergeCell ref="G32:G3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D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Sheet1</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James Abbott</cp:lastModifiedBy>
  <cp:lastPrinted>2020-07-14T08:16:49Z</cp:lastPrinted>
  <dcterms:created xsi:type="dcterms:W3CDTF">2019-02-13T13:28:16Z</dcterms:created>
  <dcterms:modified xsi:type="dcterms:W3CDTF">2021-06-03T09:33:54Z</dcterms:modified>
</cp:coreProperties>
</file>