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mocratic Services\PRE CABINET MEETING\Agenda\2024\8 August\240822\"/>
    </mc:Choice>
  </mc:AlternateContent>
  <bookViews>
    <workbookView xWindow="0" yWindow="0" windowWidth="2172" windowHeight="0" tabRatio="750"/>
  </bookViews>
  <sheets>
    <sheet name="1. All Data" sheetId="1" r:id="rId1"/>
    <sheet name="Q1 Summary" sheetId="9" r:id="rId2"/>
    <sheet name="Q2 Summary" sheetId="20" r:id="rId3"/>
    <sheet name="Q3 Summary" sheetId="21" r:id="rId4"/>
    <sheet name="Q4 Summary" sheetId="22" state="hidden" r:id="rId5"/>
    <sheet name="2a. % By Priority" sheetId="5" r:id="rId6"/>
    <sheet name="2b. Charts by Priority" sheetId="6" state="hidden" r:id="rId7"/>
    <sheet name="3a. % by Portfolio" sheetId="7" r:id="rId8"/>
    <sheet name="3b. Charts by Portfolio" sheetId="8" state="hidden" r:id="rId9"/>
    <sheet name="4. Status Tracking" sheetId="10" state="hidden" r:id="rId10"/>
    <sheet name="Custom Pivot" sheetId="17" state="hidden" r:id="rId11"/>
  </sheets>
  <definedNames>
    <definedName name="_xlnm._FilterDatabase" localSheetId="0" hidden="1">'1. All Data'!$A$2:$AK$135</definedName>
    <definedName name="_Toc382250483" localSheetId="0">'1. All Data'!$B$77</definedName>
    <definedName name="OLE_LINK3" localSheetId="0">'1. All Data'!$D$40</definedName>
    <definedName name="_xlnm.Print_Area" localSheetId="0">'1. All Data'!$A$1:$AB$134</definedName>
    <definedName name="_xlnm.Print_Area" localSheetId="5">'2a. % By Priority'!$A$1:$G$125</definedName>
    <definedName name="_xlnm.Print_Area" localSheetId="6">'2b. Charts by Priority'!$A$1:$AS$99</definedName>
    <definedName name="_xlnm.Print_Area" localSheetId="7">'3a. % by Portfolio'!$A$1:$G$108</definedName>
    <definedName name="_xlnm.Print_Area" localSheetId="8">'3b. Charts by Portfolio'!$A$1:$AT$99</definedName>
    <definedName name="_xlnm.Print_Area" localSheetId="1">'Q1 Summary'!$A$1:$H$17</definedName>
    <definedName name="_xlnm.Print_Area" localSheetId="2">'Q2 Summary'!$A$1:$H$17</definedName>
    <definedName name="_xlnm.Print_Area" localSheetId="3">'Q3 Summary'!$A$1:$H$17</definedName>
    <definedName name="_xlnm.Print_Area" localSheetId="4">'Q4 Summary'!$A$1:$H$17</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5" i="5" l="1"/>
  <c r="C60" i="7" l="1"/>
  <c r="X106" i="7" l="1"/>
  <c r="X105" i="7"/>
  <c r="X104" i="7"/>
  <c r="X103" i="7"/>
  <c r="X102" i="7"/>
  <c r="X101" i="7"/>
  <c r="X100" i="7"/>
  <c r="X99" i="7"/>
  <c r="X98" i="7"/>
  <c r="X97" i="7"/>
  <c r="X96" i="7"/>
  <c r="Q106" i="7"/>
  <c r="Q105" i="7"/>
  <c r="Q104" i="7"/>
  <c r="Q103" i="7"/>
  <c r="Q102" i="7"/>
  <c r="Q101" i="7"/>
  <c r="Q98" i="7"/>
  <c r="E18" i="21" s="1"/>
  <c r="Q97" i="7"/>
  <c r="Q96" i="7"/>
  <c r="J106" i="7"/>
  <c r="J105" i="7"/>
  <c r="J104" i="7"/>
  <c r="J103" i="7"/>
  <c r="J102" i="7"/>
  <c r="J101" i="7"/>
  <c r="J98" i="7"/>
  <c r="E18" i="20" s="1"/>
  <c r="J97" i="7"/>
  <c r="J96" i="7"/>
  <c r="X88" i="7"/>
  <c r="X87" i="7"/>
  <c r="X86" i="7"/>
  <c r="X85" i="7"/>
  <c r="X84" i="7"/>
  <c r="X83" i="7"/>
  <c r="X82" i="7"/>
  <c r="X81" i="7"/>
  <c r="X80" i="7"/>
  <c r="X79" i="7"/>
  <c r="X78" i="7"/>
  <c r="Q88" i="7"/>
  <c r="Q87" i="7"/>
  <c r="Q86" i="7"/>
  <c r="Q85" i="7"/>
  <c r="Q84" i="7"/>
  <c r="Q83" i="7"/>
  <c r="Q80" i="7"/>
  <c r="E17" i="21" s="1"/>
  <c r="Q79" i="7"/>
  <c r="Q78" i="7"/>
  <c r="J88" i="7"/>
  <c r="J87" i="7"/>
  <c r="J86" i="7"/>
  <c r="J85" i="7"/>
  <c r="J84" i="7"/>
  <c r="J83" i="7"/>
  <c r="J80" i="7"/>
  <c r="E17" i="20" s="1"/>
  <c r="J79" i="7"/>
  <c r="J78" i="7"/>
  <c r="X70" i="7"/>
  <c r="X69" i="7"/>
  <c r="X68" i="7"/>
  <c r="X67" i="7"/>
  <c r="X66" i="7"/>
  <c r="X65" i="7"/>
  <c r="X64" i="7"/>
  <c r="X63" i="7"/>
  <c r="X62" i="7"/>
  <c r="X61" i="7"/>
  <c r="X60" i="7"/>
  <c r="Q70" i="7"/>
  <c r="Q69" i="7"/>
  <c r="Q68" i="7"/>
  <c r="Q67" i="7"/>
  <c r="Q66" i="7"/>
  <c r="Q65" i="7"/>
  <c r="Q62" i="7"/>
  <c r="E16" i="21" s="1"/>
  <c r="Q61" i="7"/>
  <c r="Q60" i="7"/>
  <c r="J70" i="7"/>
  <c r="J69" i="7"/>
  <c r="J68" i="7"/>
  <c r="J67" i="7"/>
  <c r="J66" i="7"/>
  <c r="J65" i="7"/>
  <c r="J62" i="7"/>
  <c r="E16" i="20" s="1"/>
  <c r="J61" i="7"/>
  <c r="J60" i="7"/>
  <c r="X52" i="7"/>
  <c r="X51" i="7"/>
  <c r="X50" i="7"/>
  <c r="X49" i="7"/>
  <c r="X48" i="7"/>
  <c r="X47" i="7"/>
  <c r="X46" i="7"/>
  <c r="X45" i="7"/>
  <c r="X44" i="7"/>
  <c r="X43" i="7"/>
  <c r="X42" i="7"/>
  <c r="Q52" i="7"/>
  <c r="Q51" i="7"/>
  <c r="Q50" i="7"/>
  <c r="Q49" i="7"/>
  <c r="Q48" i="7"/>
  <c r="Q47" i="7"/>
  <c r="Q44" i="7"/>
  <c r="E15" i="21" s="1"/>
  <c r="Q43" i="7"/>
  <c r="Q42" i="7"/>
  <c r="J52" i="7"/>
  <c r="J51" i="7"/>
  <c r="J50" i="7"/>
  <c r="J49" i="7"/>
  <c r="J48" i="7"/>
  <c r="J47" i="7"/>
  <c r="J44" i="7"/>
  <c r="E15" i="20" s="1"/>
  <c r="J43" i="7"/>
  <c r="J42" i="7"/>
  <c r="X34" i="7"/>
  <c r="X33" i="7"/>
  <c r="X32" i="7"/>
  <c r="X31" i="7"/>
  <c r="X30" i="7"/>
  <c r="X29" i="7"/>
  <c r="X28" i="7"/>
  <c r="X27" i="7"/>
  <c r="X26" i="7"/>
  <c r="X25" i="7"/>
  <c r="X24" i="7"/>
  <c r="Q34" i="7"/>
  <c r="Q33" i="7"/>
  <c r="Q32" i="7"/>
  <c r="Q31" i="7"/>
  <c r="Q30" i="7"/>
  <c r="Q29" i="7"/>
  <c r="Q26" i="7"/>
  <c r="E14" i="21" s="1"/>
  <c r="Q25" i="7"/>
  <c r="Q24" i="7"/>
  <c r="J34" i="7"/>
  <c r="J33" i="7"/>
  <c r="J32" i="7"/>
  <c r="J31" i="7"/>
  <c r="J30" i="7"/>
  <c r="J29" i="7"/>
  <c r="J26" i="7"/>
  <c r="E14" i="20" s="1"/>
  <c r="J25" i="7"/>
  <c r="J24" i="7"/>
  <c r="X15" i="7"/>
  <c r="X14" i="7"/>
  <c r="X13" i="7"/>
  <c r="X12" i="7"/>
  <c r="X11" i="7"/>
  <c r="X10" i="7"/>
  <c r="X9" i="7"/>
  <c r="X8" i="7"/>
  <c r="X7" i="7"/>
  <c r="X6" i="7"/>
  <c r="X5" i="7"/>
  <c r="Q15" i="7"/>
  <c r="Q14" i="7"/>
  <c r="Q13" i="7"/>
  <c r="Q12" i="7"/>
  <c r="Q11" i="7"/>
  <c r="Q10" i="7"/>
  <c r="Q7" i="7"/>
  <c r="E13" i="21" s="1"/>
  <c r="Q6" i="7"/>
  <c r="Q5" i="7"/>
  <c r="J15" i="7"/>
  <c r="J14" i="7"/>
  <c r="J13" i="7"/>
  <c r="J12" i="7"/>
  <c r="J11" i="7"/>
  <c r="J10" i="7"/>
  <c r="J7" i="7"/>
  <c r="E13" i="20" s="1"/>
  <c r="J6" i="7"/>
  <c r="J5" i="7"/>
  <c r="X123" i="5"/>
  <c r="X122" i="5"/>
  <c r="X121" i="5"/>
  <c r="X120" i="5"/>
  <c r="X119" i="5"/>
  <c r="X118" i="5"/>
  <c r="X117" i="5"/>
  <c r="X116" i="5"/>
  <c r="X115" i="5"/>
  <c r="X114" i="5"/>
  <c r="X113" i="5"/>
  <c r="Q123" i="5"/>
  <c r="Q122" i="5"/>
  <c r="Q121" i="5"/>
  <c r="Q120" i="5"/>
  <c r="Q119" i="5"/>
  <c r="Q118" i="5"/>
  <c r="Q115" i="5"/>
  <c r="Q114" i="5"/>
  <c r="Q113" i="5"/>
  <c r="J123" i="5"/>
  <c r="J122" i="5"/>
  <c r="J121" i="5"/>
  <c r="J120" i="5"/>
  <c r="J119" i="5"/>
  <c r="J118" i="5"/>
  <c r="J115" i="5"/>
  <c r="J114" i="5"/>
  <c r="J113" i="5"/>
  <c r="X105" i="5"/>
  <c r="X104" i="5"/>
  <c r="X103" i="5"/>
  <c r="X102" i="5"/>
  <c r="X101" i="5"/>
  <c r="X100" i="5"/>
  <c r="X99" i="5"/>
  <c r="X98" i="5"/>
  <c r="X97" i="5"/>
  <c r="X96" i="5"/>
  <c r="X95" i="5"/>
  <c r="Q105" i="5"/>
  <c r="Q104" i="5"/>
  <c r="Q103" i="5"/>
  <c r="Q102" i="5"/>
  <c r="Q101" i="5"/>
  <c r="Q100" i="5"/>
  <c r="Q97" i="5"/>
  <c r="E11" i="21" s="1"/>
  <c r="Q96" i="5"/>
  <c r="Q95" i="5"/>
  <c r="J105" i="5"/>
  <c r="J104" i="5"/>
  <c r="J103" i="5"/>
  <c r="J102" i="5"/>
  <c r="J101" i="5"/>
  <c r="J100" i="5"/>
  <c r="J97" i="5"/>
  <c r="E11" i="20" s="1"/>
  <c r="J96" i="5"/>
  <c r="J95" i="5"/>
  <c r="X87" i="5"/>
  <c r="X86" i="5"/>
  <c r="X85" i="5"/>
  <c r="X84" i="5"/>
  <c r="X83" i="5"/>
  <c r="X82" i="5"/>
  <c r="X81" i="5"/>
  <c r="X80" i="5"/>
  <c r="X79" i="5"/>
  <c r="X78" i="5"/>
  <c r="X77" i="5"/>
  <c r="Q87" i="5"/>
  <c r="Q86" i="5"/>
  <c r="Q85" i="5"/>
  <c r="Q84" i="5"/>
  <c r="Q83" i="5"/>
  <c r="Q82" i="5"/>
  <c r="Q79" i="5"/>
  <c r="E10" i="21" s="1"/>
  <c r="Q78" i="5"/>
  <c r="Q77" i="5"/>
  <c r="J87" i="5"/>
  <c r="J86" i="5"/>
  <c r="J85" i="5"/>
  <c r="J84" i="5"/>
  <c r="J83" i="5"/>
  <c r="J82" i="5"/>
  <c r="J79" i="5"/>
  <c r="E10" i="20" s="1"/>
  <c r="J78" i="5"/>
  <c r="J77" i="5"/>
  <c r="G13" i="22" l="1"/>
  <c r="C14" i="22"/>
  <c r="C16" i="20"/>
  <c r="G17" i="20"/>
  <c r="C13" i="20"/>
  <c r="G13" i="20"/>
  <c r="C15" i="21"/>
  <c r="G16" i="21"/>
  <c r="C18" i="21"/>
  <c r="C11" i="21"/>
  <c r="G10" i="20"/>
  <c r="G18" i="21"/>
  <c r="C11" i="22"/>
  <c r="C10" i="21"/>
  <c r="G11" i="21"/>
  <c r="E16" i="22"/>
  <c r="G13" i="21"/>
  <c r="E13" i="22"/>
  <c r="G17" i="21"/>
  <c r="E17" i="22"/>
  <c r="G18" i="22"/>
  <c r="C13" i="21"/>
  <c r="E11" i="22"/>
  <c r="C15" i="20"/>
  <c r="G17" i="22"/>
  <c r="G10" i="21"/>
  <c r="E10" i="22"/>
  <c r="G11" i="22"/>
  <c r="C14" i="20"/>
  <c r="G15" i="20"/>
  <c r="C17" i="21"/>
  <c r="E18" i="22"/>
  <c r="C11" i="20"/>
  <c r="C14" i="21"/>
  <c r="G15" i="21"/>
  <c r="E15" i="22"/>
  <c r="G16" i="22"/>
  <c r="C17" i="22"/>
  <c r="C10" i="20"/>
  <c r="G11" i="20"/>
  <c r="G14" i="21"/>
  <c r="E14" i="22"/>
  <c r="G15" i="22"/>
  <c r="C16" i="22"/>
  <c r="C18" i="20"/>
  <c r="C10" i="22"/>
  <c r="C13" i="22"/>
  <c r="G16" i="20"/>
  <c r="X107" i="7"/>
  <c r="Y105" i="7" s="1"/>
  <c r="Z105" i="7" s="1"/>
  <c r="G14" i="22"/>
  <c r="C15" i="22"/>
  <c r="C17" i="20"/>
  <c r="G18" i="20"/>
  <c r="G10" i="22"/>
  <c r="G14" i="20"/>
  <c r="C16" i="21"/>
  <c r="C18" i="22"/>
  <c r="J107" i="7"/>
  <c r="K101" i="7" s="1"/>
  <c r="Q107" i="7"/>
  <c r="R98" i="7" s="1"/>
  <c r="S98" i="7" s="1"/>
  <c r="X124" i="5"/>
  <c r="X125" i="5" s="1"/>
  <c r="AA113" i="5" s="1"/>
  <c r="J124" i="5"/>
  <c r="K115" i="5" s="1"/>
  <c r="L115" i="5" s="1"/>
  <c r="Q124" i="5"/>
  <c r="J106" i="5"/>
  <c r="K102" i="5" s="1"/>
  <c r="L102" i="5" s="1"/>
  <c r="Q106" i="5"/>
  <c r="R102" i="5" s="1"/>
  <c r="S102" i="5" s="1"/>
  <c r="X106" i="5"/>
  <c r="X107" i="5" s="1"/>
  <c r="AA100" i="5" s="1"/>
  <c r="J88" i="5"/>
  <c r="K85" i="5" s="1"/>
  <c r="L85" i="5" s="1"/>
  <c r="Q88" i="5"/>
  <c r="R84" i="5" s="1"/>
  <c r="S84" i="5" s="1"/>
  <c r="X88" i="5"/>
  <c r="X89" i="5" s="1"/>
  <c r="AA79" i="5" s="1"/>
  <c r="AB79" i="5" s="1"/>
  <c r="X69" i="5"/>
  <c r="X68" i="5"/>
  <c r="X67" i="5"/>
  <c r="X66" i="5"/>
  <c r="X65" i="5"/>
  <c r="X64" i="5"/>
  <c r="X63" i="5"/>
  <c r="X62" i="5"/>
  <c r="X61" i="5"/>
  <c r="X60" i="5"/>
  <c r="X59" i="5"/>
  <c r="Q69" i="5"/>
  <c r="Q68" i="5"/>
  <c r="Q67" i="5"/>
  <c r="Q66" i="5"/>
  <c r="Q65" i="5"/>
  <c r="Q64" i="5"/>
  <c r="Q61" i="5"/>
  <c r="E9" i="21" s="1"/>
  <c r="Q60" i="5"/>
  <c r="Q59" i="5"/>
  <c r="J69" i="5"/>
  <c r="J68" i="5"/>
  <c r="J67" i="5"/>
  <c r="J66" i="5"/>
  <c r="J65" i="5"/>
  <c r="J64" i="5"/>
  <c r="J61" i="5"/>
  <c r="E9" i="20" s="1"/>
  <c r="J60" i="5"/>
  <c r="J59" i="5"/>
  <c r="X51" i="5"/>
  <c r="X50" i="5"/>
  <c r="X49" i="5"/>
  <c r="X48" i="5"/>
  <c r="X47" i="5"/>
  <c r="X46" i="5"/>
  <c r="X45" i="5"/>
  <c r="X44" i="5"/>
  <c r="X43" i="5"/>
  <c r="X42" i="5"/>
  <c r="X41" i="5"/>
  <c r="Q51" i="5"/>
  <c r="Q50" i="5"/>
  <c r="Q49" i="5"/>
  <c r="Q48" i="5"/>
  <c r="Q47" i="5"/>
  <c r="Q46" i="5"/>
  <c r="Q43" i="5"/>
  <c r="E8" i="21" s="1"/>
  <c r="Q42" i="5"/>
  <c r="Q41" i="5"/>
  <c r="J51" i="5"/>
  <c r="J50" i="5"/>
  <c r="J49" i="5"/>
  <c r="J48" i="5"/>
  <c r="J47" i="5"/>
  <c r="J46" i="5"/>
  <c r="J43" i="5"/>
  <c r="E8" i="20" s="1"/>
  <c r="J42" i="5"/>
  <c r="J41" i="5"/>
  <c r="X33" i="5"/>
  <c r="X32" i="5"/>
  <c r="X31" i="5"/>
  <c r="X30" i="5"/>
  <c r="X29" i="5"/>
  <c r="X28" i="5"/>
  <c r="X27" i="5"/>
  <c r="X26" i="5"/>
  <c r="X25" i="5"/>
  <c r="X24" i="5"/>
  <c r="X23" i="5"/>
  <c r="Q33" i="5"/>
  <c r="Q32" i="5"/>
  <c r="Q31" i="5"/>
  <c r="Q30" i="5"/>
  <c r="Q29" i="5"/>
  <c r="Q28" i="5"/>
  <c r="Q25" i="5"/>
  <c r="E7" i="21" s="1"/>
  <c r="Q24" i="5"/>
  <c r="Q23" i="5"/>
  <c r="J33" i="5"/>
  <c r="J32" i="5"/>
  <c r="J31" i="5"/>
  <c r="J30" i="5"/>
  <c r="J29" i="5"/>
  <c r="J28" i="5"/>
  <c r="J25" i="5"/>
  <c r="E7" i="20" s="1"/>
  <c r="J24" i="5"/>
  <c r="J23" i="5"/>
  <c r="C106" i="7"/>
  <c r="C105" i="7"/>
  <c r="C104" i="7"/>
  <c r="C103" i="7"/>
  <c r="C102" i="7"/>
  <c r="C101" i="7"/>
  <c r="C98" i="7"/>
  <c r="E18" i="9" s="1"/>
  <c r="C97" i="7"/>
  <c r="C96" i="7"/>
  <c r="C88" i="7"/>
  <c r="C87" i="7"/>
  <c r="C86" i="7"/>
  <c r="C85" i="7"/>
  <c r="C84" i="7"/>
  <c r="C83" i="7"/>
  <c r="C80" i="7"/>
  <c r="C79" i="7"/>
  <c r="C78" i="7"/>
  <c r="C70" i="7"/>
  <c r="C69" i="7"/>
  <c r="C68" i="7"/>
  <c r="C67" i="7"/>
  <c r="C66" i="7"/>
  <c r="C65" i="7"/>
  <c r="C62" i="7"/>
  <c r="C61" i="7"/>
  <c r="C52" i="7"/>
  <c r="C51" i="7"/>
  <c r="C50" i="7"/>
  <c r="C49" i="7"/>
  <c r="C48" i="7"/>
  <c r="C47" i="7"/>
  <c r="C44" i="7"/>
  <c r="C43" i="7"/>
  <c r="C42" i="7"/>
  <c r="C34" i="7"/>
  <c r="C33" i="7"/>
  <c r="C32" i="7"/>
  <c r="C31" i="7"/>
  <c r="C30" i="7"/>
  <c r="C29" i="7"/>
  <c r="C26" i="7"/>
  <c r="C25" i="7"/>
  <c r="C24" i="7"/>
  <c r="C15" i="7"/>
  <c r="C14" i="7"/>
  <c r="C13" i="7"/>
  <c r="C12" i="7"/>
  <c r="C11" i="7"/>
  <c r="C10" i="7"/>
  <c r="C7" i="7"/>
  <c r="C6" i="7"/>
  <c r="C5" i="7"/>
  <c r="C123" i="5"/>
  <c r="C122" i="5"/>
  <c r="C121" i="5"/>
  <c r="C120" i="5"/>
  <c r="C119" i="5"/>
  <c r="C118" i="5"/>
  <c r="C115" i="5"/>
  <c r="C114" i="5"/>
  <c r="C113" i="5"/>
  <c r="C105" i="5"/>
  <c r="C104" i="5"/>
  <c r="C103" i="5"/>
  <c r="C102" i="5"/>
  <c r="C101" i="5"/>
  <c r="C100" i="5"/>
  <c r="C97" i="5"/>
  <c r="E11" i="9" s="1"/>
  <c r="C96" i="5"/>
  <c r="C69" i="5"/>
  <c r="C68" i="5"/>
  <c r="C67" i="5"/>
  <c r="C66" i="5"/>
  <c r="C65" i="5"/>
  <c r="C64" i="5"/>
  <c r="C61" i="5"/>
  <c r="E9" i="9" s="1"/>
  <c r="C60" i="5"/>
  <c r="C59" i="5"/>
  <c r="C87" i="5"/>
  <c r="C86" i="5"/>
  <c r="C85" i="5"/>
  <c r="C84" i="5"/>
  <c r="C83" i="5"/>
  <c r="C82" i="5"/>
  <c r="C79" i="5"/>
  <c r="E10" i="9" s="1"/>
  <c r="C78" i="5"/>
  <c r="C77" i="5"/>
  <c r="C51" i="5"/>
  <c r="C50" i="5"/>
  <c r="C49" i="5"/>
  <c r="C48" i="5"/>
  <c r="C47" i="5"/>
  <c r="C46" i="5"/>
  <c r="C43" i="5"/>
  <c r="C42" i="5"/>
  <c r="C41" i="5"/>
  <c r="C33" i="5"/>
  <c r="C32" i="5"/>
  <c r="C31" i="5"/>
  <c r="C30" i="5"/>
  <c r="C29" i="5"/>
  <c r="C28" i="5"/>
  <c r="C25" i="5"/>
  <c r="E7" i="9" s="1"/>
  <c r="C24" i="5"/>
  <c r="C23" i="5"/>
  <c r="Y113" i="5" l="1"/>
  <c r="G9" i="9"/>
  <c r="G18" i="9"/>
  <c r="C7" i="9"/>
  <c r="G8" i="21"/>
  <c r="E8" i="22"/>
  <c r="G9" i="21"/>
  <c r="G9" i="22"/>
  <c r="AA77" i="5"/>
  <c r="AA114" i="5"/>
  <c r="AB113" i="5" s="1"/>
  <c r="AA80" i="5"/>
  <c r="K120" i="5"/>
  <c r="L120" i="5" s="1"/>
  <c r="AA117" i="5"/>
  <c r="C8" i="20"/>
  <c r="G9" i="20"/>
  <c r="K114" i="5"/>
  <c r="G7" i="20"/>
  <c r="C9" i="21"/>
  <c r="Y97" i="7"/>
  <c r="Y98" i="7"/>
  <c r="Z98" i="7" s="1"/>
  <c r="Y99" i="7"/>
  <c r="AA116" i="5"/>
  <c r="Y104" i="7"/>
  <c r="Z104" i="7" s="1"/>
  <c r="C11" i="9"/>
  <c r="Y77" i="5"/>
  <c r="X108" i="7"/>
  <c r="AA102" i="7" s="1"/>
  <c r="Y100" i="7"/>
  <c r="Y106" i="7"/>
  <c r="Z106" i="7" s="1"/>
  <c r="C9" i="20"/>
  <c r="Y96" i="7"/>
  <c r="Y103" i="7"/>
  <c r="Z103" i="7" s="1"/>
  <c r="G10" i="9"/>
  <c r="C7" i="21"/>
  <c r="C7" i="22"/>
  <c r="AA97" i="5"/>
  <c r="AB97" i="5" s="1"/>
  <c r="BC87" i="6" s="1"/>
  <c r="Y96" i="5"/>
  <c r="AA82" i="5"/>
  <c r="C8" i="21"/>
  <c r="E9" i="22"/>
  <c r="K87" i="5"/>
  <c r="L87" i="5" s="1"/>
  <c r="AA115" i="5"/>
  <c r="AB115" i="5" s="1"/>
  <c r="Y101" i="7"/>
  <c r="G7" i="9"/>
  <c r="C9" i="9"/>
  <c r="Y78" i="5"/>
  <c r="Y102" i="7"/>
  <c r="K97" i="5"/>
  <c r="L97" i="5" s="1"/>
  <c r="K95" i="5"/>
  <c r="C10" i="9"/>
  <c r="G7" i="21"/>
  <c r="E7" i="22"/>
  <c r="G8" i="22"/>
  <c r="C9" i="22"/>
  <c r="R86" i="5"/>
  <c r="S86" i="5" s="1"/>
  <c r="K101" i="5"/>
  <c r="K84" i="5"/>
  <c r="L84" i="5" s="1"/>
  <c r="AA96" i="5"/>
  <c r="C107" i="7"/>
  <c r="D106" i="7" s="1"/>
  <c r="E106" i="7" s="1"/>
  <c r="K105" i="5"/>
  <c r="L105" i="5" s="1"/>
  <c r="G7" i="22"/>
  <c r="C8" i="22"/>
  <c r="BC72" i="6"/>
  <c r="F10" i="22"/>
  <c r="R96" i="5"/>
  <c r="K100" i="5"/>
  <c r="AA118" i="5"/>
  <c r="G11" i="9"/>
  <c r="C7" i="20"/>
  <c r="G8" i="20"/>
  <c r="AA98" i="5"/>
  <c r="R104" i="7"/>
  <c r="S104" i="7" s="1"/>
  <c r="R101" i="7"/>
  <c r="K96" i="7"/>
  <c r="R97" i="7"/>
  <c r="K97" i="7"/>
  <c r="R96" i="7"/>
  <c r="R103" i="7"/>
  <c r="S103" i="7" s="1"/>
  <c r="K102" i="7"/>
  <c r="L101" i="7" s="1"/>
  <c r="J108" i="7"/>
  <c r="K105" i="7"/>
  <c r="L105" i="7" s="1"/>
  <c r="Q108" i="7"/>
  <c r="R105" i="7"/>
  <c r="S105" i="7" s="1"/>
  <c r="R102" i="7"/>
  <c r="R106" i="7"/>
  <c r="S106" i="7" s="1"/>
  <c r="K98" i="7"/>
  <c r="L98" i="7" s="1"/>
  <c r="K106" i="7"/>
  <c r="L106" i="7" s="1"/>
  <c r="K104" i="7"/>
  <c r="L104" i="7" s="1"/>
  <c r="K103" i="7"/>
  <c r="L103" i="7" s="1"/>
  <c r="AA119" i="5"/>
  <c r="Y114" i="5"/>
  <c r="Q125" i="5"/>
  <c r="R122" i="5"/>
  <c r="S122" i="5" s="1"/>
  <c r="R119" i="5"/>
  <c r="R123" i="5"/>
  <c r="S123" i="5" s="1"/>
  <c r="K118" i="5"/>
  <c r="K123" i="5"/>
  <c r="L123" i="5" s="1"/>
  <c r="K113" i="5"/>
  <c r="R113" i="5"/>
  <c r="K121" i="5"/>
  <c r="L121" i="5" s="1"/>
  <c r="R121" i="5"/>
  <c r="S121" i="5" s="1"/>
  <c r="R114" i="5"/>
  <c r="R120" i="5"/>
  <c r="S120" i="5" s="1"/>
  <c r="K119" i="5"/>
  <c r="J125" i="5"/>
  <c r="K122" i="5"/>
  <c r="L122" i="5" s="1"/>
  <c r="R115" i="5"/>
  <c r="S115" i="5" s="1"/>
  <c r="R118" i="5"/>
  <c r="Y95" i="5"/>
  <c r="Z95" i="5" s="1"/>
  <c r="R95" i="5"/>
  <c r="K78" i="5"/>
  <c r="R100" i="5"/>
  <c r="Q107" i="5"/>
  <c r="R105" i="5"/>
  <c r="S105" i="5" s="1"/>
  <c r="R104" i="5"/>
  <c r="S104" i="5" s="1"/>
  <c r="R103" i="5"/>
  <c r="S103" i="5" s="1"/>
  <c r="R101" i="5"/>
  <c r="J107" i="5"/>
  <c r="K104" i="5"/>
  <c r="L104" i="5" s="1"/>
  <c r="K103" i="5"/>
  <c r="L103" i="5" s="1"/>
  <c r="AA101" i="5"/>
  <c r="AB100" i="5" s="1"/>
  <c r="AA99" i="5"/>
  <c r="R97" i="5"/>
  <c r="S97" i="5" s="1"/>
  <c r="K96" i="5"/>
  <c r="AA95" i="5"/>
  <c r="Q89" i="5"/>
  <c r="R87" i="5"/>
  <c r="S87" i="5" s="1"/>
  <c r="R83" i="5"/>
  <c r="K82" i="5"/>
  <c r="R77" i="5"/>
  <c r="K83" i="5"/>
  <c r="R85" i="5"/>
  <c r="S85" i="5" s="1"/>
  <c r="R78" i="5"/>
  <c r="AA81" i="5"/>
  <c r="AA83" i="5"/>
  <c r="K77" i="5"/>
  <c r="J89" i="5"/>
  <c r="K86" i="5"/>
  <c r="L86" i="5" s="1"/>
  <c r="K79" i="5"/>
  <c r="L79" i="5" s="1"/>
  <c r="R82" i="5"/>
  <c r="AA78" i="5"/>
  <c r="R79" i="5"/>
  <c r="S79" i="5" s="1"/>
  <c r="C18" i="9"/>
  <c r="C88" i="5"/>
  <c r="D78" i="5" s="1"/>
  <c r="C106" i="5"/>
  <c r="D105" i="5" s="1"/>
  <c r="E105" i="5" s="1"/>
  <c r="C124" i="5"/>
  <c r="D121" i="5" s="1"/>
  <c r="E121" i="5" s="1"/>
  <c r="Z113" i="5" l="1"/>
  <c r="AB77" i="5"/>
  <c r="D10" i="22" s="1"/>
  <c r="AB95" i="5"/>
  <c r="BC86" i="6" s="1"/>
  <c r="AA101" i="7"/>
  <c r="AB101" i="7" s="1"/>
  <c r="BC89" i="8" s="1"/>
  <c r="AA99" i="7"/>
  <c r="L113" i="5"/>
  <c r="Z101" i="7"/>
  <c r="Z96" i="7"/>
  <c r="D101" i="7"/>
  <c r="AA97" i="7"/>
  <c r="C108" i="7"/>
  <c r="F102" i="7" s="1"/>
  <c r="AA98" i="7"/>
  <c r="AB98" i="7" s="1"/>
  <c r="BC88" i="8" s="1"/>
  <c r="Z77" i="5"/>
  <c r="D97" i="7"/>
  <c r="D98" i="7"/>
  <c r="E98" i="7" s="1"/>
  <c r="D104" i="7"/>
  <c r="E104" i="7" s="1"/>
  <c r="F11" i="22"/>
  <c r="S101" i="7"/>
  <c r="AA100" i="7"/>
  <c r="D105" i="7"/>
  <c r="E105" i="7" s="1"/>
  <c r="D103" i="7"/>
  <c r="E103" i="7" s="1"/>
  <c r="L77" i="5"/>
  <c r="AA96" i="7"/>
  <c r="L95" i="5"/>
  <c r="L100" i="5"/>
  <c r="AB118" i="5"/>
  <c r="D96" i="7"/>
  <c r="D102" i="7"/>
  <c r="AB82" i="5"/>
  <c r="BC73" i="6" s="1"/>
  <c r="BC88" i="6"/>
  <c r="H11" i="22"/>
  <c r="S82" i="5"/>
  <c r="S95" i="5"/>
  <c r="S96" i="7"/>
  <c r="T101" i="7"/>
  <c r="T102" i="7"/>
  <c r="T96" i="7"/>
  <c r="T98" i="7"/>
  <c r="U98" i="7" s="1"/>
  <c r="T97" i="7"/>
  <c r="M101" i="7"/>
  <c r="M97" i="7"/>
  <c r="M96" i="7"/>
  <c r="M98" i="7"/>
  <c r="N98" i="7" s="1"/>
  <c r="M102" i="7"/>
  <c r="L96" i="7"/>
  <c r="S118" i="5"/>
  <c r="T118" i="5"/>
  <c r="T119" i="5"/>
  <c r="T114" i="5"/>
  <c r="T113" i="5"/>
  <c r="T115" i="5"/>
  <c r="U115" i="5" s="1"/>
  <c r="S113" i="5"/>
  <c r="M119" i="5"/>
  <c r="M118" i="5"/>
  <c r="M113" i="5"/>
  <c r="M115" i="5"/>
  <c r="N115" i="5" s="1"/>
  <c r="M114" i="5"/>
  <c r="L118" i="5"/>
  <c r="T95" i="5"/>
  <c r="T96" i="5"/>
  <c r="T100" i="5"/>
  <c r="T97" i="5"/>
  <c r="U97" i="5" s="1"/>
  <c r="T101" i="5"/>
  <c r="M96" i="5"/>
  <c r="M101" i="5"/>
  <c r="M95" i="5"/>
  <c r="M100" i="5"/>
  <c r="M97" i="5"/>
  <c r="N97" i="5" s="1"/>
  <c r="S100" i="5"/>
  <c r="S77" i="5"/>
  <c r="M82" i="5"/>
  <c r="M77" i="5"/>
  <c r="M83" i="5"/>
  <c r="M79" i="5"/>
  <c r="N79" i="5" s="1"/>
  <c r="M78" i="5"/>
  <c r="L82" i="5"/>
  <c r="T77" i="5"/>
  <c r="T78" i="5"/>
  <c r="T83" i="5"/>
  <c r="T79" i="5"/>
  <c r="U79" i="5" s="1"/>
  <c r="T82" i="5"/>
  <c r="D77" i="5"/>
  <c r="E77" i="5" s="1"/>
  <c r="D84" i="5"/>
  <c r="E84" i="5" s="1"/>
  <c r="C89" i="5"/>
  <c r="F82" i="5" s="1"/>
  <c r="D123" i="5"/>
  <c r="E123" i="5" s="1"/>
  <c r="D79" i="5"/>
  <c r="E79" i="5" s="1"/>
  <c r="D100" i="5"/>
  <c r="D96" i="5"/>
  <c r="D86" i="5"/>
  <c r="E86" i="5" s="1"/>
  <c r="C125" i="5"/>
  <c r="F113" i="5" s="1"/>
  <c r="D83" i="5"/>
  <c r="D85" i="5"/>
  <c r="E85" i="5" s="1"/>
  <c r="C107" i="5"/>
  <c r="F97" i="5" s="1"/>
  <c r="G97" i="5" s="1"/>
  <c r="D82" i="5"/>
  <c r="D87" i="5"/>
  <c r="E87" i="5" s="1"/>
  <c r="D119" i="5"/>
  <c r="D95" i="5"/>
  <c r="D122" i="5"/>
  <c r="E122" i="5" s="1"/>
  <c r="D97" i="5"/>
  <c r="E97" i="5" s="1"/>
  <c r="D101" i="5"/>
  <c r="D102" i="5"/>
  <c r="E102" i="5" s="1"/>
  <c r="D120" i="5"/>
  <c r="E120" i="5" s="1"/>
  <c r="D104" i="5"/>
  <c r="E104" i="5" s="1"/>
  <c r="D114" i="5"/>
  <c r="D103" i="5"/>
  <c r="E103" i="5" s="1"/>
  <c r="D115" i="5"/>
  <c r="E115" i="5" s="1"/>
  <c r="D113" i="5"/>
  <c r="D118" i="5"/>
  <c r="X15" i="5"/>
  <c r="X14" i="5"/>
  <c r="X13" i="5"/>
  <c r="X12" i="5"/>
  <c r="X11" i="5"/>
  <c r="X10" i="5"/>
  <c r="BC71" i="6" l="1"/>
  <c r="F101" i="7"/>
  <c r="G101" i="7" s="1"/>
  <c r="H18" i="9" s="1"/>
  <c r="F96" i="7"/>
  <c r="F97" i="7"/>
  <c r="D11" i="22"/>
  <c r="F98" i="7"/>
  <c r="G98" i="7" s="1"/>
  <c r="F18" i="9" s="1"/>
  <c r="F18" i="22"/>
  <c r="H10" i="22"/>
  <c r="H18" i="22"/>
  <c r="E96" i="7"/>
  <c r="AB96" i="7"/>
  <c r="D18" i="22" s="1"/>
  <c r="E101" i="7"/>
  <c r="G5" i="22"/>
  <c r="U82" i="5"/>
  <c r="BB73" i="6" s="1"/>
  <c r="N101" i="7"/>
  <c r="BA89" i="8" s="1"/>
  <c r="N118" i="5"/>
  <c r="F11" i="9"/>
  <c r="AZ87" i="6"/>
  <c r="BA72" i="6"/>
  <c r="F10" i="20"/>
  <c r="BB72" i="6"/>
  <c r="F10" i="21"/>
  <c r="BB87" i="6"/>
  <c r="F11" i="21"/>
  <c r="F18" i="21"/>
  <c r="BB88" i="8"/>
  <c r="BA87" i="6"/>
  <c r="F11" i="20"/>
  <c r="F18" i="20"/>
  <c r="BA88" i="8"/>
  <c r="N96" i="7"/>
  <c r="U96" i="7"/>
  <c r="U101" i="7"/>
  <c r="U118" i="5"/>
  <c r="N113" i="5"/>
  <c r="U113" i="5"/>
  <c r="N95" i="5"/>
  <c r="U100" i="5"/>
  <c r="N100" i="5"/>
  <c r="U95" i="5"/>
  <c r="N77" i="5"/>
  <c r="U77" i="5"/>
  <c r="N82" i="5"/>
  <c r="E95" i="5"/>
  <c r="F78" i="5"/>
  <c r="F77" i="5"/>
  <c r="F83" i="5"/>
  <c r="G82" i="5" s="1"/>
  <c r="F114" i="5"/>
  <c r="G113" i="5" s="1"/>
  <c r="F115" i="5"/>
  <c r="G115" i="5" s="1"/>
  <c r="F118" i="5"/>
  <c r="F119" i="5"/>
  <c r="F79" i="5"/>
  <c r="G79" i="5" s="1"/>
  <c r="E82" i="5"/>
  <c r="F101" i="5"/>
  <c r="E100" i="5"/>
  <c r="F100" i="5"/>
  <c r="E118" i="5"/>
  <c r="F95" i="5"/>
  <c r="F96" i="5"/>
  <c r="E113" i="5"/>
  <c r="Q11" i="5"/>
  <c r="Q10" i="5"/>
  <c r="G77" i="5" l="1"/>
  <c r="D10" i="9" s="1"/>
  <c r="AZ89" i="8"/>
  <c r="G96" i="7"/>
  <c r="D18" i="9" s="1"/>
  <c r="H10" i="21"/>
  <c r="AZ88" i="8"/>
  <c r="BC87" i="8"/>
  <c r="H18" i="20"/>
  <c r="G5" i="21"/>
  <c r="G95" i="5"/>
  <c r="D11" i="9" s="1"/>
  <c r="BA87" i="8"/>
  <c r="D18" i="20"/>
  <c r="BB88" i="6"/>
  <c r="H11" i="21"/>
  <c r="F10" i="9"/>
  <c r="AZ72" i="6"/>
  <c r="BA86" i="6"/>
  <c r="D11" i="20"/>
  <c r="BA73" i="6"/>
  <c r="H10" i="20"/>
  <c r="BA88" i="6"/>
  <c r="H11" i="20"/>
  <c r="BB71" i="6"/>
  <c r="D10" i="21"/>
  <c r="BA71" i="6"/>
  <c r="D10" i="20"/>
  <c r="BB89" i="8"/>
  <c r="H18" i="21"/>
  <c r="H10" i="9"/>
  <c r="AZ73" i="6"/>
  <c r="BB86" i="6"/>
  <c r="D11" i="21"/>
  <c r="D18" i="21"/>
  <c r="BB87" i="8"/>
  <c r="G118" i="5"/>
  <c r="G100" i="5"/>
  <c r="J15" i="5"/>
  <c r="J14" i="5"/>
  <c r="J13" i="5"/>
  <c r="J12" i="5"/>
  <c r="J11" i="5"/>
  <c r="J10" i="5"/>
  <c r="J6" i="5"/>
  <c r="J5" i="5"/>
  <c r="AZ71" i="6" l="1"/>
  <c r="AZ87" i="8"/>
  <c r="AZ86" i="6"/>
  <c r="G5" i="20"/>
  <c r="C5" i="20"/>
  <c r="H11" i="9"/>
  <c r="AZ88" i="6"/>
  <c r="X9" i="5"/>
  <c r="X8" i="5"/>
  <c r="X7" i="5"/>
  <c r="X6" i="5"/>
  <c r="X5" i="5"/>
  <c r="Q7" i="5"/>
  <c r="E5" i="21" s="1"/>
  <c r="Q6" i="5"/>
  <c r="Q5" i="5"/>
  <c r="C7" i="5"/>
  <c r="C6" i="5"/>
  <c r="C5" i="5"/>
  <c r="C15" i="5"/>
  <c r="C14" i="5"/>
  <c r="C13" i="5"/>
  <c r="C12" i="5"/>
  <c r="C11" i="5"/>
  <c r="C10" i="5"/>
  <c r="E5" i="22" l="1"/>
  <c r="C5" i="22"/>
  <c r="C5" i="21"/>
  <c r="J7" i="5"/>
  <c r="E5" i="20" s="1"/>
  <c r="X89" i="7" l="1"/>
  <c r="Y86" i="7" s="1"/>
  <c r="Z86" i="7" s="1"/>
  <c r="X71" i="7"/>
  <c r="Y68" i="7" s="1"/>
  <c r="Z68" i="7" s="1"/>
  <c r="X53" i="7"/>
  <c r="Y49" i="7" s="1"/>
  <c r="Z49" i="7" s="1"/>
  <c r="X35" i="7"/>
  <c r="Y33" i="7" s="1"/>
  <c r="Z33" i="7" s="1"/>
  <c r="X16" i="7"/>
  <c r="Y14" i="7" s="1"/>
  <c r="Z14" i="7" s="1"/>
  <c r="Y28" i="7" l="1"/>
  <c r="Y45" i="7"/>
  <c r="Y63" i="7"/>
  <c r="Y27" i="7"/>
  <c r="Y62" i="7"/>
  <c r="Y80" i="7"/>
  <c r="Y44" i="7"/>
  <c r="Y81" i="7"/>
  <c r="Y26" i="7"/>
  <c r="Y46" i="7"/>
  <c r="Y64" i="7"/>
  <c r="Y82" i="7"/>
  <c r="X16" i="5"/>
  <c r="Y12" i="5" s="1"/>
  <c r="Z12" i="5" s="1"/>
  <c r="Y5" i="7"/>
  <c r="Y43" i="7"/>
  <c r="Y67" i="7"/>
  <c r="Z67" i="7" s="1"/>
  <c r="Y48" i="7"/>
  <c r="Y51" i="7"/>
  <c r="Z51" i="7" s="1"/>
  <c r="X54" i="7"/>
  <c r="Y11" i="7"/>
  <c r="Y84" i="7"/>
  <c r="Y8" i="7"/>
  <c r="Y85" i="7"/>
  <c r="Z85" i="7" s="1"/>
  <c r="Y13" i="7"/>
  <c r="Z13" i="7" s="1"/>
  <c r="X17" i="7"/>
  <c r="AA6" i="7" s="1"/>
  <c r="Y12" i="7"/>
  <c r="Z12" i="7" s="1"/>
  <c r="Y66" i="7"/>
  <c r="Y69" i="7"/>
  <c r="Z69" i="7" s="1"/>
  <c r="Y88" i="7"/>
  <c r="Z88" i="7" s="1"/>
  <c r="X90" i="7"/>
  <c r="Y10" i="7"/>
  <c r="Y15" i="7"/>
  <c r="Z15" i="7" s="1"/>
  <c r="Y7" i="7"/>
  <c r="Y70" i="7"/>
  <c r="Z70" i="7" s="1"/>
  <c r="Y78" i="7"/>
  <c r="Y87" i="7"/>
  <c r="Z87" i="7" s="1"/>
  <c r="Y9" i="7"/>
  <c r="Y60" i="7"/>
  <c r="Y83" i="7"/>
  <c r="Y79" i="7"/>
  <c r="X72" i="7"/>
  <c r="Y65" i="7"/>
  <c r="Y61" i="7"/>
  <c r="Y52" i="7"/>
  <c r="Z52" i="7" s="1"/>
  <c r="Y50" i="7"/>
  <c r="Z50" i="7" s="1"/>
  <c r="Y47" i="7"/>
  <c r="Y42" i="7"/>
  <c r="Y34" i="7"/>
  <c r="Z34" i="7" s="1"/>
  <c r="Y24" i="7"/>
  <c r="Y25" i="7"/>
  <c r="Y31" i="7"/>
  <c r="Z31" i="7" s="1"/>
  <c r="Y30" i="7"/>
  <c r="Y29" i="7"/>
  <c r="X36" i="7"/>
  <c r="Y32" i="7"/>
  <c r="Z32" i="7" s="1"/>
  <c r="Y6" i="7"/>
  <c r="X34" i="5"/>
  <c r="X70" i="5"/>
  <c r="Y60" i="5" s="1"/>
  <c r="X52" i="5"/>
  <c r="Y43" i="5" s="1"/>
  <c r="Y30" i="5" l="1"/>
  <c r="Z30" i="5" s="1"/>
  <c r="Y122" i="5"/>
  <c r="Z122" i="5" s="1"/>
  <c r="Y121" i="5"/>
  <c r="Z121" i="5" s="1"/>
  <c r="Y101" i="5"/>
  <c r="Y87" i="5"/>
  <c r="Z87" i="5" s="1"/>
  <c r="Y100" i="5"/>
  <c r="Z100" i="5" s="1"/>
  <c r="Y99" i="5"/>
  <c r="Y83" i="5"/>
  <c r="Y116" i="5"/>
  <c r="Y123" i="5"/>
  <c r="Z123" i="5" s="1"/>
  <c r="Y82" i="5"/>
  <c r="Z82" i="5" s="1"/>
  <c r="Y80" i="5"/>
  <c r="Y85" i="5"/>
  <c r="Z85" i="5" s="1"/>
  <c r="Y105" i="5"/>
  <c r="Z105" i="5" s="1"/>
  <c r="Y81" i="5"/>
  <c r="Y79" i="5"/>
  <c r="Z79" i="5" s="1"/>
  <c r="Y119" i="5"/>
  <c r="Y102" i="5"/>
  <c r="Z102" i="5" s="1"/>
  <c r="Y84" i="5"/>
  <c r="Z84" i="5" s="1"/>
  <c r="Y120" i="5"/>
  <c r="Z120" i="5" s="1"/>
  <c r="Y97" i="5"/>
  <c r="Z97" i="5" s="1"/>
  <c r="Y104" i="5"/>
  <c r="Z104" i="5" s="1"/>
  <c r="Y103" i="5"/>
  <c r="Z103" i="5" s="1"/>
  <c r="Y115" i="5"/>
  <c r="Z115" i="5" s="1"/>
  <c r="Y98" i="5"/>
  <c r="Y118" i="5"/>
  <c r="Z118" i="5" s="1"/>
  <c r="Y117" i="5"/>
  <c r="Y86" i="5"/>
  <c r="Z86" i="5" s="1"/>
  <c r="Z5" i="7"/>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D13" i="22"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Z43" i="5" l="1"/>
  <c r="AB42" i="7"/>
  <c r="D15" i="22" s="1"/>
  <c r="AB62" i="7"/>
  <c r="F16" i="22" s="1"/>
  <c r="AB80" i="7"/>
  <c r="F17" i="22" s="1"/>
  <c r="AB44" i="7"/>
  <c r="F15" i="22" s="1"/>
  <c r="AB26" i="7"/>
  <c r="F14" i="22" s="1"/>
  <c r="AB7" i="7"/>
  <c r="F13" i="22" s="1"/>
  <c r="Z10" i="5"/>
  <c r="AB10" i="7"/>
  <c r="H13" i="22" s="1"/>
  <c r="AA41" i="5"/>
  <c r="AA42" i="5"/>
  <c r="AA46" i="5"/>
  <c r="AA47" i="5"/>
  <c r="AA45" i="5"/>
  <c r="AA43" i="5"/>
  <c r="AA44" i="5"/>
  <c r="AA59" i="5"/>
  <c r="AA60" i="5"/>
  <c r="AA61" i="5"/>
  <c r="AA62" i="5"/>
  <c r="AA63" i="5"/>
  <c r="AA65" i="5"/>
  <c r="AA64" i="5"/>
  <c r="Z41" i="5"/>
  <c r="AB47" i="7"/>
  <c r="H15" i="22" s="1"/>
  <c r="Z28" i="5"/>
  <c r="Z7" i="5"/>
  <c r="Z23" i="5"/>
  <c r="Z46" i="5"/>
  <c r="Z5" i="5"/>
  <c r="Z64" i="5"/>
  <c r="Z25" i="5"/>
  <c r="AA24" i="5"/>
  <c r="AA29" i="5"/>
  <c r="AA27" i="5"/>
  <c r="AA25" i="5"/>
  <c r="AA26" i="5"/>
  <c r="AA28" i="5"/>
  <c r="AA11" i="5"/>
  <c r="AA8" i="5"/>
  <c r="AA7" i="5"/>
  <c r="AA10" i="5"/>
  <c r="AA6" i="5"/>
  <c r="AA9" i="5"/>
  <c r="Z61" i="5"/>
  <c r="AB25" i="5" l="1"/>
  <c r="F7" i="22" s="1"/>
  <c r="AB61" i="5"/>
  <c r="F9" i="22" s="1"/>
  <c r="AB10" i="5"/>
  <c r="H5" i="22" s="1"/>
  <c r="AB7" i="5"/>
  <c r="F5" i="22" s="1"/>
  <c r="AB59" i="5"/>
  <c r="D9" i="22" s="1"/>
  <c r="AB41" i="5"/>
  <c r="D8" i="22" s="1"/>
  <c r="AB43" i="5"/>
  <c r="F8" i="22" s="1"/>
  <c r="AB64" i="5"/>
  <c r="H9" i="22" s="1"/>
  <c r="AB23" i="5"/>
  <c r="D7" i="22" s="1"/>
  <c r="AB46" i="5"/>
  <c r="H8" i="22" s="1"/>
  <c r="AB5" i="5"/>
  <c r="AD5" i="5" l="1"/>
  <c r="D5" i="22"/>
  <c r="AD7" i="5"/>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AB83" i="7" l="1"/>
  <c r="H17" i="22" s="1"/>
  <c r="AB78" i="7"/>
  <c r="D17" i="22" s="1"/>
  <c r="AB65" i="7"/>
  <c r="H16" i="22" s="1"/>
  <c r="AB60" i="7"/>
  <c r="D16" i="22" s="1"/>
  <c r="BC41" i="8"/>
  <c r="BC40" i="8"/>
  <c r="BC39" i="8"/>
  <c r="AB29" i="7"/>
  <c r="H14" i="22" s="1"/>
  <c r="AB24" i="7"/>
  <c r="D14" i="22" s="1"/>
  <c r="BC7" i="8"/>
  <c r="G14" i="9" l="1"/>
  <c r="BC71" i="8"/>
  <c r="BC72" i="8"/>
  <c r="BC73" i="8"/>
  <c r="BC57" i="8"/>
  <c r="BC55" i="8"/>
  <c r="BC56" i="8"/>
  <c r="BC24" i="8"/>
  <c r="BC25" i="8"/>
  <c r="BC23" i="8"/>
  <c r="BC9" i="8"/>
  <c r="BC8" i="8"/>
  <c r="G16"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7" i="9"/>
  <c r="G15" i="9"/>
  <c r="G13" i="9"/>
  <c r="E17" i="9"/>
  <c r="E16" i="9"/>
  <c r="E15" i="9"/>
  <c r="E14" i="9"/>
  <c r="E13" i="9"/>
  <c r="C17" i="9"/>
  <c r="C16" i="9"/>
  <c r="C15" i="9"/>
  <c r="C14" i="9"/>
  <c r="C13" i="9"/>
  <c r="Q17" i="7" l="1"/>
  <c r="T7" i="7" s="1"/>
  <c r="U7" i="7" s="1"/>
  <c r="F13" i="21" s="1"/>
  <c r="R7" i="7"/>
  <c r="S7" i="7" s="1"/>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H7" i="22" s="1"/>
  <c r="BC23" i="6"/>
  <c r="Q15" i="5"/>
  <c r="Q14" i="5"/>
  <c r="Q13" i="5"/>
  <c r="E5" i="9"/>
  <c r="Q16" i="5" l="1"/>
  <c r="T6" i="7"/>
  <c r="T11" i="7"/>
  <c r="T5" i="7"/>
  <c r="T10" i="7"/>
  <c r="L5" i="7"/>
  <c r="S60" i="7"/>
  <c r="BC24" i="6"/>
  <c r="BC25" i="6"/>
  <c r="BB8" i="8"/>
  <c r="AZ9" i="8"/>
  <c r="E8" i="9"/>
  <c r="AZ8" i="8"/>
  <c r="C5" i="9"/>
  <c r="J16" i="5"/>
  <c r="K7" i="5" s="1"/>
  <c r="C16" i="5"/>
  <c r="D5" i="5" s="1"/>
  <c r="T84" i="7"/>
  <c r="M79" i="7"/>
  <c r="E78" i="7"/>
  <c r="L78" i="7"/>
  <c r="E83" i="7"/>
  <c r="T29" i="7"/>
  <c r="H17" i="9"/>
  <c r="AZ73" i="8"/>
  <c r="F17" i="9"/>
  <c r="AZ72" i="8"/>
  <c r="S29" i="7"/>
  <c r="T30" i="7"/>
  <c r="T24" i="7"/>
  <c r="U24" i="7" s="1"/>
  <c r="D14" i="21" s="1"/>
  <c r="T26" i="7"/>
  <c r="U26" i="7" s="1"/>
  <c r="F14" i="21" s="1"/>
  <c r="S24" i="7"/>
  <c r="S42" i="7"/>
  <c r="G78" i="7"/>
  <c r="G42" i="7"/>
  <c r="M62" i="7"/>
  <c r="N62" i="7" s="1"/>
  <c r="F16" i="20" s="1"/>
  <c r="G47" i="7"/>
  <c r="M65" i="7"/>
  <c r="E29" i="7"/>
  <c r="M80" i="7"/>
  <c r="N80" i="7" s="1"/>
  <c r="F17" i="20" s="1"/>
  <c r="M83" i="7"/>
  <c r="N83" i="7" s="1"/>
  <c r="H17" i="20" s="1"/>
  <c r="E65" i="7"/>
  <c r="E42" i="7"/>
  <c r="E47" i="7"/>
  <c r="L24" i="7"/>
  <c r="S5" i="7"/>
  <c r="M78" i="7"/>
  <c r="T78" i="7"/>
  <c r="U78" i="7" s="1"/>
  <c r="D17" i="21" s="1"/>
  <c r="S78" i="7"/>
  <c r="L83" i="7"/>
  <c r="S10" i="7"/>
  <c r="G5" i="7"/>
  <c r="F26" i="7"/>
  <c r="G26" i="7" s="1"/>
  <c r="F25" i="7"/>
  <c r="F24" i="7"/>
  <c r="M11" i="7"/>
  <c r="T83" i="7"/>
  <c r="M29" i="7"/>
  <c r="M66" i="7"/>
  <c r="F29" i="7"/>
  <c r="G29" i="7" s="1"/>
  <c r="E60" i="7"/>
  <c r="M26" i="7"/>
  <c r="N26" i="7" s="1"/>
  <c r="F14" i="20" s="1"/>
  <c r="M24" i="7"/>
  <c r="N24" i="7" s="1"/>
  <c r="D14" i="20" s="1"/>
  <c r="M30" i="7"/>
  <c r="T80" i="7"/>
  <c r="U80" i="7" s="1"/>
  <c r="F17" i="21" s="1"/>
  <c r="F15" i="9"/>
  <c r="AZ40" i="8"/>
  <c r="L60" i="7"/>
  <c r="M61" i="7"/>
  <c r="N60" i="7" s="1"/>
  <c r="D16" i="20" s="1"/>
  <c r="M7" i="7"/>
  <c r="N7" i="7" s="1"/>
  <c r="F13" i="20" s="1"/>
  <c r="M5" i="7"/>
  <c r="N5" i="7" s="1"/>
  <c r="D13" i="20" s="1"/>
  <c r="L10" i="7"/>
  <c r="L47" i="7"/>
  <c r="M10" i="7"/>
  <c r="T62" i="7"/>
  <c r="U62" i="7" s="1"/>
  <c r="F16" i="21" s="1"/>
  <c r="S65" i="7"/>
  <c r="T66" i="7"/>
  <c r="U65" i="7" s="1"/>
  <c r="H16" i="21" s="1"/>
  <c r="T61" i="7"/>
  <c r="T60" i="7"/>
  <c r="L65" i="7"/>
  <c r="T48" i="7"/>
  <c r="T44" i="7"/>
  <c r="U44" i="7" s="1"/>
  <c r="F15" i="21" s="1"/>
  <c r="T43" i="7"/>
  <c r="T42" i="7"/>
  <c r="T47" i="7"/>
  <c r="M48" i="7"/>
  <c r="M44" i="7"/>
  <c r="N44" i="7" s="1"/>
  <c r="F15" i="20" s="1"/>
  <c r="M43" i="7"/>
  <c r="M42" i="7"/>
  <c r="M47" i="7"/>
  <c r="L42" i="7"/>
  <c r="F62" i="7"/>
  <c r="G62" i="7" s="1"/>
  <c r="F65" i="7"/>
  <c r="F66" i="7"/>
  <c r="F61" i="7"/>
  <c r="G60" i="7" s="1"/>
  <c r="G5" i="9"/>
  <c r="G8"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3" i="21" s="1"/>
  <c r="U10" i="7"/>
  <c r="R32" i="5"/>
  <c r="S32" i="5" s="1"/>
  <c r="R25" i="5"/>
  <c r="S25" i="5" s="1"/>
  <c r="R15" i="5"/>
  <c r="S15" i="5" s="1"/>
  <c r="Q17" i="5"/>
  <c r="T5" i="5" s="1"/>
  <c r="R12" i="5"/>
  <c r="S12" i="5" s="1"/>
  <c r="R11" i="5"/>
  <c r="BB24" i="8"/>
  <c r="BB57" i="8"/>
  <c r="BB23" i="8"/>
  <c r="BB72" i="8"/>
  <c r="BB40" i="8"/>
  <c r="BB56" i="8"/>
  <c r="BB71" i="8"/>
  <c r="H15" i="9"/>
  <c r="AZ7" i="8"/>
  <c r="AZ39" i="8"/>
  <c r="K12" i="5"/>
  <c r="L12" i="5" s="1"/>
  <c r="BA72" i="8"/>
  <c r="BA56" i="8"/>
  <c r="BA8" i="8"/>
  <c r="BA23" i="8"/>
  <c r="BA7" i="8"/>
  <c r="BA55" i="8"/>
  <c r="BA24" i="8"/>
  <c r="BA40" i="8"/>
  <c r="BA73" i="8"/>
  <c r="K33" i="5"/>
  <c r="L33" i="5" s="1"/>
  <c r="K25" i="5"/>
  <c r="L25" i="5" s="1"/>
  <c r="K48" i="5"/>
  <c r="L48" i="5" s="1"/>
  <c r="K43" i="5"/>
  <c r="L43" i="5" s="1"/>
  <c r="N78" i="7"/>
  <c r="D17" i="20" s="1"/>
  <c r="U83" i="7"/>
  <c r="H17" i="21" s="1"/>
  <c r="U47" i="7"/>
  <c r="H15" i="21" s="1"/>
  <c r="U29" i="7"/>
  <c r="H14" i="21" s="1"/>
  <c r="N65" i="7"/>
  <c r="H16" i="20" s="1"/>
  <c r="F16" i="9"/>
  <c r="AZ56" i="8"/>
  <c r="D17" i="9"/>
  <c r="AZ71" i="8"/>
  <c r="D16" i="9"/>
  <c r="AZ55" i="8"/>
  <c r="D15" i="9"/>
  <c r="D49" i="5"/>
  <c r="E49" i="5" s="1"/>
  <c r="AZ41" i="8"/>
  <c r="N29" i="7"/>
  <c r="H14" i="20" s="1"/>
  <c r="G24" i="7"/>
  <c r="N10" i="7"/>
  <c r="H13" i="20" s="1"/>
  <c r="F14" i="9"/>
  <c r="AZ24" i="8"/>
  <c r="D59" i="5"/>
  <c r="H14" i="9"/>
  <c r="AZ25" i="8"/>
  <c r="N42" i="7"/>
  <c r="D15" i="20" s="1"/>
  <c r="U60" i="7"/>
  <c r="D16" i="21" s="1"/>
  <c r="U42" i="7"/>
  <c r="D15" i="21" s="1"/>
  <c r="N47" i="7"/>
  <c r="H15" i="20" s="1"/>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3" i="9"/>
  <c r="R5" i="5"/>
  <c r="R6" i="5"/>
  <c r="R7" i="5"/>
  <c r="S7" i="5" s="1"/>
  <c r="R10" i="5"/>
  <c r="R14" i="5"/>
  <c r="S14" i="5" s="1"/>
  <c r="R13" i="5"/>
  <c r="S13" i="5" s="1"/>
  <c r="J17" i="5"/>
  <c r="L7" i="5"/>
  <c r="K5" i="5"/>
  <c r="K15" i="5"/>
  <c r="L15" i="5" s="1"/>
  <c r="BC7" i="6"/>
  <c r="BC9" i="6"/>
  <c r="J71" i="5"/>
  <c r="M61" i="5" s="1"/>
  <c r="N61" i="5" s="1"/>
  <c r="F9" i="20"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7" i="9"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9" i="8" l="1"/>
  <c r="H13" i="21"/>
  <c r="BB7" i="8"/>
  <c r="S5" i="5"/>
  <c r="BB41" i="8"/>
  <c r="BB73" i="8"/>
  <c r="BB55" i="8"/>
  <c r="BB25" i="8"/>
  <c r="BB39" i="8"/>
  <c r="T6" i="5"/>
  <c r="T7" i="5"/>
  <c r="U7" i="5" s="1"/>
  <c r="F5" i="21" s="1"/>
  <c r="D14" i="9"/>
  <c r="F59" i="5"/>
  <c r="BA9" i="8"/>
  <c r="BA57" i="8"/>
  <c r="BA71" i="8"/>
  <c r="BA56" i="6"/>
  <c r="BA41" i="8"/>
  <c r="BA39" i="8"/>
  <c r="BA25" i="8"/>
  <c r="M42" i="5"/>
  <c r="M43" i="5"/>
  <c r="N43" i="5" s="1"/>
  <c r="F8" i="20" s="1"/>
  <c r="M10" i="5"/>
  <c r="M7" i="5"/>
  <c r="N7" i="5" s="1"/>
  <c r="F5" i="20" s="1"/>
  <c r="E46" i="5"/>
  <c r="F65" i="5"/>
  <c r="G64" i="5" s="1"/>
  <c r="H9" i="9" s="1"/>
  <c r="E41" i="5"/>
  <c r="H16" i="9"/>
  <c r="AZ57" i="8"/>
  <c r="S64" i="5"/>
  <c r="F42" i="5"/>
  <c r="E59" i="5"/>
  <c r="F41" i="5"/>
  <c r="AZ23" i="8"/>
  <c r="G23" i="5"/>
  <c r="D7" i="9" s="1"/>
  <c r="E23" i="5"/>
  <c r="T11" i="5"/>
  <c r="F43" i="5"/>
  <c r="G43" i="5" s="1"/>
  <c r="T10" i="5"/>
  <c r="F47" i="5"/>
  <c r="G46" i="5" s="1"/>
  <c r="F61" i="5"/>
  <c r="G61" i="5" s="1"/>
  <c r="F9" i="9" s="1"/>
  <c r="F60" i="5"/>
  <c r="F5" i="5"/>
  <c r="F6" i="5"/>
  <c r="AZ24" i="6"/>
  <c r="H13" i="9"/>
  <c r="D13" i="9"/>
  <c r="M11" i="5"/>
  <c r="M65" i="5"/>
  <c r="M5" i="5"/>
  <c r="M6" i="5"/>
  <c r="L5" i="5"/>
  <c r="S46" i="5"/>
  <c r="S10" i="5"/>
  <c r="G28" i="5"/>
  <c r="H7" i="9" s="1"/>
  <c r="L10" i="5"/>
  <c r="M60" i="5"/>
  <c r="L41" i="5"/>
  <c r="M46" i="5"/>
  <c r="M59" i="5"/>
  <c r="M64" i="5"/>
  <c r="L59" i="5"/>
  <c r="L64" i="5"/>
  <c r="L46" i="5"/>
  <c r="M41" i="5"/>
  <c r="M47" i="5"/>
  <c r="S59" i="5"/>
  <c r="S41" i="5"/>
  <c r="T47" i="5"/>
  <c r="T42" i="5"/>
  <c r="T46" i="5"/>
  <c r="T41" i="5"/>
  <c r="T43" i="5"/>
  <c r="U43" i="5" s="1"/>
  <c r="F8" i="21" s="1"/>
  <c r="L23" i="5"/>
  <c r="L28" i="5"/>
  <c r="E28" i="5"/>
  <c r="T60" i="5"/>
  <c r="T61" i="5"/>
  <c r="U61" i="5" s="1"/>
  <c r="F9" i="21" s="1"/>
  <c r="T64" i="5"/>
  <c r="T59" i="5"/>
  <c r="T65" i="5"/>
  <c r="S28" i="5"/>
  <c r="T29" i="5"/>
  <c r="T28" i="5"/>
  <c r="T23" i="5"/>
  <c r="T24" i="5"/>
  <c r="T25" i="5"/>
  <c r="U25" i="5" s="1"/>
  <c r="F7" i="21" s="1"/>
  <c r="S23" i="5"/>
  <c r="N25" i="5"/>
  <c r="F7" i="20" s="1"/>
  <c r="M24" i="5"/>
  <c r="M23" i="5"/>
  <c r="M28" i="5"/>
  <c r="M29" i="5"/>
  <c r="E10" i="5"/>
  <c r="F10" i="5"/>
  <c r="F11" i="5"/>
  <c r="F7" i="5"/>
  <c r="G7" i="5" s="1"/>
  <c r="N41" i="5" l="1"/>
  <c r="D8" i="20" s="1"/>
  <c r="G5" i="5"/>
  <c r="G59" i="5"/>
  <c r="D9" i="9" s="1"/>
  <c r="BB24" i="6"/>
  <c r="BB56" i="6"/>
  <c r="BB40" i="6"/>
  <c r="BB8" i="6"/>
  <c r="U5" i="5"/>
  <c r="D5" i="21" s="1"/>
  <c r="U10" i="5"/>
  <c r="H5" i="21" s="1"/>
  <c r="H8" i="9"/>
  <c r="AZ40" i="6"/>
  <c r="BA24" i="6"/>
  <c r="BA8" i="6"/>
  <c r="BA40" i="6"/>
  <c r="N10" i="5"/>
  <c r="H5" i="20" s="1"/>
  <c r="AZ23" i="6"/>
  <c r="F8" i="9"/>
  <c r="AZ41" i="6"/>
  <c r="G41" i="5"/>
  <c r="AZ57" i="6"/>
  <c r="AZ8" i="6"/>
  <c r="F5" i="9"/>
  <c r="AZ25" i="6"/>
  <c r="AZ56" i="6"/>
  <c r="N5" i="5"/>
  <c r="D5" i="20" s="1"/>
  <c r="N64" i="5"/>
  <c r="H9" i="20" s="1"/>
  <c r="N59" i="5"/>
  <c r="D9" i="20" s="1"/>
  <c r="N46" i="5"/>
  <c r="H8" i="20" s="1"/>
  <c r="U41" i="5"/>
  <c r="D8" i="21" s="1"/>
  <c r="U46" i="5"/>
  <c r="H8" i="21" s="1"/>
  <c r="U28" i="5"/>
  <c r="H7" i="21" s="1"/>
  <c r="U64" i="5"/>
  <c r="H9" i="21" s="1"/>
  <c r="N23" i="5"/>
  <c r="D7" i="20" s="1"/>
  <c r="U59" i="5"/>
  <c r="D9" i="21" s="1"/>
  <c r="N28" i="5"/>
  <c r="H7" i="20" s="1"/>
  <c r="U23" i="5"/>
  <c r="D7" i="21" s="1"/>
  <c r="G10" i="5"/>
  <c r="BB39" i="6" l="1"/>
  <c r="AZ55" i="6"/>
  <c r="BB23" i="6"/>
  <c r="BB57" i="6"/>
  <c r="BB25" i="6"/>
  <c r="BB9" i="6"/>
  <c r="BB55" i="6"/>
  <c r="BB41" i="6"/>
  <c r="BB7" i="6"/>
  <c r="D5" i="9"/>
  <c r="D8" i="9"/>
  <c r="BA23" i="6"/>
  <c r="BA55" i="6"/>
  <c r="BA9" i="6"/>
  <c r="BA41" i="6"/>
  <c r="BA39" i="6"/>
  <c r="BA25" i="6"/>
  <c r="BA57" i="6"/>
  <c r="BA7" i="6"/>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comments2.xml><?xml version="1.0" encoding="utf-8"?>
<comments xmlns="http://schemas.openxmlformats.org/spreadsheetml/2006/main">
  <authors>
    <author>Jennifer Norman</author>
  </authors>
  <commentList>
    <comment ref="G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text>
    </comment>
  </commentList>
</comments>
</file>

<file path=xl/comments3.xml><?xml version="1.0" encoding="utf-8"?>
<comments xmlns="http://schemas.openxmlformats.org/spreadsheetml/2006/main">
  <authors>
    <author>Jennifer Norman</author>
  </authors>
  <commentList>
    <comment ref="F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r>
          <rPr>
            <sz val="9"/>
            <color indexed="81"/>
            <rFont val="Tahoma"/>
            <family val="2"/>
          </rPr>
          <t xml:space="preserve">
</t>
        </r>
      </text>
    </comment>
  </commentList>
</comments>
</file>

<file path=xl/sharedStrings.xml><?xml version="1.0" encoding="utf-8"?>
<sst xmlns="http://schemas.openxmlformats.org/spreadsheetml/2006/main" count="2593" uniqueCount="521">
  <si>
    <t>Measures</t>
  </si>
  <si>
    <t>Target 2019/20</t>
  </si>
  <si>
    <t>Increasing Staffing Availability Through Reduced Sickness</t>
  </si>
  <si>
    <t>Portfolio</t>
  </si>
  <si>
    <t>Service</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</si>
  <si>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</si>
  <si>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</si>
  <si>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</si>
  <si>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</si>
  <si>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</si>
  <si>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</si>
  <si>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</si>
  <si>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</si>
  <si>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</si>
  <si>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</si>
  <si>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</si>
  <si>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</si>
  <si>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</si>
  <si>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</si>
  <si>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</si>
  <si>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</si>
  <si>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</si>
  <si>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</si>
  <si>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</si>
  <si>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</si>
  <si>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</si>
  <si>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</si>
  <si>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</si>
  <si>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</si>
  <si>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</si>
  <si>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</si>
  <si>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</si>
  <si>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</si>
  <si>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</si>
  <si>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</si>
  <si>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</si>
  <si>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</si>
  <si>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</si>
  <si>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</si>
  <si>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</si>
  <si>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</si>
  <si>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</si>
  <si>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</si>
  <si>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</si>
  <si>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</si>
  <si>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</si>
  <si>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</si>
  <si>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Charts by Corporate Priority</t>
  </si>
  <si>
    <t>OVERALL PERFORMANCE</t>
  </si>
  <si>
    <t>Green</t>
  </si>
  <si>
    <t>Amber</t>
  </si>
  <si>
    <t>Red</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</si>
  <si>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</si>
  <si>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</si>
  <si>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</si>
  <si>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</si>
  <si>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</si>
  <si>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</si>
  <si>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</si>
  <si>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</si>
  <si>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</si>
  <si>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</si>
  <si>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</si>
  <si>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</si>
  <si>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</si>
  <si>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</si>
  <si>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</si>
  <si>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</si>
  <si>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</si>
  <si>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</si>
  <si>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</si>
  <si>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</si>
  <si>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</si>
  <si>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</si>
  <si>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Average time from appointment to initial decision for homeless applicants of 3 days</t>
  </si>
  <si>
    <t>Quarter 2 
(July - September 2021)</t>
  </si>
  <si>
    <t>QUARTER 2: July - September 2021</t>
  </si>
  <si>
    <t>Quarter 3
(October - December 2021)</t>
  </si>
  <si>
    <t>QUARTER 3: October - December 2021</t>
  </si>
  <si>
    <t>Quarter 4
(January - March 2022)</t>
  </si>
  <si>
    <t>QUARTER 4: January - March 2022</t>
  </si>
  <si>
    <t>Developing Tourism within the Borough</t>
  </si>
  <si>
    <t>Improve the Washlands as a regional attraction</t>
  </si>
  <si>
    <t>Support economic growth in East Staffordshire</t>
  </si>
  <si>
    <t>Developing Healthy Lifestyles</t>
  </si>
  <si>
    <t>Improve On The Average Time To Pay Creditors</t>
  </si>
  <si>
    <t>Michael Hovers</t>
  </si>
  <si>
    <t>James Abbott</t>
  </si>
  <si>
    <t>Naomi Perry</t>
  </si>
  <si>
    <t>Margaret Woolley</t>
  </si>
  <si>
    <t>Rachel Liddle</t>
  </si>
  <si>
    <t>Paul Farrer</t>
  </si>
  <si>
    <t>Brett Atkinson</t>
  </si>
  <si>
    <t>Reference Number</t>
  </si>
  <si>
    <t>Tourism and Cultural Development</t>
  </si>
  <si>
    <t>Environment and Climate Change</t>
  </si>
  <si>
    <t>End of year forecast as at end of Q1</t>
  </si>
  <si>
    <t>Year to date
(April - Sept 2021)</t>
  </si>
  <si>
    <t>End of year forecast as at end of Q2</t>
  </si>
  <si>
    <t>Year to date
(April - Dec 2021)</t>
  </si>
  <si>
    <t>End of year forecast as at end of Q3</t>
  </si>
  <si>
    <t xml:space="preserve">Cumulative Annual Outturn </t>
  </si>
  <si>
    <t>CP Order</t>
  </si>
  <si>
    <t>Deliver the Burton upon Trent High Street Regeneration Project</t>
  </si>
  <si>
    <t>Take forward regeneration in Uttoxeter</t>
  </si>
  <si>
    <t>Supporting Sport and Leisure Delivery</t>
  </si>
  <si>
    <t>Improve Performance On Waste Reduction</t>
  </si>
  <si>
    <t>Residual Household Waste Per Household: Upper Quartile</t>
  </si>
  <si>
    <t>Household Waste Recycled and Composted: Upper Quartile</t>
  </si>
  <si>
    <t>Further Enhancing Corporate Communications</t>
  </si>
  <si>
    <t>Delivering Better Services to Support the Cost of Living Crisis</t>
  </si>
  <si>
    <t>Enhancing Procurement and Contract Management Processes</t>
  </si>
  <si>
    <t>Improving Financial Stewardship</t>
  </si>
  <si>
    <t>Approve the revised Treasury Management Strategy</t>
  </si>
  <si>
    <t>Approve the revised Medium Term Financial Strategy</t>
  </si>
  <si>
    <t>Kelly Kerr-Delworth</t>
  </si>
  <si>
    <t>Regeneration and Development</t>
  </si>
  <si>
    <t>Communities and Regulatory Services</t>
  </si>
  <si>
    <t>Finance and Treasury Management</t>
  </si>
  <si>
    <t>Objective</t>
  </si>
  <si>
    <t>Tackling Envirocrime</t>
  </si>
  <si>
    <t>Complete the annual review of the Local Plan</t>
  </si>
  <si>
    <t>Creating a prosperous East Staffordshire</t>
  </si>
  <si>
    <t>Developing a Green New Deal for East Staffordshire</t>
  </si>
  <si>
    <t>Protecting our heritage</t>
  </si>
  <si>
    <t>Standing up for our communities</t>
  </si>
  <si>
    <t>Improving Local Democracy</t>
  </si>
  <si>
    <t>Other</t>
  </si>
  <si>
    <t xml:space="preserve">Communities and Regulatory Services </t>
  </si>
  <si>
    <t>Leader</t>
  </si>
  <si>
    <t>Cabinet Member Portfolio</t>
  </si>
  <si>
    <t>Scrutiny Committee</t>
  </si>
  <si>
    <t>QUARTER TWO (July - Sept 2023)</t>
  </si>
  <si>
    <t>QUARTER THREE (Oct - Dec 2023)</t>
  </si>
  <si>
    <t>QUARTER FOUR (Jan - Mar 2024)</t>
  </si>
  <si>
    <t>Quarter Four (2023/24)</t>
  </si>
  <si>
    <t xml:space="preserve">Developing a Green New Deal </t>
  </si>
  <si>
    <t>Value for Money</t>
  </si>
  <si>
    <t>Climate change and environment</t>
  </si>
  <si>
    <t>Nathan Gallagher</t>
  </si>
  <si>
    <t>Owen Hurcombe</t>
  </si>
  <si>
    <t>Health and Wellbeing</t>
  </si>
  <si>
    <t>Multiple</t>
  </si>
  <si>
    <t>Climate Change and Environment</t>
  </si>
  <si>
    <t>Y</t>
  </si>
  <si>
    <t>ILD01</t>
  </si>
  <si>
    <t>Improving links between the Parish Councils and ESBC</t>
  </si>
  <si>
    <t>Hold 2 Parish Council Forum events during the year with one event covering Climate Change as a key issue</t>
  </si>
  <si>
    <t>ILD02</t>
  </si>
  <si>
    <t>Car Parking Initiatives</t>
  </si>
  <si>
    <t>Consider findings of a consultation on potential non-cash parking payment options</t>
  </si>
  <si>
    <t>ILD03</t>
  </si>
  <si>
    <t>Delivering a high quality Planning service</t>
  </si>
  <si>
    <t xml:space="preserve">Refresh the Member Call In procedures for planning applications and update the Constitution accordingly </t>
  </si>
  <si>
    <t>ILD04</t>
  </si>
  <si>
    <t>ILD05</t>
  </si>
  <si>
    <t>ILD06</t>
  </si>
  <si>
    <t>Implementation of the recommendations contained within the Auditor’s Annual Report for 2022/23</t>
  </si>
  <si>
    <t>ILD07</t>
  </si>
  <si>
    <t>Non-ringfenced reserves as a % of Net Revenue Expenditure (OFLOG Indicator): at least 10%</t>
  </si>
  <si>
    <t>ILD08</t>
  </si>
  <si>
    <t>Non-ringfenced reserves as a % of service spend (OFLOG Indicator): at least 8%</t>
  </si>
  <si>
    <t>ILD09</t>
  </si>
  <si>
    <t>Proactively respond to consultations relating to significant Local Government Finance Changes</t>
  </si>
  <si>
    <t>ILD10</t>
  </si>
  <si>
    <t>Close the 2021/22 and 2022/23 accounts and meet required deadlines for the 2023/24 accounts</t>
  </si>
  <si>
    <t>ILD11</t>
  </si>
  <si>
    <t>Approve a revised Risk Management Policy</t>
  </si>
  <si>
    <t>ILD12</t>
  </si>
  <si>
    <t>Review the Council’s Financial Regulations</t>
  </si>
  <si>
    <t>ILD13</t>
  </si>
  <si>
    <t>Improving Local Democracy and Consultation</t>
  </si>
  <si>
    <t>Consider whether there is a suitable topic that may benefit from the attention of the Citizen’s jury model</t>
  </si>
  <si>
    <t>ILD14</t>
  </si>
  <si>
    <t>Embed Livestreaming into other Council Committee meetings</t>
  </si>
  <si>
    <t>ILD15</t>
  </si>
  <si>
    <t>Successful Delivery of Elections</t>
  </si>
  <si>
    <t>PFCC election successfully delivered as PARO</t>
  </si>
  <si>
    <t>ILD16</t>
  </si>
  <si>
    <t>General Election successfully delivered</t>
  </si>
  <si>
    <t>ILD17</t>
  </si>
  <si>
    <t>Enhancing Corporate Services</t>
  </si>
  <si>
    <t xml:space="preserve">Offer opportunities for officers from across the Council to participate in Scrutiny Support </t>
  </si>
  <si>
    <t>ILD18</t>
  </si>
  <si>
    <t>Improving ICT</t>
  </si>
  <si>
    <t>Migrate 4 physical servers to virtual servers</t>
  </si>
  <si>
    <t>ILD19</t>
  </si>
  <si>
    <t>Complete a review of ICT requirements across all service areas</t>
  </si>
  <si>
    <t>PES01</t>
  </si>
  <si>
    <t>Conclude the feasibility of introducing ANPR into ESBC car parks</t>
  </si>
  <si>
    <t>PES02</t>
  </si>
  <si>
    <t xml:space="preserve">Review the delivery of car parking enforcement </t>
  </si>
  <si>
    <t>PES03</t>
  </si>
  <si>
    <t>Building a fairer local economy</t>
  </si>
  <si>
    <t>Agree the way forward for insourcing council services</t>
  </si>
  <si>
    <t>PES04</t>
  </si>
  <si>
    <t>Administer an increased Tourism Development Fund to support local attractions and Tourism sector businesses throughout the year</t>
  </si>
  <si>
    <t>PES05</t>
  </si>
  <si>
    <t xml:space="preserve">Lead on the investigation of a solution to promote and encourage walking and cycling </t>
  </si>
  <si>
    <t>PES06</t>
  </si>
  <si>
    <t>Monitor progress against the Tourism Development Framework action plan</t>
  </si>
  <si>
    <t>PES07</t>
  </si>
  <si>
    <t>Deliver Council-wide Marketing Campaigns</t>
  </si>
  <si>
    <t>Deliver a minimum of four marketing campaigns, promoting council services and/or East Staffordshire</t>
  </si>
  <si>
    <t>PES08</t>
  </si>
  <si>
    <t>Continue the success of the initial Burton Music Collective project, with a follow up live music programme or event</t>
  </si>
  <si>
    <t>PES09</t>
  </si>
  <si>
    <t>Keeping the Arts Accessible</t>
  </si>
  <si>
    <t xml:space="preserve">Deliver a minimum of 6 outdoor events in Burton and Uttoxeter </t>
  </si>
  <si>
    <t>PES10</t>
  </si>
  <si>
    <t>Complete the purchase of the Maltings Precinct</t>
  </si>
  <si>
    <t>PES11</t>
  </si>
  <si>
    <t>Complete RIBA Stage 2 (Concept Design) for the Maltings Regeneration Project and brief Members, following public consultation</t>
  </si>
  <si>
    <t>PES12</t>
  </si>
  <si>
    <t>Submit a planning application for the Maltings Regeneration Project</t>
  </si>
  <si>
    <t>PES13</t>
  </si>
  <si>
    <t>Administer a second round of the Boosting Business Programme throughout the year with a minimum of £100,000 of funding available</t>
  </si>
  <si>
    <t>PES14</t>
  </si>
  <si>
    <t xml:space="preserve">Delivering a high quality Planning service </t>
  </si>
  <si>
    <t>Improve on the percentage of major applications determined with statutory timeframes against a 2023 baseline (36.84%)</t>
  </si>
  <si>
    <t>PES15</t>
  </si>
  <si>
    <t>Improve on the percentage of non-major applications determined with statutory timeframes against a 2023 baseline (42.32%)</t>
  </si>
  <si>
    <t>PES16</t>
  </si>
  <si>
    <t>Launch updated pre-application advice service</t>
  </si>
  <si>
    <t>PES17</t>
  </si>
  <si>
    <t>PES18</t>
  </si>
  <si>
    <t>a.     Deliver a minimum of 6 Business e-newsletters
b.     Deliver a minimum of 12 Resident e-newsletters</t>
  </si>
  <si>
    <t>PES19</t>
  </si>
  <si>
    <t>Undertake website accessibility testing to identify further enhancements to ensure it is fit for purpose</t>
  </si>
  <si>
    <t>PES20</t>
  </si>
  <si>
    <t xml:space="preserve">Revised Contract Procedure Rules approved by Council, including (if Procurement Act implemented by national government) updated Procurement Policy </t>
  </si>
  <si>
    <t>PES21</t>
  </si>
  <si>
    <t>Recruit an apprentice to support the work of the Corporate and Commercial team</t>
  </si>
  <si>
    <t>PES22</t>
  </si>
  <si>
    <t>Improving Council Assets</t>
  </si>
  <si>
    <t>Replace the shutters on the Yeoman’s Industrial estate</t>
  </si>
  <si>
    <t>GND01</t>
  </si>
  <si>
    <t xml:space="preserve">Plot and map the deployment of the mobile CCTV provision over the course of 23/24 and review and report on the results of those deployments </t>
  </si>
  <si>
    <t>GND02</t>
  </si>
  <si>
    <t>Undertake further ‘Tackle the Tippers Campaign’ initiatives in any newly identified fly-tipping hotspots and report progress</t>
  </si>
  <si>
    <t>GND03</t>
  </si>
  <si>
    <t>Succeed at In Bloom Awards</t>
  </si>
  <si>
    <t>Deliver the In Bloom awards and maintain a minimum of three Gold awards across all categories</t>
  </si>
  <si>
    <t>GND04</t>
  </si>
  <si>
    <t>Burton and Winshill to achieve Silver Gilt or higher at the National in Bloom awards</t>
  </si>
  <si>
    <t>GND05</t>
  </si>
  <si>
    <t>Succeed at It’s Your Neighbourhood Awards (IYN)</t>
  </si>
  <si>
    <t>Enter a minimum of 30 Parks and achieve a Silver gilt or higher standard in 80% of all entries</t>
  </si>
  <si>
    <t>GND06</t>
  </si>
  <si>
    <t xml:space="preserve">Open Spaces Initiatives </t>
  </si>
  <si>
    <t>Review the Council’s Tree Policy</t>
  </si>
  <si>
    <t>GND07</t>
  </si>
  <si>
    <t>Open Spaces Initiatives</t>
  </si>
  <si>
    <t>Establish tree nurseries at the Go Garden (Uttoxeter) and the Horticulture Centre (Burton)</t>
  </si>
  <si>
    <t>GND08</t>
  </si>
  <si>
    <t>Pilot opportunities to enhance nature and biodiversity on parks and open spaces including reduced mowing regimes and wildflower planting</t>
  </si>
  <si>
    <t>GND09</t>
  </si>
  <si>
    <t>Evaluate the impact of replacing Glyphosate with alternative methods of dealing with weeds</t>
  </si>
  <si>
    <t>GND10</t>
  </si>
  <si>
    <t>Procure a mobile fly-tipping removal vehicle</t>
  </si>
  <si>
    <t>GND11</t>
  </si>
  <si>
    <t>Ensure that 75% of fly-tipping is removed within 5 working days of receipt of notice from the CCE team, for areas covered by Council</t>
  </si>
  <si>
    <t>GND12</t>
  </si>
  <si>
    <t>Maintain Performance For Street Cleansing (using NI195 survey 
methodology)</t>
  </si>
  <si>
    <t xml:space="preserve">a. Litter: 0% 
b. Detritus: 0% 
c. Graffiti: 0% 
d. Fly-posting: 0% </t>
  </si>
  <si>
    <t>GND13</t>
  </si>
  <si>
    <t xml:space="preserve">Minimise The Number Of Missed Bin Collections </t>
  </si>
  <si>
    <t>99.97% successful bin collections across the Borough</t>
  </si>
  <si>
    <t>GND14</t>
  </si>
  <si>
    <t>Separate Weekly Food Waste Collections</t>
  </si>
  <si>
    <t>Provide an update on the implementation of a weekly Food Waste collection service</t>
  </si>
  <si>
    <t>GND15</t>
  </si>
  <si>
    <t>Garden Waste Collections</t>
  </si>
  <si>
    <t>Implement a charging scheme for garden waste (Subscriptions to commence from October 2024)</t>
  </si>
  <si>
    <t>GND16</t>
  </si>
  <si>
    <t>Implement Climate Change Initiatives</t>
  </si>
  <si>
    <t>Following the identification of the Maltings as an appropriate site, implement the Papilio solar charging and EV charging hub</t>
  </si>
  <si>
    <t>GND17</t>
  </si>
  <si>
    <t>Research, consider and present possible staff incentives and infrastructure to encourage use of sustainable travel, such as electric vehicles or bicycles</t>
  </si>
  <si>
    <t>GND18</t>
  </si>
  <si>
    <t>Provide an annual update on the Council’s emissions, actions achieved and then recommend new actions and new targets including exploring schemes and incentives which would help support the potential decarbonisation (or improved sustainability) of the Council’s taxi fleet</t>
  </si>
  <si>
    <t>GND19</t>
  </si>
  <si>
    <t>Following the outcome of the energy audit, produce an options appraisal for implementation across different Council buildings</t>
  </si>
  <si>
    <t>GND20</t>
  </si>
  <si>
    <t>Produce an education programme to help individuals, parish councils, schools and other organisations calculate their carbon footprint and understand how to reduce it</t>
  </si>
  <si>
    <t>GND21</t>
  </si>
  <si>
    <t>Champion sustainability with an event or initiative to celebrate national Green Week</t>
  </si>
  <si>
    <t>GND22</t>
  </si>
  <si>
    <t xml:space="preserve">Practically complete the Washlands Enhancement Project capital works </t>
  </si>
  <si>
    <t>GND23</t>
  </si>
  <si>
    <t>Complete RIBA Stage 3 (Spatial Co-ordination) for the Washlands Visitor Centre and submit planning application</t>
  </si>
  <si>
    <t>POH01</t>
  </si>
  <si>
    <t>Utilising council assets</t>
  </si>
  <si>
    <t>Move the Licensing and Enforcement teams into Elms Lodge</t>
  </si>
  <si>
    <t>POH02</t>
  </si>
  <si>
    <t>Stapenhill Cemetery Improvements</t>
  </si>
  <si>
    <t>Begin the procurement stage for the work to deliver an expanded Stapenhill Cemetery</t>
  </si>
  <si>
    <t>POH03</t>
  </si>
  <si>
    <t>Safeguarding the Market Hall</t>
  </si>
  <si>
    <t>Complete the necessary repairs to the Market Hall roof</t>
  </si>
  <si>
    <t>POH04</t>
  </si>
  <si>
    <t>Report on the findings of the Market Hall consultation and establish the way ahead</t>
  </si>
  <si>
    <t>POH05</t>
  </si>
  <si>
    <t>Preserving the Brewhouse</t>
  </si>
  <si>
    <t>Commence repair works on the Brewhouse roof following the tender exercise</t>
  </si>
  <si>
    <t>POH06</t>
  </si>
  <si>
    <t>Complete RIBA Stage 2 (Concept Design) for the Reimagined Brewing Centre and Washlands Visitor Centre and brief Members and the Town Deal Board</t>
  </si>
  <si>
    <t>POH07</t>
  </si>
  <si>
    <t>Develop a funding bid for the Heritage Lottery Fund’s Heritage 2033 programme for the Reimagined Brewing Centre project</t>
  </si>
  <si>
    <t>POH08</t>
  </si>
  <si>
    <t>Complete RIBA Stage 3 (Spatial Co-ordination) for the Reimagined Brewing Centre and submit planning application</t>
  </si>
  <si>
    <t>POH09</t>
  </si>
  <si>
    <t>Complete RIBA Stage 4 (Technical Design) for the Reimagined Brewing Centre and brief Members and the Town Deal Board</t>
  </si>
  <si>
    <t>POH10</t>
  </si>
  <si>
    <t>Commence enhancement works at the Garden of Remembrance and agree a complementary improvement scheme for Andressey Passage</t>
  </si>
  <si>
    <t>COM01</t>
  </si>
  <si>
    <t>Enhancing our Communities</t>
  </si>
  <si>
    <t>Update on the first year of the Community Lottery</t>
  </si>
  <si>
    <t>COM02</t>
  </si>
  <si>
    <t>Deliver the Councillors Community Fund ensuring support for our communities</t>
  </si>
  <si>
    <t>COM03</t>
  </si>
  <si>
    <t>Deliver a Community Regeneration Fund (CRF) to help enhance local areas and update the application criteria</t>
  </si>
  <si>
    <t>COM04</t>
  </si>
  <si>
    <t>Protecting our Communities</t>
  </si>
  <si>
    <t>Implement Martyn’s Law ensuring residents’ and staff safety around public events including council meetings</t>
  </si>
  <si>
    <t>COM05</t>
  </si>
  <si>
    <t>Delivering Cost of Living Support</t>
  </si>
  <si>
    <t>Review and report on progress on delivery of cost of living support, including reducing fuel and food poverty and promote further engagement with low-income and vulnerable households</t>
  </si>
  <si>
    <t>COM06</t>
  </si>
  <si>
    <t>Delivering Housing and Homelessness Support</t>
  </si>
  <si>
    <t>Refresh the Housing Allocations Policy</t>
  </si>
  <si>
    <t>COM07</t>
  </si>
  <si>
    <t>COM08</t>
  </si>
  <si>
    <t>Reduce ‘Key to Key’ Void Turnaround to an average of 6 working days</t>
  </si>
  <si>
    <t>COM09</t>
  </si>
  <si>
    <t>Complete a review of the Supported Housing Sector</t>
  </si>
  <si>
    <t>COM10</t>
  </si>
  <si>
    <t>Development of Rough Sleeper Interventions</t>
  </si>
  <si>
    <t>Evaluate the existing DLUHC Rough Sleeper projects and make recommendations for next steps when funding for these end in March 2025</t>
  </si>
  <si>
    <t>COM11</t>
  </si>
  <si>
    <t>Backing our taxi drivers</t>
  </si>
  <si>
    <t xml:space="preserve">Review the fees for private hire and hackney carriage vehicles so as to bring them in line with current pricing </t>
  </si>
  <si>
    <t>COM12</t>
  </si>
  <si>
    <t>COM13</t>
  </si>
  <si>
    <t>Maintain Performance On Recycling</t>
  </si>
  <si>
    <t>COM14</t>
  </si>
  <si>
    <t>Preparing Waste Management for the Future</t>
  </si>
  <si>
    <t>Provide a plan on developments to deliver an upgraded (or new) Waste Depot</t>
  </si>
  <si>
    <t>COM15</t>
  </si>
  <si>
    <t>Support Everyone Active to:Support Everyone Active to:
a. Refresh the “Able Too” games;
b. Enhance the East Staffordshire Sports Awards</t>
  </si>
  <si>
    <t>COM16</t>
  </si>
  <si>
    <t>Deliver the programme of initiatives to reduce health inequalities</t>
  </si>
  <si>
    <t>COM17</t>
  </si>
  <si>
    <t>Managing Sport and Leisure Contracts</t>
  </si>
  <si>
    <t>Report on grant funding issued via East Staffordshire Sports Council on a quarterly basis through the Member briefing.</t>
  </si>
  <si>
    <t>COM18</t>
  </si>
  <si>
    <t>Regenerating for Communities</t>
  </si>
  <si>
    <t>Administer the final year of the UK Shared Prosperity Fund programme</t>
  </si>
  <si>
    <t>COM19</t>
  </si>
  <si>
    <t xml:space="preserve">Approve a Play Area Improvement Project through the UK Shared Prosperity Fund to deliver enhancements across 16 play areas in the Borough, one in each Ward </t>
  </si>
  <si>
    <t>COM20</t>
  </si>
  <si>
    <t xml:space="preserve">Update the Brownfield Regeneration Framework with a renewed focus on social housing regeneration </t>
  </si>
  <si>
    <t>COM21</t>
  </si>
  <si>
    <t xml:space="preserve">Identify at least one social housing regeneration project for funding through the updated Brownfield Regeneration Framework </t>
  </si>
  <si>
    <t>COM22</t>
  </si>
  <si>
    <t xml:space="preserve">Delivering Better Services to Support the Cost of Living Crisis </t>
  </si>
  <si>
    <t>Development and installation of system upgrades to support a digital portal, electronic forms and communications for Revenues and Benefits</t>
  </si>
  <si>
    <t>COM23</t>
  </si>
  <si>
    <t>Conduct a review of Local Council Tax Reduction Scheme to improve lives</t>
  </si>
  <si>
    <t>COM24</t>
  </si>
  <si>
    <t>Time Taken to Process Benefit New Claims and Change Events (Previously NI 181) 
Average time: 4.5 days</t>
  </si>
  <si>
    <t>COM25</t>
  </si>
  <si>
    <t>Continue to Maximise Income Through Effective Collection Processes</t>
  </si>
  <si>
    <t>Former Years Arrears for: 
ongoing reduction of all prior years debt of 
Council Tax: 25%
NNDR: 35%
Sundry Debts: 50%
HBOP: 30%</t>
  </si>
  <si>
    <t>COM26</t>
  </si>
  <si>
    <t>Continue to Maximise Income Through Effective Collection Processes (Previously BVPI 9 &amp; 10)</t>
  </si>
  <si>
    <t>Collection Rates of – 
Council Tax: 98% over 6 years
With an in year collection of 90%
NNDR: 99% over 6 years
With an in year collection of 92%</t>
  </si>
  <si>
    <t>COM27</t>
  </si>
  <si>
    <t>Short Term Sickness Days Average: Short Term Sickness Days Average:
[To be Agreed Post Outturn]</t>
  </si>
  <si>
    <t>COM28</t>
  </si>
  <si>
    <t>Average Time To Pay Creditors: 
[To be Agreed Post Outturn]</t>
  </si>
  <si>
    <t>James Hopwood</t>
  </si>
  <si>
    <t>Guy Thornhill</t>
  </si>
  <si>
    <t>John Teasdale</t>
  </si>
  <si>
    <t>Helen Bacon</t>
  </si>
  <si>
    <t>Monitored Quarterly</t>
  </si>
  <si>
    <t>Target date to be confirmed following consultation outcome</t>
  </si>
  <si>
    <t>Target date to be confirmed</t>
  </si>
  <si>
    <t>Legal and Regulatory Services</t>
  </si>
  <si>
    <t>Corporate and Environment Services</t>
  </si>
  <si>
    <t>Chief Finance (s151) Officer</t>
  </si>
  <si>
    <t>Chief Executive</t>
  </si>
  <si>
    <t>Creating a Prosperous East Staffordshire</t>
  </si>
  <si>
    <t>Protecting Our Heritage</t>
  </si>
  <si>
    <t>Quarter One (2024/25)</t>
  </si>
  <si>
    <t>Quarter Two (2024/25)</t>
  </si>
  <si>
    <t>Quarter Three (2024/25)</t>
  </si>
  <si>
    <t>QUARTER ONE (April - June 2024) - Performance by Cabinet Member portfolio</t>
  </si>
  <si>
    <t>QUARTER ONE (April - June 2024) - performance by priority</t>
  </si>
  <si>
    <t>2024-25 Corporate Plan Reporting Spreadsheet</t>
  </si>
  <si>
    <t>Target 2024-25</t>
  </si>
  <si>
    <t>QUARTER 1: April - June 2024</t>
  </si>
  <si>
    <t>Quarter 1 
(April - June 2024)</t>
  </si>
  <si>
    <t>HR</t>
  </si>
  <si>
    <t>Housing and 
Homelessness</t>
  </si>
  <si>
    <t>Customer Contacts, 
Resources, Projects 
&amp; Training</t>
  </si>
  <si>
    <t>Revenue</t>
  </si>
  <si>
    <t>ICT</t>
  </si>
  <si>
    <t>Elections</t>
  </si>
  <si>
    <t>Corporate And Commercial</t>
  </si>
  <si>
    <t>Leisure</t>
  </si>
  <si>
    <t>Demorcratic Services</t>
  </si>
  <si>
    <t>Financial Management</t>
  </si>
  <si>
    <t>Assets And Estates Management</t>
  </si>
  <si>
    <t>Legal Team</t>
  </si>
  <si>
    <t>Regeneration</t>
  </si>
  <si>
    <t>Business Support</t>
  </si>
  <si>
    <t>Licensing
Enforcement</t>
  </si>
  <si>
    <t>ASB
CCTV</t>
  </si>
  <si>
    <t>Community 
&amp; Civil 
Enforcement</t>
  </si>
  <si>
    <t>Neighbourhood 
Working &amp; 
Tourism</t>
  </si>
  <si>
    <t>Development Control 
and Planning 
Enforcement</t>
  </si>
  <si>
    <t xml:space="preserve">Planning Policy
</t>
  </si>
  <si>
    <t>Marketing and Tourism 
Manager</t>
  </si>
  <si>
    <t>Brewhouse / Arts 
Team</t>
  </si>
  <si>
    <t xml:space="preserve">Waste Operations 
/ Transport &amp; Waste Strategy / 
Policy
</t>
  </si>
  <si>
    <t>Street Cleaning</t>
  </si>
  <si>
    <t>Waste Operations 
/ Transport &amp; Waste Strategy / 
Policy</t>
  </si>
  <si>
    <t xml:space="preserve">Climate Change
</t>
  </si>
  <si>
    <t>on target</t>
  </si>
  <si>
    <t>Meetings are planned with members and the Town Deal Board during July 2024</t>
  </si>
  <si>
    <t>Consultation is now well underway on the maltings plans. BHB architects have submitted a proposal to take the finalised proposals through to planning.</t>
  </si>
  <si>
    <t>The capital works are well underway and are on schedule.</t>
  </si>
  <si>
    <t xml:space="preserve">An initial Expression of interest has been drafted and sent to HLF for comments with feedback received. </t>
  </si>
  <si>
    <t>3 migrated so far</t>
  </si>
  <si>
    <t>Suitable procurement framework identified for a direct call-off. Specification drafted.</t>
  </si>
  <si>
    <t>Consultants appointed to undertake Fleet Decarbonisation and Infrastructure Plan. Currently collecting base data.</t>
  </si>
  <si>
    <t>Defra has identified the level of capital funding available to the Council for implementation. Awaiting the level of revenue funding.</t>
  </si>
  <si>
    <t>Public consultation on the level of charges to commence immediately after general election. Procurement of permits and back office system commenced. Communication material being drafted.</t>
  </si>
  <si>
    <t xml:space="preserve">The livestream function has been well embedded into Full Council meetings delivered from the Council Chamber. The equipment has also been tested in the Coltman VC room through the recording and publication of a scrutiny committee meeting (not livestreamed). Live streaming of public committee meetings anticipated to commence from July Cabinet meeting. </t>
  </si>
  <si>
    <t xml:space="preserve">The PFCC administration, including the poll and associated count was successfully delivered in May 2024.  </t>
  </si>
  <si>
    <t>Following the announcement on 22nd May 2024 that the Parliamentary General Election would be held on 4th July 2024, the necessary preparation has been undertaken for the poll and count.</t>
  </si>
  <si>
    <t>Opportunities for support to scrutiny reviews were highlighted to colleagues via the Managers' Forum in april 2024 and the Staff briefing in May 2024. Five volunteers have been identified and allocated to reviews in the scrutiny work programme.</t>
  </si>
  <si>
    <t>Working with Sara Botham to hold a climate change forum in November which will lnk with GND20</t>
  </si>
  <si>
    <t>Judging to take place in July. Awards announced in quarter 2.</t>
  </si>
  <si>
    <t>Judging to take place in August. Awards announced in quarter 3.</t>
  </si>
  <si>
    <t xml:space="preserve">Trial undertaken with ID Verde from March- June with chemical spraying ceased on "soft" areas (e.g. grass and the base of trees). Reducing chemical usage slowed mowing operations creating service pressures in other areas. These findings will be fed into the final review report. </t>
  </si>
  <si>
    <t>Expert consultancy support has been secured. Kick-off meeting to be held in July.</t>
  </si>
  <si>
    <t>Report to be presented to Cabinet in Quarter 2</t>
  </si>
  <si>
    <t>CRF has commenced for 24/25. Funding exceeding £18,000 have been agreed in principle</t>
  </si>
  <si>
    <t xml:space="preserve">CCF has commenced for 24/25. Funding of £4950 has been agreed following the first two meetings. </t>
  </si>
  <si>
    <t>Report to be received by Cabinet in July</t>
  </si>
  <si>
    <t xml:space="preserve">Research has taken place with neighbouring Staffordshire authorities consulted on their use and experience of ANPR. Staffs CC consulted for any highways considerations. Civil works company asked to provide estimated figures for car park re-design-where necessary. Quote awaited from Metric (machine provider) for ANPR hardware. </t>
  </si>
  <si>
    <t xml:space="preserve">The fund continues to be delivered with applications submitted on a regular basis from local businesses. </t>
  </si>
  <si>
    <t xml:space="preserve">Expert consultancy support has been secured. Timetable for procurement and construction to be confirmed in quarter 2. </t>
  </si>
  <si>
    <t>Officer working group reviewing security arrangements for Council meetings. Parish Council's briefed on Martyn's law at Parish Council Forum</t>
  </si>
  <si>
    <t>Judging to place in June. Awards announced in quarter 2.</t>
  </si>
  <si>
    <t xml:space="preserve">Locations for relaxed mowing and wildflower planting have been identified across the borough. In general initial responses from the public are positive, although opposition to less mowing has been experienced in some areas. </t>
  </si>
  <si>
    <t xml:space="preserve">The tourism development officer is currently supporting a number of prospective grant applicants in order to access funding. </t>
  </si>
  <si>
    <t xml:space="preserve">Work has started to investigate potential solutions. </t>
  </si>
  <si>
    <t xml:space="preserve">The tourism team continue to deliver actions from each of the delivery pillars within the Tourism Development Framework. This includes, marketing &amp; PR, Business Support, Sustainable Tourism &amp; Product Development. </t>
  </si>
  <si>
    <t>In quarter one, a Brewhouse Spring/Summer season campaign and In Bloom campaign have been delivered.</t>
  </si>
  <si>
    <t>Plans are underway to deliver the Sonic Boom Music Festival in September 24, accompanied by a series of smaller Aftershock events and a leanring programme for young people. This is being supported by a successful bid by ESBC to Arts Council England.</t>
  </si>
  <si>
    <t>Ongoing discussions have been held with SCC and key partners to discuss taking forward these works</t>
  </si>
  <si>
    <t>This is progressing as planned. Business support services are well underway. The WEP has continued throughout the year with circa £200k left to allocate; we are aiming to do this by the end of the year to allow a few months to process</t>
  </si>
  <si>
    <t>Ongoing discussions with cabinet member to identify a suitable scheme</t>
  </si>
  <si>
    <t>As above</t>
  </si>
  <si>
    <t>There were 97 initial decisions in the Quarter, with a total of 152 days from interview to first decision providing an average of 1.57 days.</t>
  </si>
  <si>
    <t>2 days</t>
  </si>
  <si>
    <t>4 days</t>
  </si>
  <si>
    <t>There have been 3 moves in 3 properties, with a total of 8 days void providing an average of 2.6 days</t>
  </si>
  <si>
    <t>RIBA stages on track as per the update above.  This stage has not yet started</t>
  </si>
  <si>
    <t xml:space="preserve">Pre-app service launched. Quarterly updates to be prepared </t>
  </si>
  <si>
    <t xml:space="preserve">Applications received = 156
Within 8 weeks (statutory determination timescale) = 88 (56%)
Over 8 weeks = 68 (44%)
</t>
  </si>
  <si>
    <t xml:space="preserve">Applications received = 6
Within 13 weeks (statutory determination timescale) = 3 (50%)
Over 13 weeks = 3 (50%)
</t>
  </si>
  <si>
    <t>Proposals for refreshing the planning call in process were developed for consideration by Council in July, however this work did not progress following initial consideration by Members</t>
  </si>
  <si>
    <t>Updated draft policy and contract procedure rules are currently being reviewed officers with the assistance of Anthony Collins LLP.</t>
  </si>
  <si>
    <t xml:space="preserve">Replacement of the shutters is currently awaiting a procurement exercise.
</t>
  </si>
  <si>
    <t>The first initiative is due to take place on the 14th August 2024 in Anglesey.
This is a multi partnership event. Police, Fire, TS, CCEO, Env Health, Immigration, and others are taking part including the parish.</t>
  </si>
  <si>
    <t xml:space="preserve">1. Thursday 25th July: Tutbury Mill and Play Area
2. Saturday 3rd August: The Washlands (behind St. Modwen’s Church)
3. Thursday 8th August: Eton Road Community Park
4. Friday 16th August: Stapenhill Gardens
5. Saturday 17th August: Bramshall Road Park, Uttoxeter
</t>
  </si>
  <si>
    <t xml:space="preserve">The decision has been made to utilise a Dynamic Purchasing System (DPS) to help move this project along.  To ensure VFM, we will be undertaking a mini competition under a YPO framework instead of using a full tender as planned. The framework will be ready to go out during August 2024. </t>
  </si>
  <si>
    <t>Matthew Steele</t>
  </si>
  <si>
    <t>End qtr 1 average time 4.49 days.</t>
  </si>
  <si>
    <t>Collection figures compared to 22/23 &amp; 23/24 and in line to achieve target for 24/25</t>
  </si>
  <si>
    <t>Project progressing according to plan</t>
  </si>
  <si>
    <t xml:space="preserve">Consultation paper reviewed at CMT and due to be presented at pre Cabinet </t>
  </si>
  <si>
    <t>3.81 days</t>
  </si>
  <si>
    <t>Further work required to ensure all SI recorded should reasonably have a PO</t>
  </si>
  <si>
    <t>Three residential and three business newsletters have been issued within this period 12 residential and 12 business newsletters</t>
  </si>
  <si>
    <t>12 residentisal and 12 business newsletters</t>
  </si>
  <si>
    <t>The draft document is complete and currently under review prior to wider circulation.</t>
  </si>
  <si>
    <t>Opportunity has been issued and closes in July</t>
  </si>
  <si>
    <t xml:space="preserve">Able Too: Feedback from attendees of last year's event will be reviewed to help inform the planning of the 2024 event. Additional Able Too activity programmes have been added to the leisure centres' timetables for 2024/25, which is beneficial to the culmination of the years' activity thorough this celbratory event.
Sports Awards: Nominations for the awards open around November. The awards evening is anticipated for March 2025. The Council will be liaising with Everyone Active to plan an enhanced event. 
</t>
  </si>
  <si>
    <t xml:space="preserve">Programme is underway and is expected to be complete by September in line with the grant funding conditions. </t>
  </si>
  <si>
    <t xml:space="preserve">End of year update was published via the Member Briefing in April 2024, providing an overview of the grant funding issued by ESSC during 2023/24. The Quarter 1 update is scheduled to be published via the Member Briefing in July 2024. </t>
  </si>
  <si>
    <t>Planning for the event is scheduled ahead of the anticipated October date for the Able Too games</t>
  </si>
  <si>
    <t xml:space="preserve">Further updates will be published quarterly throughout the financial year. </t>
  </si>
  <si>
    <t>East Staffordshire Borough Council delivered a programme of climate themed events, activities, walks and educational opportunities to celebrate both the national green week initiative. During the week, the council held 2 green networking events that offered local businesses, voluntary services and venues the opportunity to learn how to be more sustainable, green friendly and highlight grants that would enable them to pursue their goals. In addition, a range of engaging community fun days and creative art sessions were deliver, along with a Vegan Market. Green Week also saw Burton College pledged for 2000 students to ‘go green’</t>
  </si>
  <si>
    <t>A map has been developed with each deployment plotted. We also provided a weekly camera report</t>
  </si>
  <si>
    <t>Review commenced of potential move. This could include looking at possible facilities at the Brewhouse</t>
  </si>
  <si>
    <t>A report has been produced with a review of fees. This is due before CMT in August and Licensing Committee in September</t>
  </si>
  <si>
    <t>64 of 93 jobs closed within 5 working days 69%</t>
  </si>
  <si>
    <t>123.67kg - estimated as not received all data from SCC</t>
  </si>
  <si>
    <t>48.69% - estimated as not all data received</t>
  </si>
  <si>
    <t>The change to charegable garden service may impact the end year figure as will come into effect in Q4.</t>
  </si>
  <si>
    <t>Cannot comment on end of year as dependant on requests received</t>
  </si>
  <si>
    <t>The Play Area Improvement Project was approved in May, making an initial allocation of funding for all 16 wards, with one of those (Crown) being for the development of plans for a new play area and the others being for improvements. Work is underway on the procurement of a contractor to take this forward.</t>
  </si>
  <si>
    <t>The revised Brownfield Regeneration Framework was approved by Cabinet in June and makes new and specific provision for social housing alongside the existing provision for affordable. It also introduces a section on case study examples where the Council has worked with developers or Registered Social Landlords in the past.</t>
  </si>
  <si>
    <t xml:space="preserve">Report has been drafted to be presented to CMT in July </t>
  </si>
  <si>
    <t xml:space="preserve">Working with HR to develop a sustainable staff travel plan which is due to be completed by July </t>
  </si>
  <si>
    <t xml:space="preserve">All service managers have been asked to provide an update on their actions. Report is being drafted to be presented to CMT in July </t>
  </si>
  <si>
    <t>Report is currently being drafted to be presented at CMT in October</t>
  </si>
  <si>
    <t>Education plan currently being developed</t>
  </si>
  <si>
    <t>Changes to the location of the centre have resulted in some amendments to the design but we remain on track to deliver RIBA Stage 3 by October. In order to fully take account of pre-app feedback on conservation, ecology and highways, the full planning application will now be submitted in December.</t>
  </si>
  <si>
    <t>Updates have been provided to Cabinet and will be provided to members, the national brewery heritage trust and the Towns Deal board. Franklin Ellis architects are on track to deliver Stage 3 by October. In order to fully take account of pre-app feedback on conservation, ecology and highways, the full planning application will now be submitted in December. The resident engagement programme is being updated to reflect this, now starting in September.</t>
  </si>
  <si>
    <t>2021/22 and 2022/23 accounts closed. 2023/24 draft accounts issued, but with a delay beyond the 31 May 2024 deadline. Signed off by the Chief Finance Officer on the 3rd July 2024. Public inspection period started on the 4th July 2024.</t>
  </si>
  <si>
    <t>Performance Indicator is 12%</t>
  </si>
  <si>
    <t>Performance Indicator is 11%</t>
  </si>
  <si>
    <t>Ongoing reduction of all prior years debt of 
Council Tax: 25% Arrears at Q1 reduced by 25.64%
Ongoing reduction of all prior years debt of 
NNDR: 35% Arrears at Q1 reduced by 40.46%
Ongoing reduction of all prior years debt of 
Sundry Debts: 50% Arrears at Q1 reduced by 2.92% but tracking as previous year invoices under 90 days old now live but not included as at 01/04/25
Ongoing reduction of all prior years debt of 
HBOP: 30% Arrears at Q1 reduced by 4.7% and tracking against previous years to achieve target.</t>
  </si>
  <si>
    <t xml:space="preserve">Discussions on the finalisation of the contract progressed well during Quarter 1, however this has suddenly slowed at the beginning of Quarter 2.
</t>
  </si>
  <si>
    <t>Officer Comments (Tom Grocutt):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</si>
</sst>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b/>
      <sz val="11"/>
      <color rgb="FFFFFFFF"/>
      <name val="Arial"/>
      <family val="2"/>
    </font>
    <font>
      <b/>
      <sz val="11"/>
      <color rgb="FF000000"/>
      <name val="Arial"/>
      <family val="2"/>
    </font>
    <font>
      <b/>
      <sz val="9"/>
      <color indexed="81"/>
      <name val="Tahoma"/>
      <family val="2"/>
    </font>
    <font>
      <sz val="9"/>
      <color indexed="81"/>
      <name val="Tahoma"/>
      <family val="2"/>
    </font>
    <font>
      <b/>
      <sz val="11"/>
      <color theme="1"/>
      <name val="Calibri"/>
      <family val="2"/>
      <scheme val="minor"/>
    </font>
    <font>
      <b/>
      <sz val="10"/>
      <name val="Arial"/>
      <family val="2"/>
    </font>
    <font>
      <b/>
      <sz val="10"/>
      <color rgb="FF000000"/>
      <name val="Arial"/>
      <family val="2"/>
    </font>
    <font>
      <b/>
      <sz val="11"/>
      <name val="Calibri"/>
      <family val="2"/>
      <scheme val="minor"/>
    </font>
  </fonts>
  <fills count="3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DD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bgColor rgb="FF000000"/>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2" tint="-0.249977111117893"/>
        <bgColor indexed="64"/>
      </patternFill>
    </fill>
    <fill>
      <patternFill patternType="solid">
        <fgColor rgb="FFF2F2F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ck">
        <color theme="0" tint="-0.14993743705557422"/>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theme="0"/>
      </top>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41">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26" xfId="0"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0" fontId="32" fillId="6" borderId="27" xfId="0" applyFont="1" applyFill="1" applyBorder="1" applyAlignment="1">
      <alignment horizontal="center" vertical="center" wrapText="1"/>
    </xf>
    <xf numFmtId="10" fontId="32" fillId="6" borderId="28"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29"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0"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31" xfId="0" applyFont="1" applyFill="1" applyBorder="1" applyAlignment="1">
      <alignment horizontal="right" vertical="center" wrapText="1"/>
    </xf>
    <xf numFmtId="0" fontId="34" fillId="6" borderId="26" xfId="0" applyFont="1" applyFill="1" applyBorder="1" applyAlignment="1">
      <alignment horizontal="center" vertical="center" wrapText="1"/>
    </xf>
    <xf numFmtId="10" fontId="32" fillId="6" borderId="26" xfId="0" applyNumberFormat="1" applyFont="1" applyFill="1" applyBorder="1" applyAlignment="1">
      <alignment horizontal="center" vertical="center" wrapText="1"/>
    </xf>
    <xf numFmtId="0" fontId="34" fillId="6" borderId="27" xfId="0" applyFont="1" applyFill="1" applyBorder="1" applyAlignment="1">
      <alignment horizontal="center" vertical="center" wrapText="1"/>
    </xf>
    <xf numFmtId="0" fontId="7" fillId="0" borderId="0" xfId="0" applyFont="1" applyAlignment="1">
      <alignment vertical="center"/>
    </xf>
    <xf numFmtId="0" fontId="11" fillId="5" borderId="29"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0" xfId="0" applyNumberFormat="1" applyFont="1" applyFill="1" applyBorder="1" applyAlignment="1">
      <alignment vertical="center" wrapText="1"/>
    </xf>
    <xf numFmtId="1" fontId="34" fillId="6" borderId="32" xfId="0" applyNumberFormat="1" applyFont="1" applyFill="1" applyBorder="1" applyAlignment="1">
      <alignment horizontal="center" vertical="center" wrapText="1"/>
    </xf>
    <xf numFmtId="9" fontId="0" fillId="0" borderId="0" xfId="0" applyNumberFormat="1" applyAlignment="1">
      <alignment vertical="center"/>
    </xf>
    <xf numFmtId="0" fontId="32" fillId="6" borderId="34" xfId="0" applyFont="1" applyFill="1" applyBorder="1" applyAlignment="1">
      <alignment horizontal="center" vertical="center" wrapText="1"/>
    </xf>
    <xf numFmtId="10" fontId="32" fillId="6" borderId="34" xfId="0" applyNumberFormat="1" applyFont="1" applyFill="1" applyBorder="1" applyAlignment="1">
      <alignment horizontal="center"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33" xfId="0" applyFont="1" applyFill="1" applyBorder="1" applyAlignment="1">
      <alignment horizontal="right" vertical="center" wrapText="1"/>
    </xf>
    <xf numFmtId="0" fontId="34" fillId="0" borderId="26" xfId="0" applyFont="1" applyFill="1" applyBorder="1" applyAlignment="1">
      <alignment horizontal="center" vertical="center" wrapText="1"/>
    </xf>
    <xf numFmtId="10" fontId="32" fillId="0" borderId="26" xfId="0" applyNumberFormat="1" applyFont="1" applyFill="1" applyBorder="1" applyAlignment="1">
      <alignment horizontal="center" vertical="center" wrapText="1"/>
    </xf>
    <xf numFmtId="1" fontId="34" fillId="0" borderId="32" xfId="0" applyNumberFormat="1" applyFont="1" applyFill="1" applyBorder="1" applyAlignment="1">
      <alignment horizontal="center" vertical="center" wrapText="1"/>
    </xf>
    <xf numFmtId="10" fontId="32" fillId="0" borderId="28" xfId="0" applyNumberFormat="1" applyFont="1" applyFill="1" applyBorder="1" applyAlignment="1">
      <alignment horizontal="center"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0" fontId="34" fillId="0" borderId="32"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42"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42"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0"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0" xfId="0" applyNumberFormat="1"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0" xfId="0" applyNumberFormat="1" applyFont="1" applyFill="1" applyBorder="1" applyAlignment="1" applyProtection="1">
      <alignment horizontal="center" vertical="center" wrapText="1"/>
    </xf>
    <xf numFmtId="17" fontId="41" fillId="19" borderId="41"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0"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0" xfId="0" applyFont="1" applyFill="1" applyBorder="1" applyAlignment="1" applyProtection="1">
      <alignment horizontal="left" vertical="center" wrapText="1"/>
    </xf>
    <xf numFmtId="0" fontId="42" fillId="6" borderId="40" xfId="0" applyFont="1" applyFill="1" applyBorder="1" applyAlignment="1" applyProtection="1">
      <alignment horizontal="center" vertical="center" wrapText="1"/>
    </xf>
    <xf numFmtId="0" fontId="43" fillId="6" borderId="40"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2"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2" xfId="0" applyFont="1" applyFill="1" applyBorder="1" applyAlignment="1" applyProtection="1">
      <alignment horizontal="center" vertical="center" wrapText="1"/>
    </xf>
    <xf numFmtId="10" fontId="2" fillId="0" borderId="12" xfId="0" applyNumberFormat="1" applyFont="1" applyFill="1" applyBorder="1" applyAlignment="1" applyProtection="1">
      <alignment horizontal="center" vertical="center" wrapText="1"/>
    </xf>
    <xf numFmtId="0" fontId="5" fillId="8" borderId="12" xfId="0" applyFont="1" applyFill="1" applyBorder="1" applyAlignment="1" applyProtection="1">
      <alignment horizontal="left" vertical="center"/>
    </xf>
    <xf numFmtId="0" fontId="5" fillId="0" borderId="12" xfId="0" applyFont="1" applyFill="1" applyBorder="1" applyAlignment="1" applyProtection="1">
      <alignment horizontal="center" vertical="center" wrapText="1"/>
    </xf>
    <xf numFmtId="0" fontId="4" fillId="9" borderId="12" xfId="0" applyFont="1" applyFill="1" applyBorder="1" applyAlignment="1" applyProtection="1">
      <alignment vertical="center" wrapText="1"/>
    </xf>
    <xf numFmtId="0" fontId="5" fillId="0" borderId="12" xfId="0" applyFont="1" applyFill="1" applyBorder="1" applyAlignment="1" applyProtection="1">
      <alignment vertical="center" wrapText="1"/>
    </xf>
    <xf numFmtId="10" fontId="2" fillId="0" borderId="12"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2" xfId="0" applyFont="1" applyFill="1" applyBorder="1" applyAlignment="1" applyProtection="1">
      <alignment vertical="center" wrapText="1"/>
    </xf>
    <xf numFmtId="10" fontId="10" fillId="6" borderId="12"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2" xfId="0" applyFont="1" applyFill="1" applyBorder="1" applyAlignment="1" applyProtection="1">
      <alignment vertical="center" wrapText="1"/>
    </xf>
    <xf numFmtId="0" fontId="2" fillId="6" borderId="12"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7"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19" fillId="6" borderId="19"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36" xfId="0" applyFont="1" applyFill="1" applyBorder="1" applyAlignment="1" applyProtection="1">
      <alignment vertical="center" wrapText="1"/>
    </xf>
    <xf numFmtId="0" fontId="10" fillId="12" borderId="36" xfId="0" applyFont="1" applyFill="1" applyBorder="1" applyAlignment="1" applyProtection="1">
      <alignment horizontal="center" vertical="center"/>
    </xf>
    <xf numFmtId="0" fontId="10" fillId="12" borderId="36" xfId="0" applyFont="1" applyFill="1" applyBorder="1" applyAlignment="1" applyProtection="1">
      <alignment vertical="center"/>
    </xf>
    <xf numFmtId="0" fontId="5" fillId="7" borderId="36" xfId="0" applyFont="1" applyFill="1" applyBorder="1" applyAlignment="1" applyProtection="1">
      <alignment vertical="center" wrapText="1"/>
    </xf>
    <xf numFmtId="0" fontId="5" fillId="7" borderId="36"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vertical="center" wrapText="1"/>
    </xf>
    <xf numFmtId="0" fontId="4" fillId="9" borderId="36" xfId="0" applyFont="1" applyFill="1" applyBorder="1" applyAlignment="1" applyProtection="1">
      <alignment vertical="center" wrapText="1"/>
    </xf>
    <xf numFmtId="0" fontId="5" fillId="0" borderId="36" xfId="0" applyFont="1" applyFill="1" applyBorder="1" applyAlignment="1" applyProtection="1">
      <alignment vertical="center" wrapText="1"/>
    </xf>
    <xf numFmtId="10" fontId="2" fillId="0" borderId="36"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36" xfId="0" applyFont="1" applyFill="1" applyBorder="1" applyAlignment="1" applyProtection="1">
      <alignment vertical="center" wrapText="1"/>
    </xf>
    <xf numFmtId="10" fontId="10" fillId="6" borderId="36"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36" xfId="0" applyFont="1" applyFill="1" applyBorder="1" applyAlignment="1" applyProtection="1">
      <alignment vertical="center" wrapText="1"/>
    </xf>
    <xf numFmtId="0" fontId="2" fillId="6" borderId="36"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36" xfId="0" applyFont="1" applyFill="1" applyBorder="1" applyAlignment="1" applyProtection="1">
      <alignment vertical="center"/>
    </xf>
    <xf numFmtId="10" fontId="7" fillId="6" borderId="0" xfId="0" applyNumberFormat="1" applyFont="1" applyFill="1" applyAlignment="1">
      <alignment vertical="center"/>
    </xf>
    <xf numFmtId="0" fontId="4" fillId="10" borderId="12" xfId="0" applyFont="1" applyFill="1" applyBorder="1" applyAlignment="1" applyProtection="1">
      <alignment vertical="center" wrapText="1"/>
    </xf>
    <xf numFmtId="0" fontId="4" fillId="15" borderId="36"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45" xfId="0" applyNumberFormat="1" applyFont="1" applyFill="1" applyBorder="1" applyAlignment="1" applyProtection="1">
      <alignment horizontal="left" vertical="center" wrapText="1"/>
      <protection locked="0"/>
    </xf>
    <xf numFmtId="0" fontId="9" fillId="6" borderId="45"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0" fontId="9" fillId="6" borderId="4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4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44" xfId="0" applyNumberFormat="1" applyFont="1" applyFill="1" applyBorder="1" applyAlignment="1" applyProtection="1">
      <alignment horizontal="left" vertical="center" wrapText="1"/>
      <protection locked="0"/>
    </xf>
    <xf numFmtId="0" fontId="53" fillId="6" borderId="44" xfId="0" applyNumberFormat="1" applyFont="1" applyFill="1" applyBorder="1" applyAlignment="1" applyProtection="1">
      <alignment horizontal="left" vertical="center" wrapText="1"/>
      <protection locked="0"/>
    </xf>
    <xf numFmtId="0" fontId="8" fillId="6" borderId="45" xfId="0" applyNumberFormat="1" applyFont="1" applyFill="1" applyBorder="1" applyAlignment="1" applyProtection="1">
      <alignment horizontal="left" vertical="center" wrapText="1"/>
      <protection locked="0"/>
    </xf>
    <xf numFmtId="10" fontId="10" fillId="6" borderId="44" xfId="0" applyNumberFormat="1" applyFont="1" applyFill="1" applyBorder="1" applyAlignment="1" applyProtection="1">
      <alignment horizontal="left" vertical="center" wrapText="1"/>
      <protection locked="0"/>
    </xf>
    <xf numFmtId="8" fontId="9" fillId="6" borderId="44" xfId="0" applyNumberFormat="1" applyFont="1" applyFill="1" applyBorder="1" applyAlignment="1" applyProtection="1">
      <alignment horizontal="left" vertical="center" wrapText="1"/>
      <protection locked="0"/>
    </xf>
    <xf numFmtId="10" fontId="9" fillId="6" borderId="44"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44" xfId="0" applyNumberFormat="1" applyFont="1" applyFill="1" applyBorder="1" applyAlignment="1" applyProtection="1">
      <alignment horizontal="left" vertical="center" wrapText="1"/>
      <protection locked="0"/>
    </xf>
    <xf numFmtId="9" fontId="9" fillId="6" borderId="44" xfId="0" applyNumberFormat="1" applyFont="1" applyFill="1" applyBorder="1" applyAlignment="1" applyProtection="1">
      <alignment horizontal="left" vertical="center" wrapText="1"/>
      <protection locked="0"/>
    </xf>
    <xf numFmtId="0" fontId="9" fillId="6" borderId="0" xfId="0" applyNumberFormat="1" applyFont="1" applyFill="1" applyBorder="1" applyAlignment="1" applyProtection="1">
      <alignment horizontal="left" vertical="center" wrapText="1"/>
      <protection locked="0"/>
    </xf>
    <xf numFmtId="0" fontId="59" fillId="21" borderId="63" xfId="0" applyFont="1" applyFill="1" applyBorder="1" applyAlignment="1" applyProtection="1">
      <alignment horizontal="center" vertical="center" wrapText="1"/>
    </xf>
    <xf numFmtId="166" fontId="59" fillId="21" borderId="64" xfId="0" applyNumberFormat="1" applyFont="1" applyFill="1" applyBorder="1" applyAlignment="1" applyProtection="1">
      <alignment horizontal="center" vertical="center" wrapText="1"/>
    </xf>
    <xf numFmtId="0" fontId="59" fillId="23" borderId="63"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53" fillId="6" borderId="4" xfId="0" applyNumberFormat="1" applyFont="1" applyFill="1" applyBorder="1" applyAlignment="1" applyProtection="1">
      <alignment horizontal="left" vertical="center" wrapText="1"/>
      <protection locked="0"/>
    </xf>
    <xf numFmtId="0" fontId="4" fillId="22" borderId="5" xfId="0" applyNumberFormat="1" applyFont="1" applyFill="1" applyBorder="1" applyAlignment="1" applyProtection="1">
      <alignment horizontal="center" vertical="center" wrapText="1"/>
      <protection locked="0"/>
    </xf>
    <xf numFmtId="9" fontId="10" fillId="6" borderId="4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56" fillId="6" borderId="4" xfId="0" applyNumberFormat="1" applyFont="1" applyFill="1" applyBorder="1" applyAlignment="1" applyProtection="1">
      <alignment horizontal="left" vertical="center" wrapText="1"/>
      <protection locked="0"/>
    </xf>
    <xf numFmtId="0" fontId="10" fillId="0" borderId="45"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10" fontId="2" fillId="0" borderId="12"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0" fontId="15" fillId="24" borderId="62" xfId="0" applyFont="1" applyFill="1" applyBorder="1" applyAlignment="1" applyProtection="1">
      <alignment horizontal="center" vertical="center" wrapText="1"/>
    </xf>
    <xf numFmtId="0" fontId="15" fillId="25" borderId="62" xfId="0" applyFont="1" applyFill="1" applyBorder="1" applyAlignment="1" applyProtection="1">
      <alignment horizontal="center" vertical="center" wrapText="1"/>
    </xf>
    <xf numFmtId="0" fontId="15" fillId="26" borderId="62" xfId="0" applyFont="1" applyFill="1" applyBorder="1" applyAlignment="1" applyProtection="1">
      <alignment horizontal="center" vertical="center" wrapText="1"/>
    </xf>
    <xf numFmtId="0" fontId="15" fillId="27" borderId="62" xfId="0" applyFont="1" applyFill="1" applyBorder="1" applyAlignment="1" applyProtection="1">
      <alignment horizontal="center" vertical="center" wrapText="1"/>
    </xf>
    <xf numFmtId="0" fontId="15" fillId="28" borderId="62" xfId="0" applyFont="1" applyFill="1" applyBorder="1" applyAlignment="1" applyProtection="1">
      <alignment horizontal="center" vertical="center" wrapText="1"/>
    </xf>
    <xf numFmtId="0" fontId="27" fillId="28" borderId="62" xfId="0" applyFont="1" applyFill="1" applyBorder="1" applyAlignment="1" applyProtection="1">
      <alignment horizontal="center" vertical="center" wrapText="1"/>
    </xf>
    <xf numFmtId="0" fontId="15" fillId="3" borderId="65" xfId="0" applyFont="1" applyFill="1" applyBorder="1" applyAlignment="1" applyProtection="1">
      <alignment horizontal="center" vertical="center" wrapText="1"/>
    </xf>
    <xf numFmtId="0" fontId="33" fillId="6" borderId="29" xfId="0" applyFont="1" applyFill="1" applyBorder="1" applyAlignment="1">
      <alignment horizontal="right" vertical="center" wrapText="1"/>
    </xf>
    <xf numFmtId="0" fontId="4" fillId="12" borderId="5" xfId="0"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0" xfId="0" applyNumberFormat="1" applyAlignment="1" applyProtection="1">
      <protection locked="0"/>
    </xf>
    <xf numFmtId="0" fontId="4" fillId="4" borderId="1" xfId="0" applyNumberFormat="1" applyFont="1" applyFill="1" applyBorder="1" applyAlignment="1" applyProtection="1">
      <alignment horizontal="center" vertical="center" wrapText="1"/>
      <protection locked="0"/>
    </xf>
    <xf numFmtId="0" fontId="1" fillId="0" borderId="0" xfId="0" applyNumberFormat="1" applyFont="1" applyAlignment="1" applyProtection="1">
      <alignment wrapText="1"/>
      <protection locked="0"/>
    </xf>
    <xf numFmtId="49" fontId="10" fillId="6" borderId="44" xfId="0" applyNumberFormat="1" applyFont="1" applyFill="1" applyBorder="1" applyAlignment="1" applyProtection="1">
      <alignment horizontal="left" vertical="center" wrapText="1"/>
      <protection locked="0"/>
    </xf>
    <xf numFmtId="49" fontId="10" fillId="6" borderId="4" xfId="0" applyNumberFormat="1" applyFont="1" applyFill="1" applyBorder="1" applyAlignment="1" applyProtection="1">
      <alignment horizontal="left" vertical="center" wrapText="1"/>
      <protection locked="0"/>
    </xf>
    <xf numFmtId="0" fontId="0" fillId="0" borderId="0" xfId="0" applyNumberFormat="1" applyAlignment="1" applyProtection="1">
      <alignment wrapText="1"/>
      <protection locked="0"/>
    </xf>
    <xf numFmtId="0" fontId="9" fillId="6" borderId="4" xfId="0" quotePrefix="1" applyNumberFormat="1" applyFont="1" applyFill="1" applyBorder="1" applyAlignment="1" applyProtection="1">
      <alignment horizontal="left" vertical="center" wrapText="1"/>
      <protection locked="0"/>
    </xf>
    <xf numFmtId="0" fontId="9" fillId="6" borderId="44" xfId="0" quotePrefix="1" applyNumberFormat="1" applyFont="1" applyFill="1" applyBorder="1" applyAlignment="1" applyProtection="1">
      <alignment horizontal="left" vertical="center" wrapText="1"/>
      <protection locked="0"/>
    </xf>
    <xf numFmtId="9" fontId="10" fillId="6" borderId="4" xfId="0" applyNumberFormat="1" applyFont="1" applyFill="1" applyBorder="1" applyAlignment="1" applyProtection="1">
      <alignment horizontal="left" vertical="center" wrapText="1"/>
      <protection locked="0"/>
    </xf>
    <xf numFmtId="10" fontId="9" fillId="6" borderId="44" xfId="3" applyNumberFormat="1" applyFont="1" applyFill="1" applyBorder="1" applyAlignment="1" applyProtection="1">
      <alignment horizontal="left" vertical="center" wrapText="1"/>
      <protection locked="0"/>
    </xf>
    <xf numFmtId="0" fontId="9" fillId="0" borderId="44" xfId="0" applyNumberFormat="1" applyFont="1" applyFill="1" applyBorder="1" applyAlignment="1" applyProtection="1">
      <alignment horizontal="left" vertical="center" wrapText="1"/>
      <protection locked="0"/>
    </xf>
    <xf numFmtId="165" fontId="8" fillId="6" borderId="4" xfId="0" applyNumberFormat="1" applyFont="1" applyFill="1" applyBorder="1" applyAlignment="1" applyProtection="1">
      <alignment horizontal="left" vertical="center" wrapText="1"/>
      <protection locked="0"/>
    </xf>
    <xf numFmtId="165" fontId="8" fillId="6" borderId="44"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6" fontId="9" fillId="0" borderId="44" xfId="0" applyNumberFormat="1" applyFont="1" applyFill="1" applyBorder="1" applyAlignment="1" applyProtection="1">
      <alignment horizontal="left" vertical="center" wrapText="1"/>
      <protection locked="0"/>
    </xf>
    <xf numFmtId="49" fontId="58" fillId="6" borderId="44" xfId="0" applyNumberFormat="1" applyFont="1" applyFill="1" applyBorder="1" applyAlignment="1" applyProtection="1">
      <alignment horizontal="left" vertical="center" wrapText="1"/>
      <protection locked="0"/>
    </xf>
    <xf numFmtId="49" fontId="10" fillId="0" borderId="44" xfId="0" applyNumberFormat="1" applyFont="1" applyFill="1" applyBorder="1" applyAlignment="1" applyProtection="1">
      <alignment horizontal="left" vertical="center" wrapText="1"/>
      <protection locked="0"/>
    </xf>
    <xf numFmtId="0" fontId="54" fillId="6" borderId="45" xfId="0" applyNumberFormat="1" applyFont="1" applyFill="1" applyBorder="1" applyAlignment="1" applyProtection="1">
      <alignment horizontal="left" vertical="center" wrapText="1"/>
      <protection locked="0"/>
    </xf>
    <xf numFmtId="0" fontId="10" fillId="0" borderId="44" xfId="0" applyFont="1" applyBorder="1" applyAlignment="1" applyProtection="1">
      <alignment vertical="center" wrapText="1"/>
      <protection locked="0"/>
    </xf>
    <xf numFmtId="0" fontId="0" fillId="0" borderId="45" xfId="0" applyNumberFormat="1" applyBorder="1" applyAlignment="1" applyProtection="1">
      <alignment horizontal="left" vertical="center" wrapText="1"/>
      <protection locked="0"/>
    </xf>
    <xf numFmtId="10" fontId="8" fillId="6" borderId="4" xfId="0" applyNumberFormat="1" applyFont="1" applyFill="1" applyBorder="1" applyAlignment="1" applyProtection="1">
      <alignment horizontal="left" vertical="center" wrapText="1"/>
      <protection locked="0"/>
    </xf>
    <xf numFmtId="1" fontId="0" fillId="6" borderId="0" xfId="0" applyNumberFormat="1" applyFill="1" applyAlignment="1">
      <alignment vertical="center"/>
    </xf>
    <xf numFmtId="165" fontId="8" fillId="6" borderId="51" xfId="0" applyNumberFormat="1" applyFont="1" applyFill="1" applyBorder="1" applyAlignment="1" applyProtection="1">
      <alignment horizontal="left" vertical="center" wrapText="1"/>
      <protection locked="0"/>
    </xf>
    <xf numFmtId="165" fontId="8" fillId="6" borderId="52" xfId="0" applyNumberFormat="1" applyFont="1" applyFill="1" applyBorder="1" applyAlignment="1" applyProtection="1">
      <alignment horizontal="left" vertical="center" wrapText="1"/>
      <protection locked="0"/>
    </xf>
    <xf numFmtId="9" fontId="9" fillId="6" borderId="44" xfId="0" applyNumberFormat="1" applyFont="1" applyFill="1" applyBorder="1" applyAlignment="1" applyProtection="1">
      <alignment horizontal="center" vertical="center" wrapText="1"/>
      <protection locked="0"/>
    </xf>
    <xf numFmtId="166" fontId="59" fillId="29" borderId="64" xfId="0" applyNumberFormat="1" applyFont="1" applyFill="1" applyBorder="1" applyAlignment="1" applyProtection="1">
      <alignment horizontal="center" vertical="center" wrapText="1"/>
      <protection locked="0"/>
    </xf>
    <xf numFmtId="166" fontId="59" fillId="29" borderId="0" xfId="0" applyNumberFormat="1" applyFont="1" applyFill="1" applyBorder="1" applyAlignment="1" applyProtection="1">
      <alignment horizontal="center" vertical="center" wrapText="1"/>
      <protection locked="0"/>
    </xf>
    <xf numFmtId="0" fontId="15" fillId="30" borderId="62" xfId="0" applyFont="1" applyFill="1" applyBorder="1" applyAlignment="1" applyProtection="1">
      <alignment horizontal="center" vertical="center" wrapText="1"/>
      <protection locked="0"/>
    </xf>
    <xf numFmtId="0" fontId="15" fillId="30" borderId="0" xfId="0" applyFont="1" applyFill="1" applyBorder="1" applyAlignment="1" applyProtection="1">
      <alignment horizontal="center" vertical="center" wrapText="1"/>
      <protection locked="0"/>
    </xf>
    <xf numFmtId="0" fontId="15" fillId="27" borderId="0" xfId="0" applyFont="1" applyFill="1" applyBorder="1" applyAlignment="1" applyProtection="1">
      <alignment horizontal="center" vertical="center" wrapText="1"/>
      <protection locked="0"/>
    </xf>
    <xf numFmtId="166" fontId="27" fillId="31" borderId="0" xfId="0" applyNumberFormat="1" applyFont="1" applyFill="1" applyBorder="1" applyAlignment="1" applyProtection="1">
      <alignment horizontal="center" vertical="center" wrapText="1"/>
      <protection locked="0"/>
    </xf>
    <xf numFmtId="0" fontId="63" fillId="32" borderId="0" xfId="0" applyFont="1" applyFill="1" applyAlignment="1">
      <alignment vertical="center" wrapText="1"/>
    </xf>
    <xf numFmtId="0" fontId="64" fillId="33" borderId="69" xfId="0" applyFont="1" applyFill="1" applyBorder="1" applyAlignment="1">
      <alignment vertical="center" wrapText="1"/>
    </xf>
    <xf numFmtId="0" fontId="64" fillId="34" borderId="69" xfId="0" applyFont="1" applyFill="1" applyBorder="1" applyAlignment="1">
      <alignment vertical="center" wrapText="1"/>
    </xf>
    <xf numFmtId="0" fontId="65" fillId="33" borderId="69" xfId="0" applyFont="1" applyFill="1" applyBorder="1" applyAlignment="1">
      <alignment vertical="center" wrapText="1"/>
    </xf>
    <xf numFmtId="17" fontId="64" fillId="34" borderId="69" xfId="0" applyNumberFormat="1" applyFont="1" applyFill="1" applyBorder="1" applyAlignment="1">
      <alignment horizontal="left" vertical="center" wrapText="1"/>
    </xf>
    <xf numFmtId="0" fontId="64" fillId="34" borderId="69" xfId="0" applyFont="1" applyFill="1" applyBorder="1" applyAlignment="1">
      <alignment horizontal="left" vertical="center" wrapText="1"/>
    </xf>
    <xf numFmtId="0" fontId="0" fillId="35" borderId="0" xfId="0" applyFont="1" applyFill="1" applyAlignment="1">
      <alignment horizontal="left" vertical="center" wrapText="1"/>
    </xf>
    <xf numFmtId="0" fontId="0" fillId="35" borderId="0" xfId="0" applyFill="1" applyAlignment="1">
      <alignment horizontal="left" vertical="center" wrapText="1"/>
    </xf>
    <xf numFmtId="166" fontId="64" fillId="34" borderId="69" xfId="0" applyNumberFormat="1"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65" fillId="33" borderId="70" xfId="0" applyFont="1" applyFill="1" applyBorder="1" applyAlignment="1">
      <alignment vertical="center" wrapText="1"/>
    </xf>
    <xf numFmtId="0" fontId="64" fillId="34" borderId="70" xfId="0" applyFont="1" applyFill="1" applyBorder="1" applyAlignment="1">
      <alignment vertical="center" wrapText="1"/>
    </xf>
    <xf numFmtId="166" fontId="64" fillId="34" borderId="70" xfId="0" applyNumberFormat="1" applyFont="1" applyFill="1" applyBorder="1" applyAlignment="1">
      <alignment horizontal="center" vertical="center" wrapText="1"/>
    </xf>
    <xf numFmtId="0" fontId="8" fillId="6" borderId="71" xfId="0" applyNumberFormat="1" applyFont="1" applyFill="1" applyBorder="1" applyAlignment="1" applyProtection="1">
      <alignment horizontal="left" vertical="center" wrapText="1"/>
      <protection locked="0"/>
    </xf>
    <xf numFmtId="0" fontId="10" fillId="6" borderId="71" xfId="0" applyNumberFormat="1" applyFont="1" applyFill="1" applyBorder="1" applyAlignment="1" applyProtection="1">
      <alignment horizontal="center" vertical="center" wrapText="1"/>
      <protection locked="0"/>
    </xf>
    <xf numFmtId="0" fontId="10" fillId="6" borderId="72" xfId="0" applyNumberFormat="1" applyFont="1" applyFill="1" applyBorder="1" applyAlignment="1" applyProtection="1">
      <alignment horizontal="left" vertical="center" wrapText="1"/>
      <protection locked="0"/>
    </xf>
    <xf numFmtId="0" fontId="9" fillId="6" borderId="73" xfId="0" applyNumberFormat="1" applyFont="1" applyFill="1" applyBorder="1" applyAlignment="1" applyProtection="1">
      <alignment horizontal="left" vertical="center" wrapText="1"/>
      <protection locked="0"/>
    </xf>
    <xf numFmtId="0" fontId="9" fillId="6" borderId="71" xfId="0" applyNumberFormat="1" applyFont="1" applyFill="1" applyBorder="1" applyAlignment="1" applyProtection="1">
      <alignment horizontal="left" vertical="center" wrapText="1"/>
      <protection locked="0"/>
    </xf>
    <xf numFmtId="0" fontId="9" fillId="6" borderId="72" xfId="0" applyNumberFormat="1" applyFont="1" applyFill="1" applyBorder="1" applyAlignment="1" applyProtection="1">
      <alignment horizontal="left" vertical="center" wrapText="1"/>
      <protection locked="0"/>
    </xf>
    <xf numFmtId="49" fontId="10" fillId="6" borderId="73" xfId="0" applyNumberFormat="1" applyFont="1" applyFill="1" applyBorder="1" applyAlignment="1" applyProtection="1">
      <alignment horizontal="left" vertical="center" wrapText="1"/>
      <protection locked="0"/>
    </xf>
    <xf numFmtId="49" fontId="10" fillId="6" borderId="71" xfId="0" applyNumberFormat="1" applyFont="1" applyFill="1" applyBorder="1" applyAlignment="1" applyProtection="1">
      <alignment horizontal="left" vertical="center" wrapText="1"/>
      <protection locked="0"/>
    </xf>
    <xf numFmtId="0" fontId="9" fillId="6" borderId="71" xfId="0" applyNumberFormat="1" applyFont="1" applyFill="1" applyBorder="1" applyAlignment="1" applyProtection="1">
      <alignment horizontal="center" vertical="center" wrapText="1"/>
      <protection locked="0"/>
    </xf>
    <xf numFmtId="0" fontId="3" fillId="2" borderId="74" xfId="0" applyNumberFormat="1" applyFont="1" applyFill="1" applyBorder="1" applyAlignment="1" applyProtection="1">
      <alignment horizontal="center" vertical="center" wrapText="1"/>
    </xf>
    <xf numFmtId="0" fontId="15" fillId="3" borderId="75" xfId="0" applyFont="1" applyFill="1" applyBorder="1" applyAlignment="1" applyProtection="1">
      <alignment horizontal="center" vertical="center" wrapText="1"/>
    </xf>
    <xf numFmtId="0" fontId="15" fillId="25" borderId="75" xfId="0" applyFont="1" applyFill="1" applyBorder="1" applyAlignment="1" applyProtection="1">
      <alignment horizontal="center" vertical="center" wrapText="1"/>
    </xf>
    <xf numFmtId="0" fontId="15" fillId="30" borderId="75" xfId="0" applyFont="1" applyFill="1" applyBorder="1" applyAlignment="1" applyProtection="1">
      <alignment horizontal="center" vertical="center" wrapText="1"/>
      <protection locked="0"/>
    </xf>
    <xf numFmtId="0" fontId="6" fillId="0" borderId="76" xfId="0" applyNumberFormat="1" applyFont="1" applyBorder="1" applyAlignment="1" applyProtection="1">
      <alignment horizontal="left" vertical="center" wrapText="1"/>
    </xf>
    <xf numFmtId="0" fontId="0" fillId="0" borderId="76" xfId="0" applyNumberFormat="1" applyBorder="1" applyAlignment="1" applyProtection="1">
      <alignment horizontal="center" vertical="center" wrapText="1"/>
    </xf>
    <xf numFmtId="0" fontId="0" fillId="0" borderId="76" xfId="0" applyNumberFormat="1" applyBorder="1" applyAlignment="1" applyProtection="1">
      <alignment horizontal="left" vertical="center" wrapText="1"/>
    </xf>
    <xf numFmtId="164" fontId="0" fillId="0" borderId="76" xfId="0" applyNumberFormat="1" applyBorder="1" applyAlignment="1" applyProtection="1">
      <alignment horizontal="center" vertical="center" wrapText="1"/>
    </xf>
    <xf numFmtId="0" fontId="7" fillId="0" borderId="76" xfId="0" applyNumberFormat="1" applyFont="1" applyBorder="1" applyAlignment="1" applyProtection="1">
      <alignment horizontal="left" vertical="center" wrapText="1"/>
      <protection locked="0"/>
    </xf>
    <xf numFmtId="0" fontId="0" fillId="0" borderId="76" xfId="0" applyNumberFormat="1" applyBorder="1" applyAlignment="1" applyProtection="1">
      <alignment horizontal="center" vertical="center" wrapText="1"/>
      <protection locked="0"/>
    </xf>
    <xf numFmtId="0" fontId="0" fillId="0" borderId="76" xfId="0" applyNumberFormat="1" applyBorder="1" applyAlignment="1" applyProtection="1">
      <alignment horizontal="left" vertical="center" wrapText="1"/>
      <protection locked="0"/>
    </xf>
    <xf numFmtId="0" fontId="15" fillId="6" borderId="0" xfId="0" applyFont="1" applyFill="1" applyBorder="1" applyAlignment="1" applyProtection="1">
      <alignment horizontal="center" vertical="center" wrapText="1"/>
    </xf>
    <xf numFmtId="0" fontId="60" fillId="6" borderId="0" xfId="0" applyFont="1" applyFill="1" applyBorder="1" applyAlignment="1" applyProtection="1">
      <alignment vertical="center" wrapText="1"/>
    </xf>
    <xf numFmtId="166" fontId="60" fillId="6" borderId="0" xfId="0" applyNumberFormat="1" applyFont="1" applyFill="1" applyBorder="1" applyAlignment="1" applyProtection="1">
      <alignment horizontal="center" vertical="center" wrapText="1"/>
    </xf>
    <xf numFmtId="0" fontId="8" fillId="6" borderId="0" xfId="0" applyNumberFormat="1" applyFont="1" applyFill="1" applyBorder="1" applyAlignment="1" applyProtection="1">
      <alignment horizontal="left" vertical="center" wrapText="1"/>
      <protection locked="0"/>
    </xf>
    <xf numFmtId="0" fontId="10" fillId="6" borderId="0" xfId="0" applyNumberFormat="1" applyFont="1" applyFill="1" applyBorder="1" applyAlignment="1" applyProtection="1">
      <alignment horizontal="center" vertical="center" wrapText="1"/>
      <protection locked="0"/>
    </xf>
    <xf numFmtId="0" fontId="10" fillId="6" borderId="0" xfId="0" applyNumberFormat="1" applyFont="1" applyFill="1" applyBorder="1" applyAlignment="1" applyProtection="1">
      <alignment horizontal="left" vertical="center" wrapText="1"/>
      <protection locked="0"/>
    </xf>
    <xf numFmtId="49" fontId="10" fillId="6" borderId="0" xfId="0" applyNumberFormat="1" applyFont="1" applyFill="1" applyBorder="1" applyAlignment="1" applyProtection="1">
      <alignment horizontal="left" vertical="center" wrapText="1"/>
      <protection locked="0"/>
    </xf>
    <xf numFmtId="0" fontId="9" fillId="6" borderId="0" xfId="0" applyNumberFormat="1" applyFont="1" applyFill="1" applyBorder="1" applyAlignment="1" applyProtection="1">
      <alignment horizontal="center" vertical="center" wrapText="1"/>
      <protection locked="0"/>
    </xf>
    <xf numFmtId="0" fontId="3" fillId="6" borderId="0" xfId="0" applyNumberFormat="1" applyFont="1" applyFill="1" applyBorder="1" applyAlignment="1" applyProtection="1">
      <alignment horizontal="center" vertical="center" wrapText="1"/>
    </xf>
    <xf numFmtId="0" fontId="0" fillId="6" borderId="0" xfId="0" applyNumberFormat="1" applyFill="1" applyBorder="1" applyAlignment="1" applyProtection="1">
      <alignment wrapText="1"/>
      <protection locked="0"/>
    </xf>
    <xf numFmtId="0" fontId="53" fillId="6" borderId="0" xfId="0" applyNumberFormat="1" applyFont="1" applyFill="1" applyBorder="1" applyAlignment="1" applyProtection="1">
      <alignment horizontal="left" vertical="center" wrapText="1"/>
      <protection locked="0"/>
    </xf>
    <xf numFmtId="9" fontId="8" fillId="6" borderId="0" xfId="0" applyNumberFormat="1" applyFont="1" applyFill="1" applyBorder="1" applyAlignment="1" applyProtection="1">
      <alignment horizontal="left" vertical="center" wrapText="1"/>
      <protection locked="0"/>
    </xf>
    <xf numFmtId="0" fontId="2" fillId="6" borderId="0" xfId="0" applyNumberFormat="1" applyFont="1" applyFill="1" applyBorder="1" applyAlignment="1" applyProtection="1">
      <alignment horizontal="center" vertical="center" wrapText="1"/>
    </xf>
    <xf numFmtId="9" fontId="8" fillId="6" borderId="0" xfId="3" applyFont="1" applyFill="1" applyBorder="1" applyAlignment="1" applyProtection="1">
      <alignment horizontal="left" vertical="center" wrapText="1"/>
      <protection locked="0"/>
    </xf>
    <xf numFmtId="10" fontId="9" fillId="6" borderId="0" xfId="0" applyNumberFormat="1" applyFont="1" applyFill="1" applyBorder="1" applyAlignment="1" applyProtection="1">
      <alignment horizontal="left" vertical="center" wrapText="1"/>
      <protection locked="0"/>
    </xf>
    <xf numFmtId="10" fontId="9" fillId="6" borderId="0" xfId="0" applyNumberFormat="1" applyFont="1" applyFill="1" applyBorder="1" applyAlignment="1" applyProtection="1">
      <alignment horizontal="center" vertical="center" wrapText="1"/>
      <protection locked="0"/>
    </xf>
    <xf numFmtId="4" fontId="8" fillId="6" borderId="0" xfId="0" applyNumberFormat="1" applyFont="1" applyFill="1" applyBorder="1" applyAlignment="1" applyProtection="1">
      <alignment horizontal="left" vertical="center" wrapText="1"/>
      <protection locked="0"/>
    </xf>
    <xf numFmtId="3" fontId="8" fillId="6" borderId="0" xfId="0" applyNumberFormat="1" applyFont="1" applyFill="1" applyBorder="1" applyAlignment="1" applyProtection="1">
      <alignment horizontal="left" vertical="center" wrapText="1"/>
      <protection locked="0"/>
    </xf>
    <xf numFmtId="10" fontId="8" fillId="6" borderId="0" xfId="0" applyNumberFormat="1" applyFont="1" applyFill="1" applyBorder="1" applyAlignment="1" applyProtection="1">
      <alignment horizontal="left" vertical="center" wrapText="1"/>
      <protection locked="0"/>
    </xf>
    <xf numFmtId="0" fontId="60" fillId="6" borderId="0" xfId="0" applyFont="1" applyFill="1" applyBorder="1" applyAlignment="1" applyProtection="1">
      <alignment horizontal="center" vertical="center" wrapText="1"/>
    </xf>
    <xf numFmtId="10" fontId="9" fillId="6" borderId="0" xfId="3" applyNumberFormat="1" applyFont="1" applyFill="1" applyBorder="1" applyAlignment="1" applyProtection="1">
      <alignment horizontal="left" vertical="center" wrapText="1"/>
      <protection locked="0"/>
    </xf>
    <xf numFmtId="10" fontId="8" fillId="6" borderId="0" xfId="0" applyNumberFormat="1" applyFont="1" applyFill="1" applyBorder="1" applyAlignment="1" applyProtection="1">
      <alignment horizontal="center" vertical="center" wrapText="1"/>
      <protection locked="0"/>
    </xf>
    <xf numFmtId="0" fontId="15" fillId="27" borderId="66" xfId="0" applyFont="1" applyFill="1" applyBorder="1" applyAlignment="1" applyProtection="1">
      <alignment horizontal="center" vertical="center" wrapText="1"/>
    </xf>
    <xf numFmtId="0" fontId="0" fillId="6" borderId="0" xfId="0" applyNumberFormat="1" applyFill="1" applyAlignment="1" applyProtection="1">
      <protection locked="0"/>
    </xf>
    <xf numFmtId="0" fontId="0" fillId="0" borderId="0" xfId="0" applyNumberFormat="1" applyAlignment="1" applyProtection="1">
      <alignment horizontal="center" vertical="center" wrapText="1"/>
      <protection locked="0"/>
    </xf>
    <xf numFmtId="0" fontId="66" fillId="36" borderId="0" xfId="0" applyNumberFormat="1" applyFont="1" applyFill="1" applyAlignment="1" applyProtection="1">
      <alignment vertical="center" wrapText="1"/>
      <protection locked="0"/>
    </xf>
    <xf numFmtId="0" fontId="0" fillId="28" borderId="1" xfId="0" applyNumberFormat="1" applyFill="1" applyBorder="1" applyAlignment="1" applyProtection="1">
      <alignment wrapText="1"/>
      <protection locked="0"/>
    </xf>
    <xf numFmtId="0" fontId="0" fillId="28" borderId="1" xfId="0" applyNumberFormat="1" applyFill="1" applyBorder="1" applyAlignment="1" applyProtection="1">
      <alignment horizontal="center" vertical="center" wrapText="1"/>
      <protection locked="0"/>
    </xf>
    <xf numFmtId="9" fontId="8" fillId="6" borderId="4" xfId="0" applyNumberFormat="1" applyFont="1" applyFill="1" applyBorder="1" applyAlignment="1" applyProtection="1">
      <alignment horizontal="left" vertical="center" wrapText="1"/>
      <protection locked="0"/>
    </xf>
    <xf numFmtId="0" fontId="33" fillId="0" borderId="31" xfId="0" applyFont="1" applyFill="1" applyBorder="1" applyAlignment="1">
      <alignment horizontal="right" vertical="center" wrapText="1"/>
    </xf>
    <xf numFmtId="10" fontId="10" fillId="6" borderId="45"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166" fontId="27" fillId="31" borderId="67" xfId="0" applyNumberFormat="1" applyFont="1" applyFill="1" applyBorder="1" applyAlignment="1" applyProtection="1">
      <alignment horizontal="center" vertical="center" wrapText="1"/>
      <protection locked="0"/>
    </xf>
    <xf numFmtId="166" fontId="27" fillId="31" borderId="0" xfId="0" applyNumberFormat="1" applyFont="1" applyFill="1" applyBorder="1" applyAlignment="1" applyProtection="1">
      <alignment horizontal="center" vertical="center" wrapText="1"/>
      <protection locked="0"/>
    </xf>
    <xf numFmtId="166" fontId="27" fillId="31" borderId="68" xfId="0" applyNumberFormat="1" applyFont="1" applyFill="1" applyBorder="1" applyAlignment="1" applyProtection="1">
      <alignment horizontal="center" vertical="center" wrapText="1"/>
      <protection locked="0"/>
    </xf>
    <xf numFmtId="0" fontId="4" fillId="12" borderId="1" xfId="0" applyNumberFormat="1" applyFont="1" applyFill="1" applyBorder="1" applyAlignment="1" applyProtection="1">
      <alignment horizontal="center" vertical="center"/>
      <protection locked="0"/>
    </xf>
    <xf numFmtId="0" fontId="4" fillId="22" borderId="1" xfId="0" applyNumberFormat="1" applyFont="1" applyFill="1" applyBorder="1" applyAlignment="1" applyProtection="1">
      <alignment horizontal="center" vertical="center"/>
      <protection locked="0"/>
    </xf>
    <xf numFmtId="166" fontId="59" fillId="29" borderId="67" xfId="0" applyNumberFormat="1" applyFont="1" applyFill="1" applyBorder="1" applyAlignment="1" applyProtection="1">
      <alignment horizontal="center" vertical="center" wrapText="1"/>
      <protection locked="0"/>
    </xf>
    <xf numFmtId="166" fontId="59" fillId="29" borderId="0" xfId="0" applyNumberFormat="1" applyFont="1" applyFill="1" applyBorder="1" applyAlignment="1" applyProtection="1">
      <alignment horizontal="center" vertical="center" wrapText="1"/>
      <protection locked="0"/>
    </xf>
    <xf numFmtId="166" fontId="59" fillId="29" borderId="68" xfId="0" applyNumberFormat="1" applyFont="1" applyFill="1" applyBorder="1" applyAlignment="1" applyProtection="1">
      <alignment horizontal="center" vertical="center" wrapText="1"/>
      <protection locked="0"/>
    </xf>
    <xf numFmtId="0" fontId="21" fillId="6" borderId="20"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0" fillId="9" borderId="34" xfId="0" applyFont="1" applyFill="1" applyBorder="1" applyAlignment="1">
      <alignment horizontal="center" vertical="center" wrapText="1"/>
    </xf>
    <xf numFmtId="10" fontId="2" fillId="0" borderId="12" xfId="0" applyNumberFormat="1" applyFont="1" applyFill="1" applyBorder="1" applyAlignment="1" applyProtection="1">
      <alignment horizontal="center" vertical="center" wrapText="1"/>
    </xf>
    <xf numFmtId="10" fontId="17" fillId="9" borderId="12" xfId="0" applyNumberFormat="1" applyFont="1" applyFill="1" applyBorder="1" applyAlignment="1" applyProtection="1">
      <alignment horizontal="center" vertical="center" wrapText="1"/>
    </xf>
    <xf numFmtId="10" fontId="17" fillId="10" borderId="12" xfId="0" applyNumberFormat="1"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2" xfId="0" applyNumberFormat="1" applyFont="1" applyFill="1" applyBorder="1" applyAlignment="1" applyProtection="1">
      <alignment horizontal="center" vertical="center" wrapText="1"/>
    </xf>
    <xf numFmtId="0" fontId="5" fillId="11" borderId="13" xfId="0" applyFont="1" applyFill="1" applyBorder="1" applyAlignment="1" applyProtection="1">
      <alignment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10" fontId="23" fillId="20" borderId="0" xfId="0" applyNumberFormat="1" applyFont="1" applyFill="1" applyAlignment="1" applyProtection="1">
      <alignment horizontal="center" vertical="center"/>
    </xf>
    <xf numFmtId="0" fontId="23" fillId="20" borderId="0" xfId="0" applyFont="1" applyFill="1" applyAlignment="1" applyProtection="1">
      <alignment horizontal="center" vertical="center"/>
    </xf>
    <xf numFmtId="10" fontId="17" fillId="10" borderId="18" xfId="0" applyNumberFormat="1" applyFont="1" applyFill="1" applyBorder="1" applyAlignment="1" applyProtection="1">
      <alignment horizontal="center" vertical="center" wrapText="1"/>
    </xf>
    <xf numFmtId="10" fontId="17" fillId="10" borderId="47" xfId="0" applyNumberFormat="1" applyFont="1" applyFill="1" applyBorder="1" applyAlignment="1" applyProtection="1">
      <alignment horizontal="center" vertical="center" wrapText="1"/>
    </xf>
    <xf numFmtId="0" fontId="21" fillId="13" borderId="0" xfId="0" applyFont="1" applyFill="1" applyBorder="1" applyAlignment="1">
      <alignment horizontal="left" vertical="center" wrapText="1"/>
    </xf>
    <xf numFmtId="10" fontId="2" fillId="0" borderId="36" xfId="0" applyNumberFormat="1" applyFont="1" applyFill="1" applyBorder="1" applyAlignment="1" applyProtection="1">
      <alignment horizontal="center" vertical="center" wrapText="1"/>
    </xf>
    <xf numFmtId="10" fontId="17" fillId="9" borderId="36" xfId="0" applyNumberFormat="1" applyFont="1" applyFill="1" applyBorder="1" applyAlignment="1" applyProtection="1">
      <alignment horizontal="center" vertical="center" wrapText="1"/>
    </xf>
    <xf numFmtId="10" fontId="17" fillId="15" borderId="36" xfId="0" applyNumberFormat="1" applyFont="1" applyFill="1" applyBorder="1" applyAlignment="1" applyProtection="1">
      <alignment horizontal="center" vertical="center" wrapText="1"/>
    </xf>
    <xf numFmtId="10" fontId="2" fillId="0" borderId="37" xfId="0" applyNumberFormat="1" applyFont="1" applyFill="1" applyBorder="1" applyAlignment="1" applyProtection="1">
      <alignment horizontal="center" vertical="center" wrapText="1"/>
    </xf>
    <xf numFmtId="10" fontId="2" fillId="0" borderId="38" xfId="0" applyNumberFormat="1" applyFont="1" applyFill="1" applyBorder="1" applyAlignment="1" applyProtection="1">
      <alignment horizontal="center" vertical="center" wrapText="1"/>
    </xf>
    <xf numFmtId="10" fontId="2" fillId="0" borderId="39" xfId="0" applyNumberFormat="1" applyFont="1" applyFill="1" applyBorder="1" applyAlignment="1" applyProtection="1">
      <alignment horizontal="center" vertical="center" wrapText="1"/>
    </xf>
    <xf numFmtId="10" fontId="2" fillId="0" borderId="37" xfId="0" applyNumberFormat="1" applyFont="1" applyFill="1" applyBorder="1" applyAlignment="1" applyProtection="1">
      <alignment vertical="center" wrapText="1"/>
    </xf>
    <xf numFmtId="10" fontId="2" fillId="0" borderId="38" xfId="0" applyNumberFormat="1" applyFont="1" applyFill="1" applyBorder="1" applyAlignment="1" applyProtection="1">
      <alignment vertical="center" wrapText="1"/>
    </xf>
    <xf numFmtId="10" fontId="2" fillId="0" borderId="39" xfId="0" applyNumberFormat="1" applyFont="1" applyFill="1" applyBorder="1" applyAlignment="1" applyProtection="1">
      <alignment vertical="center" wrapText="1"/>
    </xf>
    <xf numFmtId="10" fontId="16" fillId="8" borderId="37" xfId="0" applyNumberFormat="1" applyFont="1" applyFill="1" applyBorder="1" applyAlignment="1" applyProtection="1">
      <alignment horizontal="center" vertical="center" wrapText="1"/>
    </xf>
    <xf numFmtId="10" fontId="16" fillId="8" borderId="38" xfId="0" applyNumberFormat="1" applyFont="1" applyFill="1" applyBorder="1" applyAlignment="1" applyProtection="1">
      <alignment horizontal="center" vertical="center" wrapText="1"/>
    </xf>
    <xf numFmtId="10" fontId="16" fillId="8" borderId="39" xfId="0" applyNumberFormat="1" applyFont="1" applyFill="1" applyBorder="1" applyAlignment="1" applyProtection="1">
      <alignment horizontal="center" vertical="center" wrapText="1"/>
    </xf>
    <xf numFmtId="0" fontId="5" fillId="8" borderId="37" xfId="0" applyFont="1" applyFill="1" applyBorder="1" applyAlignment="1" applyProtection="1">
      <alignment vertical="center" wrapText="1"/>
    </xf>
    <xf numFmtId="0" fontId="5" fillId="8" borderId="38" xfId="0" applyFont="1" applyFill="1" applyBorder="1" applyAlignment="1" applyProtection="1">
      <alignment vertical="center" wrapText="1"/>
    </xf>
    <xf numFmtId="0" fontId="5" fillId="8" borderId="39" xfId="0" applyFont="1" applyFill="1" applyBorder="1" applyAlignment="1" applyProtection="1">
      <alignment vertical="center" wrapText="1"/>
    </xf>
    <xf numFmtId="0" fontId="5" fillId="0" borderId="48"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21" fillId="16" borderId="0"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4271">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0.94936708860759489</c:v>
                </c:pt>
                <c:pt idx="1">
                  <c:v>0</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1.2658227848101266E-2</c:v>
                </c:pt>
                <c:pt idx="1">
                  <c:v>0</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3.7974683544303799E-2</c:v>
                </c:pt>
                <c:pt idx="1">
                  <c:v>0</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Improving Local Democracy</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0.84615384615384615</c:v>
                </c:pt>
                <c:pt idx="1">
                  <c:v>0</c:v>
                </c:pt>
                <c:pt idx="2">
                  <c:v>0</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0.15384615384615385</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Creating a prosperous East Staffordshire</a:t>
            </a: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0.94444444444444442</c:v>
                </c:pt>
                <c:pt idx="1">
                  <c:v>0</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5.5555555555555552E-2</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Developing a Green New Deal</a:t>
            </a:r>
            <a:r>
              <a:rPr lang="en-GB" sz="1100" baseline="0">
                <a:latin typeface="Arial" pitchFamily="34" charset="0"/>
                <a:cs typeface="Arial" pitchFamily="34" charset="0"/>
              </a:rPr>
              <a:t> for East Staffordshire</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0.94936708860759489</c:v>
                </c:pt>
                <c:pt idx="1">
                  <c:v>1.2658227848101266E-2</c:v>
                </c:pt>
                <c:pt idx="2">
                  <c:v>3.7974683544303799E-2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Improving Local Democracy-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0.84615384615384615</c:v>
                </c:pt>
                <c:pt idx="1">
                  <c:v>0</c:v>
                </c:pt>
                <c:pt idx="2">
                  <c:v>0.15384615384615385</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Creating</a:t>
            </a:r>
            <a:r>
              <a:rPr lang="en-US" baseline="0"/>
              <a:t> a prosperous East Staffordshire </a:t>
            </a:r>
            <a:r>
              <a:rPr lang="en-US"/>
              <a:t>-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Developing a Green New Deal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1</c:v>
                </c:pt>
                <c:pt idx="1">
                  <c:v>0</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c:v>
                </c:pt>
                <c:pt idx="1">
                  <c:v>0</c:v>
                </c:pt>
                <c:pt idx="2">
                  <c:v>0</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0</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u="none" strike="noStrike" baseline="0">
                <a:effectLst/>
              </a:rPr>
              <a:t>Creating a prosperous East Staffordshire</a:t>
            </a: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Protecting our heritage</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Priority'!$AY$71</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Priority'!$AZ$71:$BC$71</c:f>
              <c:numCache>
                <c:formatCode>0.00%</c:formatCode>
                <c:ptCount val="4"/>
                <c:pt idx="0">
                  <c:v>0.9</c:v>
                </c:pt>
                <c:pt idx="1">
                  <c:v>0</c:v>
                </c:pt>
                <c:pt idx="2">
                  <c:v>0</c:v>
                </c:pt>
                <c:pt idx="3">
                  <c:v>0</c:v>
                </c:pt>
              </c:numCache>
            </c:numRef>
          </c:val>
          <c:smooth val="0"/>
          <c:extLst>
            <c:ext xmlns:c16="http://schemas.microsoft.com/office/drawing/2014/chart" uri="{C3380CC4-5D6E-409C-BE32-E72D297353CC}">
              <c16:uniqueId val="{00000002-21A3-4BFA-BBB5-DF5B18E71016}"/>
            </c:ext>
          </c:extLst>
        </c:ser>
        <c:ser>
          <c:idx val="1"/>
          <c:order val="1"/>
          <c:tx>
            <c:strRef>
              <c:f>'2b. Charts by Priority'!$AY$72</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21A3-4BFA-BBB5-DF5B18E71016}"/>
            </c:ext>
          </c:extLst>
        </c:ser>
        <c:ser>
          <c:idx val="2"/>
          <c:order val="2"/>
          <c:tx>
            <c:strRef>
              <c:f>'2b. Charts by Priority'!$AY$73</c:f>
              <c:strCache>
                <c:ptCount val="1"/>
                <c:pt idx="0">
                  <c:v>Red</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'2b. Charts by Priority'!$AZ$70:$BC$70</c:f>
              <c:strCache>
                <c:ptCount val="4"/>
                <c:pt idx="0">
                  <c:v>Q1</c:v>
                </c:pt>
                <c:pt idx="1">
                  <c:v>Q2</c:v>
                </c:pt>
                <c:pt idx="2">
                  <c:v>Q3</c:v>
                </c:pt>
                <c:pt idx="3">
                  <c:v>Q4</c:v>
                </c:pt>
              </c:strCache>
            </c:strRef>
          </c:cat>
          <c:val>
            <c:numRef>
              <c:f>'2b. Charts by Priority'!$AZ$73:$BC$73</c:f>
              <c:numCache>
                <c:formatCode>0.00%</c:formatCode>
                <c:ptCount val="4"/>
                <c:pt idx="0">
                  <c:v>0.1</c:v>
                </c:pt>
                <c:pt idx="1">
                  <c:v>0</c:v>
                </c:pt>
                <c:pt idx="2">
                  <c:v>0</c:v>
                </c:pt>
                <c:pt idx="3">
                  <c:v>0</c:v>
                </c:pt>
              </c:numCache>
            </c:numRef>
          </c:val>
          <c:smooth val="0"/>
          <c:extLst>
            <c:ext xmlns:c16="http://schemas.microsoft.com/office/drawing/2014/chart" uri="{C3380CC4-5D6E-409C-BE32-E72D297353CC}">
              <c16:uniqueId val="{0000000C-21A3-4BFA-BBB5-DF5B18E71016}"/>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Protecting</a:t>
            </a:r>
            <a:r>
              <a:rPr lang="en-US" baseline="0"/>
              <a:t> our heritage </a:t>
            </a: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Priority'!$AZ$70</c:f>
              <c:strCache>
                <c:ptCount val="1"/>
                <c:pt idx="0">
                  <c:v>Q1</c:v>
                </c:pt>
              </c:strCache>
            </c:strRef>
          </c:tx>
          <c:cat>
            <c:strRef>
              <c:f>'2b. Charts by Priority'!$AY$71:$AY$73</c:f>
              <c:strCache>
                <c:ptCount val="3"/>
                <c:pt idx="0">
                  <c:v>Green</c:v>
                </c:pt>
                <c:pt idx="1">
                  <c:v>Amber</c:v>
                </c:pt>
                <c:pt idx="2">
                  <c:v>Red</c:v>
                </c:pt>
              </c:strCache>
            </c:strRef>
          </c:cat>
          <c:val>
            <c:numRef>
              <c:f>'2b. Charts by Priority'!$AZ$71:$AZ$73</c:f>
              <c:numCache>
                <c:formatCode>0.00%</c:formatCode>
                <c:ptCount val="3"/>
                <c:pt idx="0">
                  <c:v>0.9</c:v>
                </c:pt>
                <c:pt idx="1">
                  <c:v>0</c:v>
                </c:pt>
                <c:pt idx="2">
                  <c:v>0.1</c:v>
                </c:pt>
              </c:numCache>
            </c:numRef>
          </c:val>
          <c:extLst>
            <c:ext xmlns:c16="http://schemas.microsoft.com/office/drawing/2014/chart" uri="{C3380CC4-5D6E-409C-BE32-E72D297353CC}">
              <c16:uniqueId val="{00000006-A190-423B-8A49-D421E49B515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Priority'!$BA$70</c:f>
              <c:strCache>
                <c:ptCount val="1"/>
                <c:pt idx="0">
                  <c:v>Q2</c:v>
                </c:pt>
              </c:strCache>
            </c:strRef>
          </c:tx>
          <c:cat>
            <c:strRef>
              <c:f>'2b. Charts by Priority'!$AY$71:$AY$73</c:f>
              <c:strCache>
                <c:ptCount val="3"/>
                <c:pt idx="0">
                  <c:v>Green</c:v>
                </c:pt>
                <c:pt idx="1">
                  <c:v>Amber</c:v>
                </c:pt>
                <c:pt idx="2">
                  <c:v>Red</c:v>
                </c:pt>
              </c:strCache>
            </c:strRef>
          </c:cat>
          <c:val>
            <c:numRef>
              <c:f>'2b. Charts by Priority'!$BA$71:$BA$73</c:f>
              <c:numCache>
                <c:formatCode>0.00%</c:formatCode>
                <c:ptCount val="3"/>
                <c:pt idx="0">
                  <c:v>0</c:v>
                </c:pt>
                <c:pt idx="1">
                  <c:v>0</c:v>
                </c:pt>
                <c:pt idx="2">
                  <c:v>0</c:v>
                </c:pt>
              </c:numCache>
            </c:numRef>
          </c:val>
          <c:extLst>
            <c:ext xmlns:c16="http://schemas.microsoft.com/office/drawing/2014/chart" uri="{C3380CC4-5D6E-409C-BE32-E72D297353CC}">
              <c16:uniqueId val="{00000006-70BB-4E45-86EF-F55AC9481C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Priority'!$BB$70</c:f>
              <c:strCache>
                <c:ptCount val="1"/>
                <c:pt idx="0">
                  <c:v>Q3</c:v>
                </c:pt>
              </c:strCache>
            </c:strRef>
          </c:tx>
          <c:cat>
            <c:strRef>
              <c:f>'2b. Charts by Priority'!$AY$71:$AY$73</c:f>
              <c:strCache>
                <c:ptCount val="3"/>
                <c:pt idx="0">
                  <c:v>Green</c:v>
                </c:pt>
                <c:pt idx="1">
                  <c:v>Amber</c:v>
                </c:pt>
                <c:pt idx="2">
                  <c:v>Red</c:v>
                </c:pt>
              </c:strCache>
            </c:strRef>
          </c:cat>
          <c:val>
            <c:numRef>
              <c:f>'2b. Charts by Priority'!$BB$71:$BB$73</c:f>
              <c:numCache>
                <c:formatCode>0.00%</c:formatCode>
                <c:ptCount val="3"/>
                <c:pt idx="0">
                  <c:v>0</c:v>
                </c:pt>
                <c:pt idx="1">
                  <c:v>0</c:v>
                </c:pt>
                <c:pt idx="2">
                  <c:v>0</c:v>
                </c:pt>
              </c:numCache>
            </c:numRef>
          </c:val>
          <c:extLst>
            <c:ext xmlns:c16="http://schemas.microsoft.com/office/drawing/2014/chart" uri="{C3380CC4-5D6E-409C-BE32-E72D297353CC}">
              <c16:uniqueId val="{00000006-141D-40D7-B585-2CE41F6808D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Priority'!$BC$70</c:f>
              <c:strCache>
                <c:ptCount val="1"/>
                <c:pt idx="0">
                  <c:v>Q4</c:v>
                </c:pt>
              </c:strCache>
            </c:strRef>
          </c:tx>
          <c:cat>
            <c:strRef>
              <c:f>'2b. Charts by Priority'!$AY$71:$AY$73</c:f>
              <c:strCache>
                <c:ptCount val="3"/>
                <c:pt idx="0">
                  <c:v>Green</c:v>
                </c:pt>
                <c:pt idx="1">
                  <c:v>Amber</c:v>
                </c:pt>
                <c:pt idx="2">
                  <c:v>Red</c:v>
                </c:pt>
              </c:strCache>
            </c:strRef>
          </c:cat>
          <c:val>
            <c:numRef>
              <c:f>'2b. Charts by Priority'!$BC$71:$BC$73</c:f>
              <c:numCache>
                <c:formatCode>0.00%</c:formatCode>
                <c:ptCount val="3"/>
                <c:pt idx="0">
                  <c:v>0</c:v>
                </c:pt>
                <c:pt idx="1">
                  <c:v>0</c:v>
                </c:pt>
                <c:pt idx="2">
                  <c:v>0</c:v>
                </c:pt>
              </c:numCache>
            </c:numRef>
          </c:val>
          <c:extLst>
            <c:ext xmlns:c16="http://schemas.microsoft.com/office/drawing/2014/chart" uri="{C3380CC4-5D6E-409C-BE32-E72D297353CC}">
              <c16:uniqueId val="{00000006-C9DF-4E1B-BBB8-FBF2670D6A9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Standing up for our communities</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Priority'!$AY$86</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Priority'!$AZ$86:$BC$86</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B2CF-466E-A181-6E2E2E9B9E32}"/>
            </c:ext>
          </c:extLst>
        </c:ser>
        <c:ser>
          <c:idx val="1"/>
          <c:order val="1"/>
          <c:tx>
            <c:strRef>
              <c:f>'2b. Charts by Priority'!$AY$87</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Priority'!$AZ$87:$BC$87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B2CF-466E-A181-6E2E2E9B9E32}"/>
            </c:ext>
          </c:extLst>
        </c:ser>
        <c:ser>
          <c:idx val="2"/>
          <c:order val="2"/>
          <c:tx>
            <c:strRef>
              <c:f>'2b. Charts by Priority'!$AY$88</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B2CF-466E-A181-6E2E2E9B9E32}"/>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Standing up for our communities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Priority'!$AZ$85</c:f>
              <c:strCache>
                <c:ptCount val="1"/>
                <c:pt idx="0">
                  <c:v>Q1</c:v>
                </c:pt>
              </c:strCache>
            </c:strRef>
          </c:tx>
          <c:cat>
            <c:strRef>
              <c:f>'2b. Charts by Priority'!$AY$86:$AY$88</c:f>
              <c:strCache>
                <c:ptCount val="3"/>
                <c:pt idx="0">
                  <c:v>Green</c:v>
                </c:pt>
                <c:pt idx="1">
                  <c:v>Amber</c:v>
                </c:pt>
                <c:pt idx="2">
                  <c:v>Red</c:v>
                </c:pt>
              </c:strCache>
            </c:strRef>
          </c:cat>
          <c:val>
            <c:numRef>
              <c:f>'2b. Charts by Priority'!$AZ$86:$AZ$88</c:f>
              <c:numCache>
                <c:formatCode>0.00%</c:formatCode>
                <c:ptCount val="3"/>
                <c:pt idx="0">
                  <c:v>1</c:v>
                </c:pt>
                <c:pt idx="1">
                  <c:v>0</c:v>
                </c:pt>
                <c:pt idx="2">
                  <c:v>0</c:v>
                </c:pt>
              </c:numCache>
            </c:numRef>
          </c:val>
          <c:extLst>
            <c:ext xmlns:c16="http://schemas.microsoft.com/office/drawing/2014/chart" uri="{C3380CC4-5D6E-409C-BE32-E72D297353CC}">
              <c16:uniqueId val="{00000006-7939-4199-A1D4-BB2DDD834F4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Priority'!$BA$85</c:f>
              <c:strCache>
                <c:ptCount val="1"/>
                <c:pt idx="0">
                  <c:v>Q2</c:v>
                </c:pt>
              </c:strCache>
            </c:strRef>
          </c:tx>
          <c:cat>
            <c:strRef>
              <c:f>'2b. Charts by Priority'!$AY$86:$AY$88</c:f>
              <c:strCache>
                <c:ptCount val="3"/>
                <c:pt idx="0">
                  <c:v>Green</c:v>
                </c:pt>
                <c:pt idx="1">
                  <c:v>Amber</c:v>
                </c:pt>
                <c:pt idx="2">
                  <c:v>Red</c:v>
                </c:pt>
              </c:strCache>
            </c:strRef>
          </c:cat>
          <c:val>
            <c:numRef>
              <c:f>'2b. Charts by Priority'!$BA$86:$BA$88</c:f>
              <c:numCache>
                <c:formatCode>0.00%</c:formatCode>
                <c:ptCount val="3"/>
                <c:pt idx="0">
                  <c:v>0</c:v>
                </c:pt>
                <c:pt idx="1">
                  <c:v>0</c:v>
                </c:pt>
                <c:pt idx="2">
                  <c:v>0</c:v>
                </c:pt>
              </c:numCache>
            </c:numRef>
          </c:val>
          <c:extLst>
            <c:ext xmlns:c16="http://schemas.microsoft.com/office/drawing/2014/chart" uri="{C3380CC4-5D6E-409C-BE32-E72D297353CC}">
              <c16:uniqueId val="{00000006-A9FB-492F-9F6D-30EAD8AF660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Priority'!$BB$85</c:f>
              <c:strCache>
                <c:ptCount val="1"/>
                <c:pt idx="0">
                  <c:v>Q3</c:v>
                </c:pt>
              </c:strCache>
            </c:strRef>
          </c:tx>
          <c:cat>
            <c:strRef>
              <c:f>'2b. Charts by Priority'!$AY$86:$AY$88</c:f>
              <c:strCache>
                <c:ptCount val="3"/>
                <c:pt idx="0">
                  <c:v>Green</c:v>
                </c:pt>
                <c:pt idx="1">
                  <c:v>Amber</c:v>
                </c:pt>
                <c:pt idx="2">
                  <c:v>Red</c:v>
                </c:pt>
              </c:strCache>
            </c:strRef>
          </c:cat>
          <c:val>
            <c:numRef>
              <c:f>'2b. Charts by Priority'!$BB$86:$BB$88</c:f>
              <c:numCache>
                <c:formatCode>0.00%</c:formatCode>
                <c:ptCount val="3"/>
                <c:pt idx="0">
                  <c:v>0</c:v>
                </c:pt>
                <c:pt idx="1">
                  <c:v>0</c:v>
                </c:pt>
                <c:pt idx="2">
                  <c:v>0</c:v>
                </c:pt>
              </c:numCache>
            </c:numRef>
          </c:val>
          <c:extLst>
            <c:ext xmlns:c16="http://schemas.microsoft.com/office/drawing/2014/chart" uri="{C3380CC4-5D6E-409C-BE32-E72D297353CC}">
              <c16:uniqueId val="{00000006-6C93-48DE-BE3C-B82565B62E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Priority'!$BC$85</c:f>
              <c:strCache>
                <c:ptCount val="1"/>
                <c:pt idx="0">
                  <c:v>Q4</c:v>
                </c:pt>
              </c:strCache>
            </c:strRef>
          </c:tx>
          <c:cat>
            <c:strRef>
              <c:f>'2b. Charts by Priority'!$AY$86:$AY$88</c:f>
              <c:strCache>
                <c:ptCount val="3"/>
                <c:pt idx="0">
                  <c:v>Green</c:v>
                </c:pt>
                <c:pt idx="1">
                  <c:v>Amber</c:v>
                </c:pt>
                <c:pt idx="2">
                  <c:v>Red</c:v>
                </c:pt>
              </c:strCache>
            </c:strRef>
          </c:cat>
          <c:val>
            <c:numRef>
              <c:f>'2b. Charts by Priority'!$BC$86:$BC$88</c:f>
              <c:numCache>
                <c:formatCode>0.00%</c:formatCode>
                <c:ptCount val="3"/>
                <c:pt idx="0">
                  <c:v>0</c:v>
                </c:pt>
                <c:pt idx="1">
                  <c:v>0</c:v>
                </c:pt>
                <c:pt idx="2">
                  <c:v>0</c:v>
                </c:pt>
              </c:numCache>
            </c:numRef>
          </c:val>
          <c:extLst>
            <c:ext xmlns:c16="http://schemas.microsoft.com/office/drawing/2014/chart" uri="{C3380CC4-5D6E-409C-BE32-E72D297353CC}">
              <c16:uniqueId val="{00000006-44DC-4A7C-8B55-3194D233DA9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Communities and Regulatory</a:t>
            </a:r>
            <a:r>
              <a:rPr lang="en-US" sz="1200" u="sng" baseline="0">
                <a:latin typeface="Arial" pitchFamily="34" charset="0"/>
                <a:cs typeface="Arial" pitchFamily="34" charset="0"/>
              </a:rPr>
              <a:t> Services</a:t>
            </a:r>
            <a:endParaRPr lang="en-US"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and Climate Change</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Finance and Treasury Management</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0.88888888888888884</c:v>
                </c:pt>
                <c:pt idx="1">
                  <c:v>0</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0.1111111111111111</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Leader</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sng" baseline="0">
                <a:effectLst/>
              </a:rPr>
              <a:t>Communities and Regulatory Services</a:t>
            </a:r>
            <a:endParaRPr lang="en-GB">
              <a:effectLst/>
            </a:endParaRPr>
          </a:p>
          <a:p>
            <a:pPr>
              <a:defRPr lang="en-US" u="none"/>
            </a:pPr>
            <a:r>
              <a:rPr lang="en-US" u="none"/>
              <a:t>- Quarter 1</a:t>
            </a:r>
          </a:p>
        </c:rich>
      </c:tx>
      <c:layout>
        <c:manualLayout>
          <c:xMode val="edge"/>
          <c:yMode val="edge"/>
          <c:x val="0.14580677415323084"/>
          <c:y val="2.7894002789400279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1</c:v>
                </c:pt>
                <c:pt idx="1">
                  <c:v>0</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Environment and Climate Change</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0.88888888888888884</c:v>
                </c:pt>
                <c:pt idx="1">
                  <c:v>0</c:v>
                </c:pt>
                <c:pt idx="2">
                  <c:v>0.1111111111111111</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Communities and Regulatory Services</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c:v>
                </c:pt>
                <c:pt idx="1">
                  <c:v>0</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Finance and Treasury Management</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Regeneration and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0.89473684210526305</c:v>
                </c:pt>
                <c:pt idx="1">
                  <c:v>0</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5.2631578947368418E-2</c:v>
                </c:pt>
                <c:pt idx="1">
                  <c:v>0</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5.2631578947368418E-2</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Regeneration and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0.89473684210526305</c:v>
                </c:pt>
                <c:pt idx="1">
                  <c:v>5.2631578947368418E-2</c:v>
                </c:pt>
                <c:pt idx="2">
                  <c:v>5.2631578947368418E-2</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c:v>
                </c:pt>
                <c:pt idx="1">
                  <c:v>0</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 Cultural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Portfolio'!$AY$87</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Portfolio'!$AZ$87:$BC$87</c:f>
              <c:numCache>
                <c:formatCode>0.00%</c:formatCode>
                <c:ptCount val="4"/>
                <c:pt idx="0">
                  <c:v>0.92857142857142849</c:v>
                </c:pt>
                <c:pt idx="1">
                  <c:v>0</c:v>
                </c:pt>
                <c:pt idx="2">
                  <c:v>0</c:v>
                </c:pt>
                <c:pt idx="3">
                  <c:v>0</c:v>
                </c:pt>
              </c:numCache>
            </c:numRef>
          </c:val>
          <c:smooth val="0"/>
          <c:extLst>
            <c:ext xmlns:c16="http://schemas.microsoft.com/office/drawing/2014/chart" uri="{C3380CC4-5D6E-409C-BE32-E72D297353CC}">
              <c16:uniqueId val="{00000002-8247-40C9-A0BA-4E3E90F6C197}"/>
            </c:ext>
          </c:extLst>
        </c:ser>
        <c:ser>
          <c:idx val="1"/>
          <c:order val="1"/>
          <c:tx>
            <c:strRef>
              <c:f>'3b. Charts by Portfolio'!$AY$88</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8247-40C9-A0BA-4E3E90F6C197}"/>
            </c:ext>
          </c:extLst>
        </c:ser>
        <c:ser>
          <c:idx val="2"/>
          <c:order val="2"/>
          <c:tx>
            <c:strRef>
              <c:f>'3b. Charts by Portfolio'!$AY$89</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Portfolio'!$AZ$89:$BC$89</c:f>
              <c:numCache>
                <c:formatCode>0.00%</c:formatCode>
                <c:ptCount val="4"/>
                <c:pt idx="0">
                  <c:v>7.1428571428571425E-2</c:v>
                </c:pt>
                <c:pt idx="1">
                  <c:v>0</c:v>
                </c:pt>
                <c:pt idx="2">
                  <c:v>0</c:v>
                </c:pt>
                <c:pt idx="3">
                  <c:v>0</c:v>
                </c:pt>
              </c:numCache>
            </c:numRef>
          </c:val>
          <c:smooth val="0"/>
          <c:extLst>
            <c:ext xmlns:c16="http://schemas.microsoft.com/office/drawing/2014/chart" uri="{C3380CC4-5D6E-409C-BE32-E72D297353CC}">
              <c16:uniqueId val="{0000000B-8247-40C9-A0BA-4E3E90F6C197}"/>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Portfolio'!$AZ$86</c:f>
              <c:strCache>
                <c:ptCount val="1"/>
                <c:pt idx="0">
                  <c:v>Q1</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Portfolio'!$AZ$87:$AZ$89</c:f>
              <c:numCache>
                <c:formatCode>0.00%</c:formatCode>
                <c:ptCount val="3"/>
                <c:pt idx="0">
                  <c:v>0.92857142857142849</c:v>
                </c:pt>
                <c:pt idx="1">
                  <c:v>0</c:v>
                </c:pt>
                <c:pt idx="2">
                  <c:v>7.1428571428571425E-2</c:v>
                </c:pt>
              </c:numCache>
            </c:numRef>
          </c:val>
          <c:extLst>
            <c:ext xmlns:c16="http://schemas.microsoft.com/office/drawing/2014/chart" uri="{C3380CC4-5D6E-409C-BE32-E72D297353CC}">
              <c16:uniqueId val="{00000006-604B-49FA-AE84-9D9B6FBC40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Portfolio'!$BA$86</c:f>
              <c:strCache>
                <c:ptCount val="1"/>
                <c:pt idx="0">
                  <c:v>Q2</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Portfolio'!$BA$87:$BA$89</c:f>
              <c:numCache>
                <c:formatCode>0.00%</c:formatCode>
                <c:ptCount val="3"/>
                <c:pt idx="0">
                  <c:v>0</c:v>
                </c:pt>
                <c:pt idx="1">
                  <c:v>0</c:v>
                </c:pt>
                <c:pt idx="2">
                  <c:v>0</c:v>
                </c:pt>
              </c:numCache>
            </c:numRef>
          </c:val>
          <c:extLst>
            <c:ext xmlns:c16="http://schemas.microsoft.com/office/drawing/2014/chart" uri="{C3380CC4-5D6E-409C-BE32-E72D297353CC}">
              <c16:uniqueId val="{00000006-0894-4CAA-91CB-5A922F916EA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Portfolio'!$BB$86</c:f>
              <c:strCache>
                <c:ptCount val="1"/>
                <c:pt idx="0">
                  <c:v>Q3</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Portfolio'!$BB$87:$BB$89</c:f>
              <c:numCache>
                <c:formatCode>0.00%</c:formatCode>
                <c:ptCount val="3"/>
                <c:pt idx="0">
                  <c:v>0</c:v>
                </c:pt>
                <c:pt idx="1">
                  <c:v>0</c:v>
                </c:pt>
                <c:pt idx="2">
                  <c:v>0</c:v>
                </c:pt>
              </c:numCache>
            </c:numRef>
          </c:val>
          <c:extLst>
            <c:ext xmlns:c16="http://schemas.microsoft.com/office/drawing/2014/chart" uri="{C3380CC4-5D6E-409C-BE32-E72D297353CC}">
              <c16:uniqueId val="{00000006-01FE-4390-9DD7-EEC751DF31A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Portfolio'!$BC$86</c:f>
              <c:strCache>
                <c:ptCount val="1"/>
                <c:pt idx="0">
                  <c:v>Q4</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Portfolio'!$BC$87:$BC$89</c:f>
              <c:numCache>
                <c:formatCode>0.00%</c:formatCode>
                <c:ptCount val="3"/>
                <c:pt idx="0">
                  <c:v>0</c:v>
                </c:pt>
                <c:pt idx="1">
                  <c:v>0</c:v>
                </c:pt>
                <c:pt idx="2">
                  <c:v>0</c:v>
                </c:pt>
              </c:numCache>
            </c:numRef>
          </c:val>
          <c:extLst>
            <c:ext xmlns:c16="http://schemas.microsoft.com/office/drawing/2014/chart" uri="{C3380CC4-5D6E-409C-BE32-E72D297353CC}">
              <c16:uniqueId val="{00000006-10A0-4B04-BEF0-D1A127628F3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195944</xdr:colOff>
      <xdr:row>0</xdr:row>
      <xdr:rowOff>0</xdr:rowOff>
    </xdr:from>
    <xdr:to>
      <xdr:col>0</xdr:col>
      <xdr:colOff>903515</xdr:colOff>
      <xdr:row>0</xdr:row>
      <xdr:rowOff>396853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4" y="0"/>
          <a:ext cx="707571" cy="396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173355</xdr:rowOff>
    </xdr:to>
    <xdr:graphicFrame macro="">
      <xdr:nvGraphicFramePr>
        <xdr:cNvPr id="23" name="Chart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84</xdr:row>
      <xdr:rowOff>0</xdr:rowOff>
    </xdr:from>
    <xdr:to>
      <xdr:col>8</xdr:col>
      <xdr:colOff>600074</xdr:colOff>
      <xdr:row>98</xdr:row>
      <xdr:rowOff>180975</xdr:rowOff>
    </xdr:to>
    <xdr:graphicFrame macro="">
      <xdr:nvGraphicFramePr>
        <xdr:cNvPr id="27" name="Chart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173355</xdr:rowOff>
    </xdr:to>
    <xdr:graphicFrame macro="">
      <xdr:nvGraphicFramePr>
        <xdr:cNvPr id="28" name="Chart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29" name="Chart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1" name="Chart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220980</xdr:colOff>
      <xdr:row>84</xdr:row>
      <xdr:rowOff>53340</xdr:rowOff>
    </xdr:from>
    <xdr:to>
      <xdr:col>8</xdr:col>
      <xdr:colOff>584834</xdr:colOff>
      <xdr:row>99</xdr:row>
      <xdr:rowOff>51435</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180975</xdr:rowOff>
    </xdr:to>
    <xdr:graphicFrame macro="">
      <xdr:nvGraphicFramePr>
        <xdr:cNvPr id="29" name="Chart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30" name="Chart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26"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K179"/>
  <sheetViews>
    <sheetView tabSelected="1" zoomScale="80" zoomScaleNormal="80" zoomScaleSheetLayoutView="80" workbookViewId="0">
      <pane xSplit="5" ySplit="2" topLeftCell="F42" activePane="bottomRight" state="frozen"/>
      <selection pane="topRight" activeCell="F1" sqref="F1"/>
      <selection pane="bottomLeft" activeCell="A3" sqref="A3"/>
      <selection pane="bottomRight" activeCell="I136" sqref="I136"/>
    </sheetView>
  </sheetViews>
  <sheetFormatPr defaultColWidth="9.33203125" defaultRowHeight="97.95" customHeight="1"/>
  <cols>
    <col min="1" max="1" width="20.44140625" style="262" customWidth="1"/>
    <col min="2" max="2" width="6.6640625" style="230" customWidth="1"/>
    <col min="3" max="3" width="19.33203125" style="229" customWidth="1"/>
    <col min="4" max="4" width="31.88671875" style="229" customWidth="1"/>
    <col min="5" max="5" width="18.6640625" style="239" bestFit="1" customWidth="1"/>
    <col min="6" max="6" width="73" style="276" customWidth="1"/>
    <col min="7" max="7" width="22.109375" style="276" bestFit="1" customWidth="1"/>
    <col min="8" max="8" width="18.5546875" style="277" customWidth="1"/>
    <col min="9" max="9" width="31.33203125" style="238" customWidth="1"/>
    <col min="10" max="10" width="56.33203125" style="238" hidden="1" customWidth="1"/>
    <col min="11" max="12" width="18.44140625" style="238" hidden="1" customWidth="1"/>
    <col min="13" max="13" width="18.5546875" style="238" hidden="1" customWidth="1"/>
    <col min="14" max="14" width="38.44140625" style="238" hidden="1" customWidth="1"/>
    <col min="15" max="15" width="57.6640625" style="238" hidden="1" customWidth="1"/>
    <col min="16" max="16" width="18.44140625" style="238" hidden="1" customWidth="1"/>
    <col min="17" max="18" width="18.5546875" style="238" hidden="1" customWidth="1"/>
    <col min="19" max="19" width="32.6640625" style="238" hidden="1" customWidth="1"/>
    <col min="20" max="20" width="62.6640625" style="238" hidden="1" customWidth="1"/>
    <col min="21" max="22" width="18.5546875" style="238" hidden="1" customWidth="1"/>
    <col min="23" max="23" width="43" style="238" hidden="1" customWidth="1"/>
    <col min="24" max="24" width="8.33203125" style="230" hidden="1" customWidth="1"/>
    <col min="25" max="25" width="19.5546875" style="229" hidden="1" customWidth="1"/>
    <col min="26" max="27" width="20.44140625" style="262" hidden="1" customWidth="1"/>
    <col min="28" max="28" width="19.5546875" style="229" hidden="1" customWidth="1"/>
    <col min="29" max="35" width="19.5546875" style="238" hidden="1" customWidth="1"/>
    <col min="36" max="36" width="14.6640625" style="277" hidden="1" customWidth="1"/>
    <col min="37" max="37" width="36.6640625" style="295" hidden="1" customWidth="1"/>
    <col min="38" max="16384" width="9.33203125" style="295"/>
  </cols>
  <sheetData>
    <row r="1" spans="1:37" s="290" customFormat="1" ht="33.6" customHeight="1">
      <c r="A1" s="265"/>
      <c r="B1" s="265" t="s">
        <v>399</v>
      </c>
      <c r="C1" s="266"/>
      <c r="D1" s="266"/>
      <c r="E1" s="267"/>
      <c r="F1" s="389" t="s">
        <v>401</v>
      </c>
      <c r="G1" s="389"/>
      <c r="H1" s="389"/>
      <c r="I1" s="389"/>
      <c r="J1" s="390" t="s">
        <v>76</v>
      </c>
      <c r="K1" s="390"/>
      <c r="L1" s="390"/>
      <c r="M1" s="390"/>
      <c r="N1" s="390"/>
      <c r="O1" s="390" t="s">
        <v>78</v>
      </c>
      <c r="P1" s="390"/>
      <c r="Q1" s="390"/>
      <c r="R1" s="390"/>
      <c r="S1" s="390"/>
      <c r="T1" s="390" t="s">
        <v>80</v>
      </c>
      <c r="U1" s="390"/>
      <c r="V1" s="390"/>
      <c r="W1" s="390"/>
      <c r="X1" s="268"/>
      <c r="Y1" s="266"/>
      <c r="Z1" s="269"/>
      <c r="AA1" s="269"/>
      <c r="AB1" s="266"/>
      <c r="AC1" s="391" t="s">
        <v>131</v>
      </c>
      <c r="AD1" s="392"/>
      <c r="AE1" s="393"/>
      <c r="AF1" s="386" t="s">
        <v>131</v>
      </c>
      <c r="AG1" s="387"/>
      <c r="AH1" s="387"/>
      <c r="AI1" s="388"/>
      <c r="AJ1" s="289"/>
      <c r="AK1" s="377"/>
    </row>
    <row r="2" spans="1:37" s="292" customFormat="1" ht="61.95" customHeight="1" thickBot="1">
      <c r="A2" s="260" t="s">
        <v>11</v>
      </c>
      <c r="B2" s="258" t="s">
        <v>93</v>
      </c>
      <c r="C2" s="258" t="s">
        <v>119</v>
      </c>
      <c r="D2" s="258" t="s">
        <v>400</v>
      </c>
      <c r="E2" s="259" t="s">
        <v>12</v>
      </c>
      <c r="F2" s="288" t="s">
        <v>402</v>
      </c>
      <c r="G2" s="288" t="s">
        <v>96</v>
      </c>
      <c r="H2" s="288" t="s">
        <v>13</v>
      </c>
      <c r="I2" s="288" t="s">
        <v>14</v>
      </c>
      <c r="J2" s="271" t="s">
        <v>75</v>
      </c>
      <c r="K2" s="271" t="s">
        <v>97</v>
      </c>
      <c r="L2" s="271" t="s">
        <v>98</v>
      </c>
      <c r="M2" s="271" t="s">
        <v>30</v>
      </c>
      <c r="N2" s="271" t="s">
        <v>31</v>
      </c>
      <c r="O2" s="271" t="s">
        <v>77</v>
      </c>
      <c r="P2" s="271" t="s">
        <v>99</v>
      </c>
      <c r="Q2" s="271" t="s">
        <v>100</v>
      </c>
      <c r="R2" s="271" t="s">
        <v>32</v>
      </c>
      <c r="S2" s="271" t="s">
        <v>33</v>
      </c>
      <c r="T2" s="271" t="s">
        <v>79</v>
      </c>
      <c r="U2" s="271" t="s">
        <v>101</v>
      </c>
      <c r="V2" s="271" t="s">
        <v>73</v>
      </c>
      <c r="W2" s="271" t="s">
        <v>34</v>
      </c>
      <c r="X2" s="231" t="s">
        <v>5</v>
      </c>
      <c r="Y2" s="260" t="s">
        <v>4</v>
      </c>
      <c r="Z2" s="260" t="s">
        <v>10</v>
      </c>
      <c r="AA2" s="260" t="s">
        <v>56</v>
      </c>
      <c r="AB2" s="259" t="s">
        <v>3</v>
      </c>
      <c r="AC2" s="315"/>
      <c r="AD2" s="316" t="s">
        <v>142</v>
      </c>
      <c r="AE2" s="316"/>
      <c r="AF2" s="320" t="s">
        <v>143</v>
      </c>
      <c r="AG2" s="320" t="s">
        <v>141</v>
      </c>
      <c r="AH2" s="320" t="s">
        <v>116</v>
      </c>
      <c r="AI2" s="320" t="s">
        <v>137</v>
      </c>
      <c r="AJ2" s="291" t="s">
        <v>102</v>
      </c>
      <c r="AK2" s="379" t="s">
        <v>520</v>
      </c>
    </row>
    <row r="3" spans="1:37" ht="73.2" hidden="1" customHeight="1" thickTop="1" thickBot="1">
      <c r="A3" s="327" t="s">
        <v>90</v>
      </c>
      <c r="B3" s="321" t="s">
        <v>145</v>
      </c>
      <c r="C3" s="322" t="s">
        <v>146</v>
      </c>
      <c r="D3" s="323" t="s">
        <v>147</v>
      </c>
      <c r="E3" s="329">
        <v>45717</v>
      </c>
      <c r="F3" s="273" t="s">
        <v>443</v>
      </c>
      <c r="G3" s="273"/>
      <c r="H3" s="252" t="s">
        <v>25</v>
      </c>
      <c r="I3" s="236"/>
      <c r="J3" s="243"/>
      <c r="K3" s="243"/>
      <c r="L3" s="244"/>
      <c r="M3" s="252"/>
      <c r="N3" s="236"/>
      <c r="O3" s="293"/>
      <c r="P3" s="293"/>
      <c r="Q3" s="294"/>
      <c r="R3" s="252"/>
      <c r="S3" s="236"/>
      <c r="T3" s="243"/>
      <c r="U3" s="244"/>
      <c r="V3" s="242"/>
      <c r="W3" s="236"/>
      <c r="X3" s="232">
        <v>1</v>
      </c>
      <c r="Y3" s="261" t="s">
        <v>388</v>
      </c>
      <c r="Z3" s="261" t="s">
        <v>428</v>
      </c>
      <c r="AA3" s="261" t="s">
        <v>126</v>
      </c>
      <c r="AB3" s="281" t="s">
        <v>117</v>
      </c>
      <c r="AC3" s="317" t="s">
        <v>116</v>
      </c>
      <c r="AD3" s="317" t="s">
        <v>137</v>
      </c>
      <c r="AE3" s="317"/>
      <c r="AF3" s="319"/>
      <c r="AG3" s="319"/>
      <c r="AH3" s="319" t="s">
        <v>144</v>
      </c>
      <c r="AI3" s="319" t="s">
        <v>144</v>
      </c>
      <c r="AJ3" s="295">
        <v>1</v>
      </c>
      <c r="AK3" s="380"/>
    </row>
    <row r="4" spans="1:37" ht="73.2" hidden="1" customHeight="1" thickTop="1" thickBot="1">
      <c r="A4" s="328" t="s">
        <v>86</v>
      </c>
      <c r="B4" s="321" t="s">
        <v>148</v>
      </c>
      <c r="C4" s="324" t="s">
        <v>149</v>
      </c>
      <c r="D4" s="323" t="s">
        <v>150</v>
      </c>
      <c r="E4" s="329">
        <v>45474</v>
      </c>
      <c r="F4" s="273" t="s">
        <v>451</v>
      </c>
      <c r="G4" s="273"/>
      <c r="H4" s="252" t="s">
        <v>25</v>
      </c>
      <c r="I4" s="236"/>
      <c r="J4" s="243"/>
      <c r="K4" s="243"/>
      <c r="L4" s="244"/>
      <c r="M4" s="252"/>
      <c r="N4" s="236"/>
      <c r="O4" s="293"/>
      <c r="P4" s="293"/>
      <c r="Q4" s="294"/>
      <c r="R4" s="252"/>
      <c r="S4" s="236"/>
      <c r="T4" s="243"/>
      <c r="U4" s="244"/>
      <c r="V4" s="242"/>
      <c r="W4" s="236"/>
      <c r="X4" s="232">
        <v>1</v>
      </c>
      <c r="Y4" s="261" t="s">
        <v>389</v>
      </c>
      <c r="Z4" s="261" t="s">
        <v>419</v>
      </c>
      <c r="AA4" s="261" t="s">
        <v>126</v>
      </c>
      <c r="AB4" s="282" t="s">
        <v>95</v>
      </c>
      <c r="AC4" s="317" t="s">
        <v>137</v>
      </c>
      <c r="AD4" s="317"/>
      <c r="AE4" s="317"/>
      <c r="AF4" s="319"/>
      <c r="AG4" s="319"/>
      <c r="AH4" s="319"/>
      <c r="AI4" s="319" t="s">
        <v>144</v>
      </c>
      <c r="AJ4" s="295">
        <v>2</v>
      </c>
      <c r="AK4" s="380"/>
    </row>
    <row r="5" spans="1:37" ht="73.2" hidden="1" customHeight="1" thickTop="1" thickBot="1">
      <c r="A5" s="327" t="s">
        <v>88</v>
      </c>
      <c r="B5" s="321" t="s">
        <v>151</v>
      </c>
      <c r="C5" s="322" t="s">
        <v>152</v>
      </c>
      <c r="D5" s="323" t="s">
        <v>153</v>
      </c>
      <c r="E5" s="329">
        <v>45413</v>
      </c>
      <c r="F5" s="273" t="s">
        <v>475</v>
      </c>
      <c r="G5" s="273"/>
      <c r="H5" s="252" t="s">
        <v>20</v>
      </c>
      <c r="I5" s="236"/>
      <c r="J5" s="273"/>
      <c r="K5" s="243"/>
      <c r="L5" s="244"/>
      <c r="M5" s="252"/>
      <c r="N5" s="236"/>
      <c r="O5" s="293"/>
      <c r="P5" s="293"/>
      <c r="Q5" s="294"/>
      <c r="R5" s="252"/>
      <c r="S5" s="236"/>
      <c r="T5" s="243"/>
      <c r="U5" s="244"/>
      <c r="V5" s="242"/>
      <c r="W5" s="236"/>
      <c r="X5" s="232">
        <v>1</v>
      </c>
      <c r="Y5" s="261" t="s">
        <v>116</v>
      </c>
      <c r="Z5" s="261" t="s">
        <v>421</v>
      </c>
      <c r="AA5" s="261" t="s">
        <v>126</v>
      </c>
      <c r="AB5" s="282" t="s">
        <v>116</v>
      </c>
      <c r="AC5" s="317" t="s">
        <v>137</v>
      </c>
      <c r="AD5" s="317"/>
      <c r="AE5" s="317"/>
      <c r="AF5" s="319"/>
      <c r="AG5" s="319"/>
      <c r="AH5" s="319"/>
      <c r="AI5" s="319" t="s">
        <v>144</v>
      </c>
      <c r="AJ5" s="295">
        <v>3</v>
      </c>
      <c r="AK5" s="380"/>
    </row>
    <row r="6" spans="1:37" ht="97.2" hidden="1" customHeight="1" thickTop="1" thickBot="1">
      <c r="A6" s="328" t="s">
        <v>381</v>
      </c>
      <c r="B6" s="321" t="s">
        <v>154</v>
      </c>
      <c r="C6" s="322" t="s">
        <v>112</v>
      </c>
      <c r="D6" s="323" t="s">
        <v>113</v>
      </c>
      <c r="E6" s="329">
        <v>45689</v>
      </c>
      <c r="F6" s="273"/>
      <c r="G6" s="273"/>
      <c r="H6" s="252" t="s">
        <v>29</v>
      </c>
      <c r="I6" s="236"/>
      <c r="J6" s="240"/>
      <c r="K6" s="240"/>
      <c r="L6" s="241"/>
      <c r="M6" s="252"/>
      <c r="N6" s="237"/>
      <c r="O6" s="293"/>
      <c r="P6" s="293"/>
      <c r="Q6" s="294"/>
      <c r="R6" s="252"/>
      <c r="S6" s="237"/>
      <c r="T6" s="240"/>
      <c r="U6" s="241"/>
      <c r="V6" s="242"/>
      <c r="W6" s="237"/>
      <c r="X6" s="232">
        <v>1</v>
      </c>
      <c r="Y6" s="261" t="s">
        <v>390</v>
      </c>
      <c r="Z6" s="261" t="s">
        <v>412</v>
      </c>
      <c r="AA6" s="261" t="s">
        <v>126</v>
      </c>
      <c r="AB6" s="282" t="s">
        <v>118</v>
      </c>
      <c r="AC6" s="317" t="s">
        <v>137</v>
      </c>
      <c r="AD6" s="317"/>
      <c r="AE6" s="317"/>
      <c r="AF6" s="319"/>
      <c r="AG6" s="319"/>
      <c r="AH6" s="319"/>
      <c r="AI6" s="319" t="s">
        <v>144</v>
      </c>
      <c r="AJ6" s="295">
        <v>4</v>
      </c>
      <c r="AK6" s="380"/>
    </row>
    <row r="7" spans="1:37" ht="73.2" hidden="1" customHeight="1" thickTop="1" thickBot="1">
      <c r="A7" s="328" t="s">
        <v>381</v>
      </c>
      <c r="B7" s="321" t="s">
        <v>155</v>
      </c>
      <c r="C7" s="322" t="s">
        <v>112</v>
      </c>
      <c r="D7" s="325" t="s">
        <v>114</v>
      </c>
      <c r="E7" s="329">
        <v>45689</v>
      </c>
      <c r="F7" s="273"/>
      <c r="G7" s="273"/>
      <c r="H7" s="252" t="s">
        <v>29</v>
      </c>
      <c r="I7" s="236"/>
      <c r="J7" s="240"/>
      <c r="K7" s="240"/>
      <c r="L7" s="241"/>
      <c r="M7" s="252"/>
      <c r="N7" s="237"/>
      <c r="O7" s="293"/>
      <c r="P7" s="293"/>
      <c r="Q7" s="294"/>
      <c r="R7" s="252"/>
      <c r="S7" s="237"/>
      <c r="T7" s="240"/>
      <c r="U7" s="241"/>
      <c r="V7" s="242"/>
      <c r="W7" s="237"/>
      <c r="X7" s="232">
        <v>1</v>
      </c>
      <c r="Y7" s="261" t="s">
        <v>390</v>
      </c>
      <c r="Z7" s="261" t="s">
        <v>412</v>
      </c>
      <c r="AA7" s="261" t="s">
        <v>126</v>
      </c>
      <c r="AB7" s="282" t="s">
        <v>118</v>
      </c>
      <c r="AC7" s="317" t="s">
        <v>137</v>
      </c>
      <c r="AD7" s="317"/>
      <c r="AE7" s="317"/>
      <c r="AF7" s="319"/>
      <c r="AG7" s="319"/>
      <c r="AH7" s="319"/>
      <c r="AI7" s="319" t="s">
        <v>144</v>
      </c>
      <c r="AJ7" s="295">
        <v>5</v>
      </c>
      <c r="AK7" s="380"/>
    </row>
    <row r="8" spans="1:37" ht="73.2" hidden="1" customHeight="1" thickTop="1" thickBot="1">
      <c r="A8" s="328" t="s">
        <v>381</v>
      </c>
      <c r="B8" s="321" t="s">
        <v>156</v>
      </c>
      <c r="C8" s="322" t="s">
        <v>112</v>
      </c>
      <c r="D8" s="323" t="s">
        <v>157</v>
      </c>
      <c r="E8" s="329">
        <v>45689</v>
      </c>
      <c r="F8" s="273"/>
      <c r="G8" s="382">
        <v>0.5</v>
      </c>
      <c r="H8" s="252" t="s">
        <v>25</v>
      </c>
      <c r="I8" s="236"/>
      <c r="J8" s="240"/>
      <c r="K8" s="243"/>
      <c r="L8" s="244"/>
      <c r="M8" s="252"/>
      <c r="N8" s="237"/>
      <c r="O8" s="293"/>
      <c r="P8" s="293"/>
      <c r="Q8" s="294"/>
      <c r="R8" s="252"/>
      <c r="S8" s="237"/>
      <c r="T8" s="240"/>
      <c r="U8" s="241"/>
      <c r="V8" s="242"/>
      <c r="W8" s="237"/>
      <c r="X8" s="232">
        <v>1</v>
      </c>
      <c r="Y8" s="261" t="s">
        <v>390</v>
      </c>
      <c r="Z8" s="261" t="s">
        <v>412</v>
      </c>
      <c r="AA8" s="261" t="s">
        <v>126</v>
      </c>
      <c r="AB8" s="282" t="s">
        <v>118</v>
      </c>
      <c r="AC8" s="317" t="s">
        <v>137</v>
      </c>
      <c r="AD8" s="317"/>
      <c r="AE8" s="317"/>
      <c r="AF8" s="319"/>
      <c r="AG8" s="319"/>
      <c r="AH8" s="319"/>
      <c r="AI8" s="319" t="s">
        <v>144</v>
      </c>
      <c r="AJ8" s="295">
        <v>6</v>
      </c>
      <c r="AK8" s="380"/>
    </row>
    <row r="9" spans="1:37" ht="73.2" hidden="1" customHeight="1" thickTop="1" thickBot="1">
      <c r="A9" s="328" t="s">
        <v>381</v>
      </c>
      <c r="B9" s="321" t="s">
        <v>158</v>
      </c>
      <c r="C9" s="322" t="s">
        <v>112</v>
      </c>
      <c r="D9" s="323" t="s">
        <v>159</v>
      </c>
      <c r="E9" s="329">
        <v>45717</v>
      </c>
      <c r="F9" s="382">
        <v>0.12</v>
      </c>
      <c r="G9" s="273" t="s">
        <v>516</v>
      </c>
      <c r="H9" s="252" t="s">
        <v>25</v>
      </c>
      <c r="I9" s="236"/>
      <c r="J9" s="248"/>
      <c r="K9" s="243"/>
      <c r="L9" s="244"/>
      <c r="M9" s="252"/>
      <c r="N9" s="236"/>
      <c r="O9" s="293"/>
      <c r="P9" s="293"/>
      <c r="Q9" s="294"/>
      <c r="R9" s="252"/>
      <c r="S9" s="236"/>
      <c r="T9" s="248"/>
      <c r="U9" s="244"/>
      <c r="V9" s="242"/>
      <c r="W9" s="236"/>
      <c r="X9" s="232">
        <v>1</v>
      </c>
      <c r="Y9" s="261" t="s">
        <v>390</v>
      </c>
      <c r="Z9" s="261" t="s">
        <v>412</v>
      </c>
      <c r="AA9" s="261" t="s">
        <v>126</v>
      </c>
      <c r="AB9" s="283" t="s">
        <v>118</v>
      </c>
      <c r="AC9" s="317" t="s">
        <v>141</v>
      </c>
      <c r="AD9" s="317"/>
      <c r="AE9" s="317"/>
      <c r="AF9" s="319"/>
      <c r="AG9" s="319" t="s">
        <v>144</v>
      </c>
      <c r="AH9" s="319"/>
      <c r="AI9" s="319"/>
      <c r="AJ9" s="295">
        <v>7</v>
      </c>
      <c r="AK9" s="380"/>
    </row>
    <row r="10" spans="1:37" ht="73.2" hidden="1" customHeight="1" thickTop="1" thickBot="1">
      <c r="A10" s="328" t="s">
        <v>381</v>
      </c>
      <c r="B10" s="321" t="s">
        <v>160</v>
      </c>
      <c r="C10" s="322" t="s">
        <v>112</v>
      </c>
      <c r="D10" s="323" t="s">
        <v>161</v>
      </c>
      <c r="E10" s="329">
        <v>45717</v>
      </c>
      <c r="F10" s="382">
        <v>0.11</v>
      </c>
      <c r="G10" s="273" t="s">
        <v>517</v>
      </c>
      <c r="H10" s="252" t="s">
        <v>25</v>
      </c>
      <c r="I10" s="244"/>
      <c r="J10" s="243"/>
      <c r="K10" s="244"/>
      <c r="L10" s="244"/>
      <c r="M10" s="252"/>
      <c r="N10" s="236"/>
      <c r="O10" s="293"/>
      <c r="P10" s="293"/>
      <c r="Q10" s="294"/>
      <c r="R10" s="252"/>
      <c r="S10" s="236"/>
      <c r="T10" s="243"/>
      <c r="U10" s="244"/>
      <c r="V10" s="242"/>
      <c r="W10" s="236"/>
      <c r="X10" s="232">
        <v>1</v>
      </c>
      <c r="Y10" s="261" t="s">
        <v>390</v>
      </c>
      <c r="Z10" s="261" t="s">
        <v>412</v>
      </c>
      <c r="AA10" s="261" t="s">
        <v>126</v>
      </c>
      <c r="AB10" s="283" t="s">
        <v>118</v>
      </c>
      <c r="AC10" s="317" t="s">
        <v>141</v>
      </c>
      <c r="AD10" s="317"/>
      <c r="AE10" s="317"/>
      <c r="AF10" s="319"/>
      <c r="AG10" s="319" t="s">
        <v>144</v>
      </c>
      <c r="AH10" s="319"/>
      <c r="AI10" s="319"/>
      <c r="AJ10" s="295">
        <v>8</v>
      </c>
      <c r="AK10" s="380"/>
    </row>
    <row r="11" spans="1:37" ht="73.2" hidden="1" customHeight="1" thickTop="1" thickBot="1">
      <c r="A11" s="328" t="s">
        <v>381</v>
      </c>
      <c r="B11" s="321" t="s">
        <v>162</v>
      </c>
      <c r="C11" s="322" t="s">
        <v>112</v>
      </c>
      <c r="D11" s="323" t="s">
        <v>163</v>
      </c>
      <c r="E11" s="329">
        <v>45717</v>
      </c>
      <c r="F11" s="273"/>
      <c r="G11" s="273"/>
      <c r="H11" s="252" t="s">
        <v>29</v>
      </c>
      <c r="I11" s="236"/>
      <c r="J11" s="241"/>
      <c r="K11" s="240"/>
      <c r="L11" s="241"/>
      <c r="M11" s="252"/>
      <c r="N11" s="237"/>
      <c r="O11" s="293"/>
      <c r="P11" s="293"/>
      <c r="Q11" s="294"/>
      <c r="R11" s="252"/>
      <c r="S11" s="237"/>
      <c r="T11" s="240"/>
      <c r="U11" s="241"/>
      <c r="V11" s="242"/>
      <c r="W11" s="237"/>
      <c r="X11" s="232">
        <v>1</v>
      </c>
      <c r="Y11" s="261" t="s">
        <v>390</v>
      </c>
      <c r="Z11" s="261" t="s">
        <v>412</v>
      </c>
      <c r="AA11" s="261" t="s">
        <v>126</v>
      </c>
      <c r="AB11" s="283" t="s">
        <v>118</v>
      </c>
      <c r="AC11" s="317" t="s">
        <v>141</v>
      </c>
      <c r="AD11" s="317"/>
      <c r="AE11" s="317"/>
      <c r="AF11" s="319"/>
      <c r="AG11" s="319" t="s">
        <v>144</v>
      </c>
      <c r="AH11" s="319"/>
      <c r="AI11" s="319"/>
      <c r="AJ11" s="295">
        <v>9</v>
      </c>
      <c r="AK11" s="380"/>
    </row>
    <row r="12" spans="1:37" ht="96" hidden="1" customHeight="1" thickTop="1" thickBot="1">
      <c r="A12" s="328" t="s">
        <v>381</v>
      </c>
      <c r="B12" s="321" t="s">
        <v>164</v>
      </c>
      <c r="C12" s="322" t="s">
        <v>112</v>
      </c>
      <c r="D12" s="323" t="s">
        <v>165</v>
      </c>
      <c r="E12" s="329">
        <v>45717</v>
      </c>
      <c r="F12" s="273" t="s">
        <v>515</v>
      </c>
      <c r="G12" s="273"/>
      <c r="H12" s="252" t="s">
        <v>27</v>
      </c>
      <c r="I12" s="236"/>
      <c r="J12" s="240"/>
      <c r="K12" s="240"/>
      <c r="L12" s="241"/>
      <c r="M12" s="252"/>
      <c r="N12" s="237"/>
      <c r="O12" s="293"/>
      <c r="P12" s="293"/>
      <c r="Q12" s="294"/>
      <c r="R12" s="252"/>
      <c r="S12" s="237"/>
      <c r="T12" s="240"/>
      <c r="U12" s="241"/>
      <c r="V12" s="242"/>
      <c r="W12" s="237"/>
      <c r="X12" s="232">
        <v>1</v>
      </c>
      <c r="Y12" s="261" t="s">
        <v>390</v>
      </c>
      <c r="Z12" s="261" t="s">
        <v>412</v>
      </c>
      <c r="AA12" s="261" t="s">
        <v>126</v>
      </c>
      <c r="AB12" s="283" t="s">
        <v>118</v>
      </c>
      <c r="AC12" s="317" t="s">
        <v>141</v>
      </c>
      <c r="AD12" s="317" t="s">
        <v>116</v>
      </c>
      <c r="AE12" s="317" t="s">
        <v>137</v>
      </c>
      <c r="AF12" s="319"/>
      <c r="AG12" s="319" t="s">
        <v>144</v>
      </c>
      <c r="AH12" s="319" t="s">
        <v>144</v>
      </c>
      <c r="AI12" s="319"/>
      <c r="AJ12" s="295">
        <v>10</v>
      </c>
      <c r="AK12" s="380"/>
    </row>
    <row r="13" spans="1:37" ht="73.2" hidden="1" customHeight="1" thickTop="1" thickBot="1">
      <c r="A13" s="328" t="s">
        <v>381</v>
      </c>
      <c r="B13" s="321" t="s">
        <v>166</v>
      </c>
      <c r="C13" s="322" t="s">
        <v>112</v>
      </c>
      <c r="D13" s="323" t="s">
        <v>167</v>
      </c>
      <c r="E13" s="329">
        <v>45627</v>
      </c>
      <c r="F13" s="273"/>
      <c r="G13" s="273"/>
      <c r="H13" s="252" t="s">
        <v>29</v>
      </c>
      <c r="I13" s="236"/>
      <c r="J13" s="243"/>
      <c r="K13" s="243"/>
      <c r="L13" s="244"/>
      <c r="M13" s="252"/>
      <c r="N13" s="236"/>
      <c r="O13" s="293"/>
      <c r="P13" s="293"/>
      <c r="Q13" s="294"/>
      <c r="R13" s="252"/>
      <c r="S13" s="236"/>
      <c r="T13" s="243"/>
      <c r="U13" s="244"/>
      <c r="V13" s="242"/>
      <c r="W13" s="236"/>
      <c r="X13" s="232">
        <v>1</v>
      </c>
      <c r="Y13" s="261" t="s">
        <v>390</v>
      </c>
      <c r="Z13" s="261" t="s">
        <v>412</v>
      </c>
      <c r="AA13" s="261" t="s">
        <v>126</v>
      </c>
      <c r="AB13" s="284" t="s">
        <v>118</v>
      </c>
      <c r="AC13" s="317" t="s">
        <v>137</v>
      </c>
      <c r="AD13" s="317" t="s">
        <v>116</v>
      </c>
      <c r="AE13" s="317"/>
      <c r="AF13" s="319"/>
      <c r="AG13" s="319"/>
      <c r="AH13" s="319" t="s">
        <v>144</v>
      </c>
      <c r="AI13" s="319" t="s">
        <v>144</v>
      </c>
      <c r="AJ13" s="295">
        <v>11</v>
      </c>
      <c r="AK13" s="380"/>
    </row>
    <row r="14" spans="1:37" ht="94.2" hidden="1" customHeight="1" thickTop="1" thickBot="1">
      <c r="A14" s="328" t="s">
        <v>381</v>
      </c>
      <c r="B14" s="321" t="s">
        <v>168</v>
      </c>
      <c r="C14" s="322" t="s">
        <v>112</v>
      </c>
      <c r="D14" s="323" t="s">
        <v>169</v>
      </c>
      <c r="E14" s="329">
        <v>45717</v>
      </c>
      <c r="F14" s="273"/>
      <c r="G14" s="273"/>
      <c r="H14" s="252" t="s">
        <v>29</v>
      </c>
      <c r="I14" s="236"/>
      <c r="J14" s="243"/>
      <c r="K14" s="243"/>
      <c r="L14" s="244"/>
      <c r="M14" s="252"/>
      <c r="N14" s="236"/>
      <c r="O14" s="293"/>
      <c r="P14" s="293"/>
      <c r="Q14" s="294"/>
      <c r="R14" s="252"/>
      <c r="S14" s="236"/>
      <c r="T14" s="240"/>
      <c r="U14" s="241"/>
      <c r="V14" s="242"/>
      <c r="W14" s="237"/>
      <c r="X14" s="232">
        <v>1</v>
      </c>
      <c r="Y14" s="261" t="s">
        <v>390</v>
      </c>
      <c r="Z14" s="261" t="s">
        <v>412</v>
      </c>
      <c r="AA14" s="261" t="s">
        <v>126</v>
      </c>
      <c r="AB14" s="284" t="s">
        <v>118</v>
      </c>
      <c r="AC14" s="317" t="s">
        <v>116</v>
      </c>
      <c r="AD14" s="317" t="s">
        <v>137</v>
      </c>
      <c r="AE14" s="317"/>
      <c r="AF14" s="319"/>
      <c r="AG14" s="319"/>
      <c r="AH14" s="319" t="s">
        <v>144</v>
      </c>
      <c r="AI14" s="319"/>
      <c r="AJ14" s="295">
        <v>12</v>
      </c>
      <c r="AK14" s="380"/>
    </row>
    <row r="15" spans="1:37" ht="73.2" customHeight="1" thickTop="1" thickBot="1">
      <c r="A15" s="327" t="s">
        <v>87</v>
      </c>
      <c r="B15" s="321" t="s">
        <v>170</v>
      </c>
      <c r="C15" s="322" t="s">
        <v>171</v>
      </c>
      <c r="D15" s="323" t="s">
        <v>172</v>
      </c>
      <c r="E15" s="329">
        <v>45717</v>
      </c>
      <c r="F15" s="273"/>
      <c r="G15" s="273"/>
      <c r="H15" s="252" t="s">
        <v>29</v>
      </c>
      <c r="I15" s="236"/>
      <c r="J15" s="243"/>
      <c r="K15" s="243"/>
      <c r="L15" s="244"/>
      <c r="M15" s="252"/>
      <c r="N15" s="236"/>
      <c r="O15" s="293"/>
      <c r="P15" s="293"/>
      <c r="Q15" s="294"/>
      <c r="R15" s="252"/>
      <c r="S15" s="236"/>
      <c r="T15" s="240"/>
      <c r="U15" s="241"/>
      <c r="V15" s="242"/>
      <c r="W15" s="237"/>
      <c r="X15" s="232">
        <v>1</v>
      </c>
      <c r="Y15" s="261" t="s">
        <v>389</v>
      </c>
      <c r="Z15" s="261" t="s">
        <v>411</v>
      </c>
      <c r="AA15" s="261" t="s">
        <v>126</v>
      </c>
      <c r="AB15" s="284" t="s">
        <v>129</v>
      </c>
      <c r="AC15" s="317" t="s">
        <v>116</v>
      </c>
      <c r="AD15" s="317"/>
      <c r="AE15" s="317"/>
      <c r="AF15" s="319"/>
      <c r="AG15" s="319"/>
      <c r="AH15" s="319" t="s">
        <v>144</v>
      </c>
      <c r="AI15" s="319"/>
      <c r="AJ15" s="295">
        <v>13</v>
      </c>
      <c r="AK15" s="380"/>
    </row>
    <row r="16" spans="1:37" ht="144" customHeight="1" thickTop="1" thickBot="1">
      <c r="A16" s="327" t="s">
        <v>87</v>
      </c>
      <c r="B16" s="321" t="s">
        <v>173</v>
      </c>
      <c r="C16" s="322" t="s">
        <v>171</v>
      </c>
      <c r="D16" s="323" t="s">
        <v>174</v>
      </c>
      <c r="E16" s="329">
        <v>45717</v>
      </c>
      <c r="F16" s="273" t="s">
        <v>439</v>
      </c>
      <c r="G16" s="273"/>
      <c r="H16" s="252" t="s">
        <v>25</v>
      </c>
      <c r="I16" s="236"/>
      <c r="J16" s="243"/>
      <c r="K16" s="240"/>
      <c r="L16" s="241"/>
      <c r="M16" s="252"/>
      <c r="N16" s="237"/>
      <c r="O16" s="293"/>
      <c r="P16" s="293"/>
      <c r="Q16" s="294"/>
      <c r="R16" s="252"/>
      <c r="S16" s="237"/>
      <c r="T16" s="240"/>
      <c r="U16" s="241"/>
      <c r="V16" s="242"/>
      <c r="W16" s="237"/>
      <c r="X16" s="232">
        <v>1</v>
      </c>
      <c r="Y16" s="261" t="s">
        <v>389</v>
      </c>
      <c r="Z16" s="261" t="s">
        <v>411</v>
      </c>
      <c r="AA16" s="261" t="s">
        <v>126</v>
      </c>
      <c r="AB16" s="281" t="s">
        <v>129</v>
      </c>
      <c r="AC16" s="317" t="s">
        <v>116</v>
      </c>
      <c r="AD16" s="317"/>
      <c r="AE16" s="317"/>
      <c r="AF16" s="319"/>
      <c r="AG16" s="319"/>
      <c r="AH16" s="319" t="s">
        <v>144</v>
      </c>
      <c r="AI16" s="319"/>
      <c r="AJ16" s="295">
        <v>14</v>
      </c>
      <c r="AK16" s="380"/>
    </row>
    <row r="17" spans="1:37" ht="73.2" customHeight="1" thickTop="1" thickBot="1">
      <c r="A17" s="327" t="s">
        <v>87</v>
      </c>
      <c r="B17" s="321" t="s">
        <v>175</v>
      </c>
      <c r="C17" s="322" t="s">
        <v>176</v>
      </c>
      <c r="D17" s="323" t="s">
        <v>177</v>
      </c>
      <c r="E17" s="329">
        <v>45413</v>
      </c>
      <c r="F17" s="273" t="s">
        <v>440</v>
      </c>
      <c r="G17" s="273"/>
      <c r="H17" s="252" t="s">
        <v>16</v>
      </c>
      <c r="I17" s="236"/>
      <c r="J17" s="243"/>
      <c r="K17" s="244"/>
      <c r="L17" s="244"/>
      <c r="M17" s="252"/>
      <c r="N17" s="237"/>
      <c r="O17" s="243"/>
      <c r="P17" s="293"/>
      <c r="Q17" s="294"/>
      <c r="R17" s="252"/>
      <c r="S17" s="236"/>
      <c r="T17" s="243"/>
      <c r="U17" s="244"/>
      <c r="V17" s="242"/>
      <c r="W17" s="236"/>
      <c r="X17" s="232">
        <v>1</v>
      </c>
      <c r="Y17" s="261" t="s">
        <v>389</v>
      </c>
      <c r="Z17" s="261" t="s">
        <v>408</v>
      </c>
      <c r="AA17" s="261" t="s">
        <v>126</v>
      </c>
      <c r="AB17" s="281" t="s">
        <v>129</v>
      </c>
      <c r="AC17" s="317" t="s">
        <v>116</v>
      </c>
      <c r="AD17" s="317"/>
      <c r="AE17" s="317"/>
      <c r="AF17" s="319"/>
      <c r="AG17" s="319"/>
      <c r="AH17" s="319" t="s">
        <v>144</v>
      </c>
      <c r="AI17" s="319"/>
      <c r="AJ17" s="295">
        <v>15</v>
      </c>
      <c r="AK17" s="380"/>
    </row>
    <row r="18" spans="1:37" ht="97.5" customHeight="1" thickTop="1" thickBot="1">
      <c r="A18" s="327" t="s">
        <v>87</v>
      </c>
      <c r="B18" s="321" t="s">
        <v>178</v>
      </c>
      <c r="C18" s="322" t="s">
        <v>176</v>
      </c>
      <c r="D18" s="323" t="s">
        <v>179</v>
      </c>
      <c r="E18" s="329">
        <v>45658</v>
      </c>
      <c r="F18" s="273" t="s">
        <v>441</v>
      </c>
      <c r="G18" s="273"/>
      <c r="H18" s="252" t="s">
        <v>25</v>
      </c>
      <c r="I18" s="236"/>
      <c r="J18" s="296"/>
      <c r="K18" s="297"/>
      <c r="L18" s="296"/>
      <c r="M18" s="252"/>
      <c r="N18" s="237"/>
      <c r="O18" s="293"/>
      <c r="P18" s="293"/>
      <c r="Q18" s="294"/>
      <c r="R18" s="252"/>
      <c r="S18" s="237"/>
      <c r="T18" s="240"/>
      <c r="U18" s="241"/>
      <c r="V18" s="242"/>
      <c r="W18" s="237"/>
      <c r="X18" s="232">
        <v>1</v>
      </c>
      <c r="Y18" s="261" t="s">
        <v>389</v>
      </c>
      <c r="Z18" s="261" t="s">
        <v>408</v>
      </c>
      <c r="AA18" s="261" t="s">
        <v>126</v>
      </c>
      <c r="AB18" s="281" t="s">
        <v>129</v>
      </c>
      <c r="AC18" s="317" t="s">
        <v>116</v>
      </c>
      <c r="AD18" s="317"/>
      <c r="AE18" s="317"/>
      <c r="AF18" s="319"/>
      <c r="AG18" s="319"/>
      <c r="AH18" s="319" t="s">
        <v>144</v>
      </c>
      <c r="AI18" s="319"/>
      <c r="AJ18" s="295">
        <v>16</v>
      </c>
      <c r="AK18" s="380"/>
    </row>
    <row r="19" spans="1:37" ht="123.75" hidden="1" customHeight="1" thickTop="1" thickBot="1">
      <c r="A19" s="327" t="s">
        <v>382</v>
      </c>
      <c r="B19" s="321" t="s">
        <v>183</v>
      </c>
      <c r="C19" s="322" t="s">
        <v>184</v>
      </c>
      <c r="D19" s="323" t="s">
        <v>185</v>
      </c>
      <c r="E19" s="329">
        <v>45717</v>
      </c>
      <c r="F19" s="273"/>
      <c r="G19" s="273"/>
      <c r="H19" s="252" t="s">
        <v>25</v>
      </c>
      <c r="I19" s="236" t="s">
        <v>434</v>
      </c>
      <c r="J19" s="270"/>
      <c r="K19" s="243"/>
      <c r="L19" s="244"/>
      <c r="M19" s="252"/>
      <c r="N19" s="236"/>
      <c r="O19" s="293"/>
      <c r="P19" s="293"/>
      <c r="Q19" s="294"/>
      <c r="R19" s="252"/>
      <c r="S19" s="236"/>
      <c r="T19" s="240"/>
      <c r="U19" s="270"/>
      <c r="V19" s="242"/>
      <c r="W19" s="236"/>
      <c r="X19" s="232">
        <v>1</v>
      </c>
      <c r="Y19" s="286" t="s">
        <v>389</v>
      </c>
      <c r="Z19" s="286" t="s">
        <v>407</v>
      </c>
      <c r="AA19" s="261" t="s">
        <v>126</v>
      </c>
      <c r="AB19" s="376" t="s">
        <v>129</v>
      </c>
      <c r="AC19" s="317" t="s">
        <v>138</v>
      </c>
      <c r="AD19" s="317" t="s">
        <v>141</v>
      </c>
      <c r="AE19" s="317"/>
      <c r="AF19" s="319" t="s">
        <v>144</v>
      </c>
      <c r="AG19" s="319" t="s">
        <v>144</v>
      </c>
      <c r="AH19" s="319"/>
      <c r="AI19" s="319"/>
      <c r="AJ19" s="295">
        <v>18</v>
      </c>
      <c r="AK19" s="380"/>
    </row>
    <row r="20" spans="1:37" ht="73.2" hidden="1" customHeight="1" thickTop="1" thickBot="1">
      <c r="A20" s="327" t="s">
        <v>382</v>
      </c>
      <c r="B20" s="321" t="s">
        <v>186</v>
      </c>
      <c r="C20" s="322" t="s">
        <v>184</v>
      </c>
      <c r="D20" s="323" t="s">
        <v>187</v>
      </c>
      <c r="E20" s="329">
        <v>45566</v>
      </c>
      <c r="F20" s="273" t="s">
        <v>490</v>
      </c>
      <c r="G20" s="273"/>
      <c r="H20" s="252" t="s">
        <v>25</v>
      </c>
      <c r="I20" s="236"/>
      <c r="J20" s="244"/>
      <c r="K20" s="243"/>
      <c r="L20" s="244"/>
      <c r="M20" s="252"/>
      <c r="N20" s="236"/>
      <c r="O20" s="294"/>
      <c r="P20" s="293"/>
      <c r="Q20" s="294"/>
      <c r="R20" s="252"/>
      <c r="S20" s="236"/>
      <c r="T20" s="243"/>
      <c r="U20" s="244"/>
      <c r="V20" s="242"/>
      <c r="W20" s="236"/>
      <c r="X20" s="232">
        <v>1</v>
      </c>
      <c r="Y20" s="261" t="s">
        <v>389</v>
      </c>
      <c r="Z20" s="261" t="s">
        <v>407</v>
      </c>
      <c r="AA20" s="261" t="s">
        <v>126</v>
      </c>
      <c r="AB20" s="283" t="s">
        <v>129</v>
      </c>
      <c r="AC20" s="317" t="s">
        <v>138</v>
      </c>
      <c r="AD20" s="317" t="s">
        <v>137</v>
      </c>
      <c r="AE20" s="317" t="s">
        <v>141</v>
      </c>
      <c r="AF20" s="319" t="s">
        <v>144</v>
      </c>
      <c r="AG20" s="319" t="s">
        <v>144</v>
      </c>
      <c r="AH20" s="319"/>
      <c r="AI20" s="319" t="s">
        <v>144</v>
      </c>
      <c r="AJ20" s="295">
        <v>19</v>
      </c>
      <c r="AK20" s="380"/>
    </row>
    <row r="21" spans="1:37" ht="122.4" customHeight="1" thickTop="1" thickBot="1">
      <c r="A21" s="327" t="s">
        <v>87</v>
      </c>
      <c r="B21" s="321" t="s">
        <v>180</v>
      </c>
      <c r="C21" s="322" t="s">
        <v>181</v>
      </c>
      <c r="D21" s="323" t="s">
        <v>182</v>
      </c>
      <c r="E21" s="329">
        <v>45413</v>
      </c>
      <c r="F21" s="273" t="s">
        <v>442</v>
      </c>
      <c r="G21" s="273"/>
      <c r="H21" s="252" t="s">
        <v>16</v>
      </c>
      <c r="I21" s="236"/>
      <c r="J21" s="244"/>
      <c r="K21" s="243"/>
      <c r="L21" s="244"/>
      <c r="M21" s="252"/>
      <c r="N21" s="236"/>
      <c r="O21" s="244"/>
      <c r="P21" s="293"/>
      <c r="Q21" s="294"/>
      <c r="R21" s="252"/>
      <c r="S21" s="236"/>
      <c r="T21" s="243"/>
      <c r="U21" s="244"/>
      <c r="V21" s="242"/>
      <c r="W21" s="236"/>
      <c r="X21" s="232">
        <v>1</v>
      </c>
      <c r="Y21" s="261" t="s">
        <v>389</v>
      </c>
      <c r="Z21" s="261" t="s">
        <v>409</v>
      </c>
      <c r="AA21" s="261" t="s">
        <v>126</v>
      </c>
      <c r="AB21" s="282" t="s">
        <v>129</v>
      </c>
      <c r="AC21" s="317" t="s">
        <v>116</v>
      </c>
      <c r="AD21" s="317"/>
      <c r="AE21" s="317"/>
      <c r="AF21" s="319"/>
      <c r="AG21" s="319"/>
      <c r="AH21" s="319" t="s">
        <v>144</v>
      </c>
      <c r="AI21" s="319"/>
      <c r="AJ21" s="295">
        <v>17</v>
      </c>
      <c r="AK21" s="380"/>
    </row>
    <row r="22" spans="1:37" ht="150" hidden="1" customHeight="1" thickTop="1" thickBot="1">
      <c r="A22" s="328" t="s">
        <v>86</v>
      </c>
      <c r="B22" s="321" t="s">
        <v>188</v>
      </c>
      <c r="C22" s="324" t="s">
        <v>149</v>
      </c>
      <c r="D22" s="323" t="s">
        <v>189</v>
      </c>
      <c r="E22" s="329">
        <v>45566</v>
      </c>
      <c r="F22" s="273"/>
      <c r="G22" s="273"/>
      <c r="H22" s="252" t="s">
        <v>29</v>
      </c>
      <c r="I22" s="236" t="s">
        <v>452</v>
      </c>
      <c r="J22" s="244"/>
      <c r="K22" s="243"/>
      <c r="L22" s="244"/>
      <c r="M22" s="252"/>
      <c r="N22" s="236"/>
      <c r="O22" s="294"/>
      <c r="P22" s="293"/>
      <c r="Q22" s="294"/>
      <c r="R22" s="252"/>
      <c r="S22" s="236"/>
      <c r="T22" s="243"/>
      <c r="U22" s="244"/>
      <c r="V22" s="242"/>
      <c r="W22" s="236"/>
      <c r="X22" s="232">
        <v>1</v>
      </c>
      <c r="Y22" s="261" t="s">
        <v>389</v>
      </c>
      <c r="Z22" s="261" t="s">
        <v>419</v>
      </c>
      <c r="AA22" s="261" t="s">
        <v>392</v>
      </c>
      <c r="AB22" s="283" t="s">
        <v>95</v>
      </c>
      <c r="AC22" s="317" t="s">
        <v>138</v>
      </c>
      <c r="AD22" s="317" t="s">
        <v>141</v>
      </c>
      <c r="AE22" s="317"/>
      <c r="AF22" s="319" t="s">
        <v>144</v>
      </c>
      <c r="AG22" s="319" t="s">
        <v>144</v>
      </c>
      <c r="AH22" s="319"/>
      <c r="AI22" s="319"/>
      <c r="AJ22" s="295">
        <v>20</v>
      </c>
      <c r="AK22" s="380"/>
    </row>
    <row r="23" spans="1:37" ht="73.2" hidden="1" customHeight="1" thickTop="1" thickBot="1">
      <c r="A23" s="327" t="s">
        <v>86</v>
      </c>
      <c r="B23" s="321" t="s">
        <v>190</v>
      </c>
      <c r="C23" s="322" t="s">
        <v>149</v>
      </c>
      <c r="D23" s="323" t="s">
        <v>191</v>
      </c>
      <c r="E23" s="329">
        <v>45689</v>
      </c>
      <c r="F23" s="273"/>
      <c r="G23" s="273"/>
      <c r="H23" s="252" t="s">
        <v>29</v>
      </c>
      <c r="I23" s="236"/>
      <c r="J23" s="243"/>
      <c r="K23" s="243"/>
      <c r="L23" s="244"/>
      <c r="M23" s="252"/>
      <c r="N23" s="236"/>
      <c r="O23" s="293"/>
      <c r="P23" s="293"/>
      <c r="Q23" s="294"/>
      <c r="R23" s="252"/>
      <c r="S23" s="236"/>
      <c r="T23" s="243"/>
      <c r="U23" s="244"/>
      <c r="V23" s="242"/>
      <c r="W23" s="236"/>
      <c r="X23" s="232">
        <v>1</v>
      </c>
      <c r="Y23" s="261" t="s">
        <v>389</v>
      </c>
      <c r="Z23" s="261" t="s">
        <v>419</v>
      </c>
      <c r="AA23" s="261" t="s">
        <v>392</v>
      </c>
      <c r="AB23" s="280" t="s">
        <v>95</v>
      </c>
      <c r="AC23" s="317" t="s">
        <v>138</v>
      </c>
      <c r="AD23" s="317"/>
      <c r="AE23" s="317"/>
      <c r="AF23" s="319" t="s">
        <v>144</v>
      </c>
      <c r="AG23" s="319"/>
      <c r="AH23" s="319"/>
      <c r="AI23" s="319"/>
      <c r="AJ23" s="295">
        <v>21</v>
      </c>
      <c r="AK23" s="380"/>
    </row>
    <row r="24" spans="1:37" ht="73.2" hidden="1" customHeight="1" thickTop="1" thickBot="1">
      <c r="A24" s="328" t="s">
        <v>86</v>
      </c>
      <c r="B24" s="321" t="s">
        <v>192</v>
      </c>
      <c r="C24" s="322" t="s">
        <v>193</v>
      </c>
      <c r="D24" s="323" t="s">
        <v>194</v>
      </c>
      <c r="E24" s="329">
        <v>45658</v>
      </c>
      <c r="F24" s="273"/>
      <c r="G24" s="273"/>
      <c r="H24" s="252" t="s">
        <v>25</v>
      </c>
      <c r="I24" s="236" t="s">
        <v>451</v>
      </c>
      <c r="J24" s="244"/>
      <c r="K24" s="243"/>
      <c r="L24" s="244"/>
      <c r="M24" s="252"/>
      <c r="N24" s="236"/>
      <c r="O24" s="294"/>
      <c r="P24" s="293"/>
      <c r="Q24" s="294"/>
      <c r="R24" s="252"/>
      <c r="S24" s="236"/>
      <c r="T24" s="243"/>
      <c r="U24" s="244"/>
      <c r="V24" s="242"/>
      <c r="W24" s="236"/>
      <c r="X24" s="232">
        <v>1</v>
      </c>
      <c r="Y24" s="261" t="s">
        <v>389</v>
      </c>
      <c r="Z24" s="261" t="s">
        <v>420</v>
      </c>
      <c r="AA24" s="261" t="s">
        <v>392</v>
      </c>
      <c r="AB24" s="280" t="s">
        <v>94</v>
      </c>
      <c r="AC24" s="317" t="s">
        <v>138</v>
      </c>
      <c r="AD24" s="317"/>
      <c r="AE24" s="317"/>
      <c r="AF24" s="319" t="s">
        <v>144</v>
      </c>
      <c r="AG24" s="319"/>
      <c r="AH24" s="319"/>
      <c r="AI24" s="319"/>
      <c r="AJ24" s="295">
        <v>22</v>
      </c>
      <c r="AK24" s="380"/>
    </row>
    <row r="25" spans="1:37" ht="73.2" hidden="1" customHeight="1" thickTop="1" thickBot="1">
      <c r="A25" s="327" t="s">
        <v>139</v>
      </c>
      <c r="B25" s="321" t="s">
        <v>195</v>
      </c>
      <c r="C25" s="322" t="s">
        <v>81</v>
      </c>
      <c r="D25" s="323" t="s">
        <v>196</v>
      </c>
      <c r="E25" s="329">
        <v>45717</v>
      </c>
      <c r="F25" s="273" t="s">
        <v>458</v>
      </c>
      <c r="G25" s="273"/>
      <c r="H25" s="252" t="s">
        <v>25</v>
      </c>
      <c r="I25" s="236"/>
      <c r="J25" s="243"/>
      <c r="K25" s="243"/>
      <c r="L25" s="244"/>
      <c r="M25" s="252"/>
      <c r="N25" s="236"/>
      <c r="O25" s="293"/>
      <c r="P25" s="293"/>
      <c r="Q25" s="294"/>
      <c r="R25" s="252"/>
      <c r="S25" s="236"/>
      <c r="T25" s="243"/>
      <c r="U25" s="244"/>
      <c r="V25" s="242"/>
      <c r="W25" s="236"/>
      <c r="X25" s="232">
        <v>1</v>
      </c>
      <c r="Y25" s="261" t="s">
        <v>116</v>
      </c>
      <c r="Z25" s="261" t="s">
        <v>423</v>
      </c>
      <c r="AA25" s="261" t="s">
        <v>392</v>
      </c>
      <c r="AB25" s="280" t="s">
        <v>94</v>
      </c>
      <c r="AC25" s="317" t="s">
        <v>138</v>
      </c>
      <c r="AD25" s="317"/>
      <c r="AE25" s="317"/>
      <c r="AF25" s="319" t="s">
        <v>144</v>
      </c>
      <c r="AG25" s="319"/>
      <c r="AH25" s="319"/>
      <c r="AI25" s="319"/>
      <c r="AJ25" s="295">
        <v>23</v>
      </c>
      <c r="AK25" s="380"/>
    </row>
    <row r="26" spans="1:37" ht="73.2" hidden="1" customHeight="1" thickTop="1" thickBot="1">
      <c r="A26" s="327" t="s">
        <v>139</v>
      </c>
      <c r="B26" s="321" t="s">
        <v>197</v>
      </c>
      <c r="C26" s="322" t="s">
        <v>81</v>
      </c>
      <c r="D26" s="323" t="s">
        <v>198</v>
      </c>
      <c r="E26" s="329">
        <v>45717</v>
      </c>
      <c r="F26" s="273" t="s">
        <v>459</v>
      </c>
      <c r="G26" s="273"/>
      <c r="H26" s="252" t="s">
        <v>25</v>
      </c>
      <c r="I26" s="236"/>
      <c r="J26" s="243"/>
      <c r="K26" s="243"/>
      <c r="L26" s="244"/>
      <c r="M26" s="252"/>
      <c r="N26" s="236"/>
      <c r="O26" s="243"/>
      <c r="P26" s="293"/>
      <c r="Q26" s="294"/>
      <c r="R26" s="252"/>
      <c r="S26" s="236"/>
      <c r="T26" s="243"/>
      <c r="U26" s="244"/>
      <c r="V26" s="242"/>
      <c r="W26" s="236"/>
      <c r="X26" s="232">
        <v>1</v>
      </c>
      <c r="Y26" s="261" t="s">
        <v>116</v>
      </c>
      <c r="Z26" s="261" t="s">
        <v>423</v>
      </c>
      <c r="AA26" s="261" t="s">
        <v>392</v>
      </c>
      <c r="AB26" s="280" t="s">
        <v>94</v>
      </c>
      <c r="AC26" s="317" t="s">
        <v>138</v>
      </c>
      <c r="AD26" s="317" t="s">
        <v>116</v>
      </c>
      <c r="AE26" s="317"/>
      <c r="AF26" s="319" t="s">
        <v>144</v>
      </c>
      <c r="AG26" s="319"/>
      <c r="AH26" s="319" t="s">
        <v>144</v>
      </c>
      <c r="AI26" s="319"/>
      <c r="AJ26" s="295">
        <v>24</v>
      </c>
      <c r="AK26" s="380"/>
    </row>
    <row r="27" spans="1:37" ht="79.2" hidden="1" customHeight="1" thickTop="1" thickBot="1">
      <c r="A27" s="327" t="s">
        <v>139</v>
      </c>
      <c r="B27" s="321" t="s">
        <v>199</v>
      </c>
      <c r="C27" s="322" t="s">
        <v>81</v>
      </c>
      <c r="D27" s="323" t="s">
        <v>200</v>
      </c>
      <c r="E27" s="329">
        <v>45717</v>
      </c>
      <c r="F27" s="273" t="s">
        <v>460</v>
      </c>
      <c r="G27" s="273"/>
      <c r="H27" s="252" t="s">
        <v>25</v>
      </c>
      <c r="I27" s="236"/>
      <c r="J27" s="245"/>
      <c r="K27" s="243"/>
      <c r="L27" s="244"/>
      <c r="M27" s="252"/>
      <c r="N27" s="236"/>
      <c r="O27" s="293"/>
      <c r="P27" s="293"/>
      <c r="Q27" s="294"/>
      <c r="R27" s="252"/>
      <c r="S27" s="236"/>
      <c r="T27" s="293"/>
      <c r="U27" s="244"/>
      <c r="V27" s="242"/>
      <c r="W27" s="236"/>
      <c r="X27" s="232">
        <v>1</v>
      </c>
      <c r="Y27" s="261" t="s">
        <v>116</v>
      </c>
      <c r="Z27" s="261" t="s">
        <v>423</v>
      </c>
      <c r="AA27" s="261" t="s">
        <v>392</v>
      </c>
      <c r="AB27" s="280" t="s">
        <v>94</v>
      </c>
      <c r="AC27" s="317" t="s">
        <v>138</v>
      </c>
      <c r="AD27" s="317"/>
      <c r="AE27" s="317"/>
      <c r="AF27" s="319" t="s">
        <v>144</v>
      </c>
      <c r="AG27" s="319"/>
      <c r="AH27" s="319"/>
      <c r="AI27" s="319"/>
      <c r="AJ27" s="295">
        <v>25</v>
      </c>
      <c r="AK27" s="380"/>
    </row>
    <row r="28" spans="1:37" ht="73.2" hidden="1" customHeight="1" thickTop="1" thickBot="1">
      <c r="A28" s="327" t="s">
        <v>139</v>
      </c>
      <c r="B28" s="321" t="s">
        <v>201</v>
      </c>
      <c r="C28" s="322" t="s">
        <v>202</v>
      </c>
      <c r="D28" s="323" t="s">
        <v>203</v>
      </c>
      <c r="E28" s="329">
        <v>45717</v>
      </c>
      <c r="F28" s="273" t="s">
        <v>461</v>
      </c>
      <c r="G28" s="273"/>
      <c r="H28" s="252" t="s">
        <v>25</v>
      </c>
      <c r="I28" s="236"/>
      <c r="J28" s="243"/>
      <c r="K28" s="243"/>
      <c r="L28" s="244"/>
      <c r="M28" s="252"/>
      <c r="N28" s="236"/>
      <c r="O28" s="293"/>
      <c r="P28" s="293"/>
      <c r="Q28" s="294"/>
      <c r="R28" s="252"/>
      <c r="S28" s="236"/>
      <c r="T28" s="243"/>
      <c r="U28" s="244"/>
      <c r="V28" s="242"/>
      <c r="W28" s="236"/>
      <c r="X28" s="232">
        <v>1</v>
      </c>
      <c r="Y28" s="261" t="s">
        <v>116</v>
      </c>
      <c r="Z28" s="261" t="s">
        <v>423</v>
      </c>
      <c r="AA28" s="261" t="s">
        <v>392</v>
      </c>
      <c r="AB28" s="280" t="s">
        <v>94</v>
      </c>
      <c r="AC28" s="317" t="s">
        <v>138</v>
      </c>
      <c r="AD28" s="317"/>
      <c r="AE28" s="317"/>
      <c r="AF28" s="319" t="s">
        <v>144</v>
      </c>
      <c r="AG28" s="319"/>
      <c r="AH28" s="319"/>
      <c r="AI28" s="319"/>
      <c r="AJ28" s="295">
        <v>26</v>
      </c>
      <c r="AK28" s="380"/>
    </row>
    <row r="29" spans="1:37" ht="93.6" hidden="1" customHeight="1" thickTop="1" thickBot="1">
      <c r="A29" s="327" t="s">
        <v>139</v>
      </c>
      <c r="B29" s="321" t="s">
        <v>204</v>
      </c>
      <c r="C29" s="322" t="s">
        <v>202</v>
      </c>
      <c r="D29" s="323" t="s">
        <v>205</v>
      </c>
      <c r="E29" s="329">
        <v>45627</v>
      </c>
      <c r="F29" s="273" t="s">
        <v>462</v>
      </c>
      <c r="G29" s="273"/>
      <c r="H29" s="252" t="s">
        <v>25</v>
      </c>
      <c r="I29" s="236"/>
      <c r="J29" s="244"/>
      <c r="K29" s="243"/>
      <c r="L29" s="298"/>
      <c r="M29" s="252"/>
      <c r="N29" s="236"/>
      <c r="O29" s="293"/>
      <c r="P29" s="293"/>
      <c r="Q29" s="294"/>
      <c r="R29" s="252"/>
      <c r="S29" s="236"/>
      <c r="T29" s="243"/>
      <c r="U29" s="244"/>
      <c r="V29" s="242"/>
      <c r="W29" s="236"/>
      <c r="X29" s="232">
        <v>1</v>
      </c>
      <c r="Y29" s="261" t="s">
        <v>116</v>
      </c>
      <c r="Z29" s="261" t="s">
        <v>423</v>
      </c>
      <c r="AA29" s="261" t="s">
        <v>392</v>
      </c>
      <c r="AB29" s="280" t="s">
        <v>94</v>
      </c>
      <c r="AC29" s="317" t="s">
        <v>138</v>
      </c>
      <c r="AD29" s="317"/>
      <c r="AE29" s="317"/>
      <c r="AF29" s="319" t="s">
        <v>144</v>
      </c>
      <c r="AG29" s="319"/>
      <c r="AH29" s="319"/>
      <c r="AI29" s="319"/>
      <c r="AJ29" s="295">
        <v>27</v>
      </c>
      <c r="AK29" s="380"/>
    </row>
    <row r="30" spans="1:37" ht="172.95" hidden="1" customHeight="1" thickTop="1" thickBot="1">
      <c r="A30" s="327" t="s">
        <v>140</v>
      </c>
      <c r="B30" s="321" t="s">
        <v>206</v>
      </c>
      <c r="C30" s="322" t="s">
        <v>207</v>
      </c>
      <c r="D30" s="323" t="s">
        <v>208</v>
      </c>
      <c r="E30" s="329">
        <v>45627</v>
      </c>
      <c r="F30" s="273" t="s">
        <v>479</v>
      </c>
      <c r="G30" s="273"/>
      <c r="H30" s="252" t="s">
        <v>25</v>
      </c>
      <c r="I30" s="236"/>
      <c r="J30" s="244"/>
      <c r="K30" s="243"/>
      <c r="L30" s="244"/>
      <c r="M30" s="252"/>
      <c r="N30" s="236"/>
      <c r="O30" s="293"/>
      <c r="P30" s="293"/>
      <c r="Q30" s="294"/>
      <c r="R30" s="252"/>
      <c r="S30" s="236"/>
      <c r="T30" s="243"/>
      <c r="U30" s="244"/>
      <c r="V30" s="242"/>
      <c r="W30" s="236"/>
      <c r="X30" s="232">
        <v>1</v>
      </c>
      <c r="Y30" s="261" t="s">
        <v>116</v>
      </c>
      <c r="Z30" s="261" t="s">
        <v>424</v>
      </c>
      <c r="AA30" s="261" t="s">
        <v>392</v>
      </c>
      <c r="AB30" s="280" t="s">
        <v>94</v>
      </c>
      <c r="AC30" s="317" t="s">
        <v>138</v>
      </c>
      <c r="AD30" s="317"/>
      <c r="AE30" s="317"/>
      <c r="AF30" s="319" t="s">
        <v>144</v>
      </c>
      <c r="AG30" s="319"/>
      <c r="AH30" s="319"/>
      <c r="AI30" s="319"/>
      <c r="AJ30" s="295">
        <v>28</v>
      </c>
      <c r="AK30" s="380"/>
    </row>
    <row r="31" spans="1:37" ht="73.2" hidden="1" customHeight="1" thickTop="1" thickBot="1">
      <c r="A31" s="327" t="s">
        <v>115</v>
      </c>
      <c r="B31" s="321" t="s">
        <v>209</v>
      </c>
      <c r="C31" s="322" t="s">
        <v>104</v>
      </c>
      <c r="D31" s="323" t="s">
        <v>210</v>
      </c>
      <c r="E31" s="329">
        <v>45474</v>
      </c>
      <c r="F31" s="236" t="s">
        <v>519</v>
      </c>
      <c r="G31" s="273"/>
      <c r="H31" s="252" t="s">
        <v>26</v>
      </c>
      <c r="J31" s="246"/>
      <c r="K31" s="243"/>
      <c r="L31" s="244"/>
      <c r="M31" s="252"/>
      <c r="N31" s="236"/>
      <c r="O31" s="240"/>
      <c r="P31" s="293"/>
      <c r="Q31" s="294"/>
      <c r="R31" s="252"/>
      <c r="S31" s="236"/>
      <c r="T31" s="243"/>
      <c r="U31" s="244"/>
      <c r="V31" s="242"/>
      <c r="W31" s="236"/>
      <c r="X31" s="232">
        <v>1</v>
      </c>
      <c r="Y31" s="261" t="s">
        <v>116</v>
      </c>
      <c r="Z31" s="261" t="s">
        <v>415</v>
      </c>
      <c r="AA31" s="261" t="s">
        <v>392</v>
      </c>
      <c r="AB31" s="284" t="s">
        <v>116</v>
      </c>
      <c r="AC31" s="317" t="s">
        <v>116</v>
      </c>
      <c r="AD31" s="317"/>
      <c r="AE31" s="317"/>
      <c r="AF31" s="319"/>
      <c r="AG31" s="319"/>
      <c r="AH31" s="319" t="s">
        <v>144</v>
      </c>
      <c r="AI31" s="319"/>
      <c r="AJ31" s="295">
        <v>29</v>
      </c>
      <c r="AK31" s="380"/>
    </row>
    <row r="32" spans="1:37" ht="93" hidden="1" customHeight="1" thickTop="1" thickBot="1">
      <c r="A32" s="327" t="s">
        <v>115</v>
      </c>
      <c r="B32" s="321" t="s">
        <v>211</v>
      </c>
      <c r="C32" s="322" t="s">
        <v>104</v>
      </c>
      <c r="D32" s="323" t="s">
        <v>212</v>
      </c>
      <c r="E32" s="329">
        <v>45658</v>
      </c>
      <c r="F32" s="236" t="s">
        <v>431</v>
      </c>
      <c r="G32" s="273"/>
      <c r="H32" s="252" t="s">
        <v>25</v>
      </c>
      <c r="J32" s="270"/>
      <c r="K32" s="240"/>
      <c r="L32" s="241"/>
      <c r="M32" s="252"/>
      <c r="N32" s="237"/>
      <c r="O32" s="241"/>
      <c r="P32" s="293"/>
      <c r="Q32" s="294"/>
      <c r="R32" s="252"/>
      <c r="S32" s="237"/>
      <c r="T32" s="257"/>
      <c r="U32" s="241"/>
      <c r="V32" s="242"/>
      <c r="W32" s="237"/>
      <c r="X32" s="232">
        <v>1</v>
      </c>
      <c r="Y32" s="261" t="s">
        <v>116</v>
      </c>
      <c r="Z32" s="261" t="s">
        <v>415</v>
      </c>
      <c r="AA32" s="261" t="s">
        <v>392</v>
      </c>
      <c r="AB32" s="284" t="s">
        <v>116</v>
      </c>
      <c r="AC32" s="317" t="s">
        <v>116</v>
      </c>
      <c r="AD32" s="317"/>
      <c r="AE32" s="317"/>
      <c r="AF32" s="319"/>
      <c r="AG32" s="319"/>
      <c r="AH32" s="319" t="s">
        <v>144</v>
      </c>
      <c r="AI32" s="319"/>
      <c r="AJ32" s="295">
        <v>30</v>
      </c>
      <c r="AK32" s="380"/>
    </row>
    <row r="33" spans="1:37" ht="73.2" hidden="1" customHeight="1" thickTop="1" thickBot="1">
      <c r="A33" s="327" t="s">
        <v>115</v>
      </c>
      <c r="B33" s="321" t="s">
        <v>213</v>
      </c>
      <c r="C33" s="322" t="s">
        <v>104</v>
      </c>
      <c r="D33" s="323" t="s">
        <v>214</v>
      </c>
      <c r="E33" s="329">
        <v>45689</v>
      </c>
      <c r="F33" s="276" t="s">
        <v>466</v>
      </c>
      <c r="G33" s="273"/>
      <c r="H33" s="252" t="s">
        <v>25</v>
      </c>
      <c r="J33" s="240"/>
      <c r="K33" s="240"/>
      <c r="L33" s="241"/>
      <c r="M33" s="252"/>
      <c r="N33" s="237"/>
      <c r="O33" s="293"/>
      <c r="P33" s="293"/>
      <c r="Q33" s="294"/>
      <c r="R33" s="252"/>
      <c r="S33" s="237"/>
      <c r="T33" s="240"/>
      <c r="U33" s="241"/>
      <c r="V33" s="242"/>
      <c r="W33" s="237"/>
      <c r="X33" s="232">
        <v>1</v>
      </c>
      <c r="Y33" s="261" t="s">
        <v>116</v>
      </c>
      <c r="Z33" s="261" t="s">
        <v>415</v>
      </c>
      <c r="AA33" s="261" t="s">
        <v>392</v>
      </c>
      <c r="AB33" s="284" t="s">
        <v>116</v>
      </c>
      <c r="AC33" s="317" t="s">
        <v>116</v>
      </c>
      <c r="AD33" s="317"/>
      <c r="AE33" s="317"/>
      <c r="AF33" s="319"/>
      <c r="AG33" s="319"/>
      <c r="AH33" s="319" t="s">
        <v>144</v>
      </c>
      <c r="AI33" s="319"/>
      <c r="AJ33" s="295">
        <v>31</v>
      </c>
      <c r="AK33" s="380"/>
    </row>
    <row r="34" spans="1:37" ht="94.2" hidden="1" customHeight="1" thickTop="1" thickBot="1">
      <c r="A34" s="327" t="s">
        <v>115</v>
      </c>
      <c r="B34" s="321" t="s">
        <v>215</v>
      </c>
      <c r="C34" s="322" t="s">
        <v>83</v>
      </c>
      <c r="D34" s="323" t="s">
        <v>216</v>
      </c>
      <c r="E34" s="329">
        <v>45717</v>
      </c>
      <c r="F34" s="236" t="s">
        <v>453</v>
      </c>
      <c r="G34" s="273"/>
      <c r="H34" s="252" t="s">
        <v>25</v>
      </c>
      <c r="J34" s="244"/>
      <c r="K34" s="243"/>
      <c r="L34" s="244"/>
      <c r="M34" s="252"/>
      <c r="N34" s="236"/>
      <c r="O34" s="293"/>
      <c r="P34" s="293"/>
      <c r="Q34" s="294"/>
      <c r="R34" s="252"/>
      <c r="S34" s="236"/>
      <c r="T34" s="243"/>
      <c r="U34" s="244"/>
      <c r="V34" s="242"/>
      <c r="W34" s="247"/>
      <c r="X34" s="232">
        <v>1</v>
      </c>
      <c r="Y34" s="261" t="s">
        <v>116</v>
      </c>
      <c r="Z34" s="261" t="s">
        <v>416</v>
      </c>
      <c r="AA34" s="261" t="s">
        <v>392</v>
      </c>
      <c r="AB34" s="281" t="s">
        <v>116</v>
      </c>
      <c r="AC34" s="317" t="s">
        <v>116</v>
      </c>
      <c r="AD34" s="317"/>
      <c r="AE34" s="317"/>
      <c r="AF34" s="319"/>
      <c r="AG34" s="319"/>
      <c r="AH34" s="319" t="s">
        <v>144</v>
      </c>
      <c r="AI34" s="319"/>
      <c r="AJ34" s="295">
        <v>32</v>
      </c>
      <c r="AK34" s="380"/>
    </row>
    <row r="35" spans="1:37" ht="109.2" hidden="1" customHeight="1" thickTop="1" thickBot="1">
      <c r="A35" s="327" t="s">
        <v>88</v>
      </c>
      <c r="B35" s="321" t="s">
        <v>217</v>
      </c>
      <c r="C35" s="322" t="s">
        <v>218</v>
      </c>
      <c r="D35" s="323" t="s">
        <v>219</v>
      </c>
      <c r="E35" s="329" t="s">
        <v>385</v>
      </c>
      <c r="F35" s="236" t="s">
        <v>474</v>
      </c>
      <c r="G35" s="273"/>
      <c r="H35" s="252" t="s">
        <v>25</v>
      </c>
      <c r="J35" s="243"/>
      <c r="K35" s="243"/>
      <c r="L35" s="244"/>
      <c r="M35" s="252"/>
      <c r="N35" s="236"/>
      <c r="O35" s="293"/>
      <c r="P35" s="293"/>
      <c r="Q35" s="294"/>
      <c r="R35" s="252"/>
      <c r="S35" s="236"/>
      <c r="T35" s="243"/>
      <c r="U35" s="244"/>
      <c r="V35" s="242"/>
      <c r="W35" s="236"/>
      <c r="X35" s="232">
        <v>1</v>
      </c>
      <c r="Y35" s="261" t="s">
        <v>116</v>
      </c>
      <c r="Z35" s="261" t="s">
        <v>421</v>
      </c>
      <c r="AA35" s="261" t="s">
        <v>392</v>
      </c>
      <c r="AB35" s="282" t="s">
        <v>116</v>
      </c>
      <c r="AC35" s="317" t="s">
        <v>116</v>
      </c>
      <c r="AD35" s="317"/>
      <c r="AE35" s="317"/>
      <c r="AF35" s="319"/>
      <c r="AG35" s="319" t="s">
        <v>144</v>
      </c>
      <c r="AH35" s="319"/>
      <c r="AI35" s="319"/>
      <c r="AJ35" s="295">
        <v>33</v>
      </c>
      <c r="AK35" s="380"/>
    </row>
    <row r="36" spans="1:37" ht="94.2" hidden="1" customHeight="1" thickTop="1" thickBot="1">
      <c r="A36" s="327" t="s">
        <v>88</v>
      </c>
      <c r="B36" s="321" t="s">
        <v>220</v>
      </c>
      <c r="C36" s="322" t="s">
        <v>218</v>
      </c>
      <c r="D36" s="323" t="s">
        <v>221</v>
      </c>
      <c r="E36" s="329" t="s">
        <v>385</v>
      </c>
      <c r="F36" s="236" t="s">
        <v>473</v>
      </c>
      <c r="G36" s="273"/>
      <c r="H36" s="252" t="s">
        <v>25</v>
      </c>
      <c r="J36" s="244"/>
      <c r="K36" s="243"/>
      <c r="L36" s="244"/>
      <c r="M36" s="252"/>
      <c r="N36" s="236"/>
      <c r="O36" s="293"/>
      <c r="P36" s="293"/>
      <c r="Q36" s="294"/>
      <c r="R36" s="252"/>
      <c r="S36" s="236"/>
      <c r="T36" s="243"/>
      <c r="U36" s="244"/>
      <c r="V36" s="242"/>
      <c r="W36" s="236"/>
      <c r="X36" s="232">
        <v>1</v>
      </c>
      <c r="Y36" s="261" t="s">
        <v>116</v>
      </c>
      <c r="Z36" s="261" t="s">
        <v>421</v>
      </c>
      <c r="AA36" s="261" t="s">
        <v>392</v>
      </c>
      <c r="AB36" s="283" t="s">
        <v>116</v>
      </c>
      <c r="AC36" s="317" t="s">
        <v>141</v>
      </c>
      <c r="AD36" s="317"/>
      <c r="AE36" s="317"/>
      <c r="AF36" s="319"/>
      <c r="AG36" s="319" t="s">
        <v>144</v>
      </c>
      <c r="AH36" s="319"/>
      <c r="AI36" s="319"/>
      <c r="AJ36" s="295">
        <v>34</v>
      </c>
      <c r="AK36" s="380"/>
    </row>
    <row r="37" spans="1:37" ht="73.2" hidden="1" customHeight="1" thickTop="1" thickBot="1">
      <c r="A37" s="327" t="s">
        <v>88</v>
      </c>
      <c r="B37" s="321" t="s">
        <v>222</v>
      </c>
      <c r="C37" s="322" t="s">
        <v>152</v>
      </c>
      <c r="D37" s="323" t="s">
        <v>223</v>
      </c>
      <c r="E37" s="329">
        <v>45413</v>
      </c>
      <c r="F37" s="236"/>
      <c r="G37" s="273"/>
      <c r="H37" s="252" t="s">
        <v>16</v>
      </c>
      <c r="I37" s="238" t="s">
        <v>472</v>
      </c>
      <c r="J37" s="245"/>
      <c r="K37" s="243"/>
      <c r="L37" s="244"/>
      <c r="M37" s="252"/>
      <c r="N37" s="236"/>
      <c r="O37" s="293"/>
      <c r="P37" s="293"/>
      <c r="Q37" s="294"/>
      <c r="R37" s="252"/>
      <c r="S37" s="236"/>
      <c r="T37" s="243"/>
      <c r="U37" s="244"/>
      <c r="V37" s="242"/>
      <c r="W37" s="236"/>
      <c r="X37" s="232">
        <v>1</v>
      </c>
      <c r="Y37" s="261" t="s">
        <v>116</v>
      </c>
      <c r="Z37" s="261" t="s">
        <v>421</v>
      </c>
      <c r="AA37" s="261" t="s">
        <v>392</v>
      </c>
      <c r="AB37" s="283" t="s">
        <v>116</v>
      </c>
      <c r="AC37" s="317" t="s">
        <v>141</v>
      </c>
      <c r="AD37" s="317"/>
      <c r="AE37" s="317"/>
      <c r="AF37" s="319"/>
      <c r="AG37" s="319" t="s">
        <v>144</v>
      </c>
      <c r="AH37" s="319"/>
      <c r="AI37" s="319"/>
      <c r="AJ37" s="295">
        <v>35</v>
      </c>
      <c r="AK37" s="380"/>
    </row>
    <row r="38" spans="1:37" ht="73.2" hidden="1" customHeight="1" thickTop="1" thickBot="1">
      <c r="A38" s="327" t="s">
        <v>88</v>
      </c>
      <c r="B38" s="321" t="s">
        <v>224</v>
      </c>
      <c r="C38" s="322" t="s">
        <v>152</v>
      </c>
      <c r="D38" s="323" t="s">
        <v>121</v>
      </c>
      <c r="E38" s="329">
        <v>45566</v>
      </c>
      <c r="F38" s="247"/>
      <c r="G38" s="273"/>
      <c r="H38" s="252" t="s">
        <v>29</v>
      </c>
      <c r="J38" s="244"/>
      <c r="K38" s="243"/>
      <c r="L38" s="244"/>
      <c r="M38" s="252"/>
      <c r="N38" s="236"/>
      <c r="O38" s="293"/>
      <c r="P38" s="293"/>
      <c r="Q38" s="294"/>
      <c r="R38" s="252"/>
      <c r="S38" s="236"/>
      <c r="T38" s="243"/>
      <c r="U38" s="244"/>
      <c r="V38" s="242"/>
      <c r="W38" s="236"/>
      <c r="X38" s="232">
        <v>1</v>
      </c>
      <c r="Y38" s="261" t="s">
        <v>116</v>
      </c>
      <c r="Z38" s="261" t="s">
        <v>422</v>
      </c>
      <c r="AA38" s="261" t="s">
        <v>392</v>
      </c>
      <c r="AB38" s="283" t="s">
        <v>116</v>
      </c>
      <c r="AC38" s="317" t="s">
        <v>141</v>
      </c>
      <c r="AD38" s="317"/>
      <c r="AE38" s="317"/>
      <c r="AF38" s="319"/>
      <c r="AG38" s="319" t="s">
        <v>144</v>
      </c>
      <c r="AH38" s="319"/>
      <c r="AI38" s="319"/>
      <c r="AJ38" s="295">
        <v>36</v>
      </c>
      <c r="AK38" s="380"/>
    </row>
    <row r="39" spans="1:37" ht="73.2" customHeight="1" thickTop="1" thickBot="1">
      <c r="A39" s="327" t="s">
        <v>87</v>
      </c>
      <c r="B39" s="321" t="s">
        <v>225</v>
      </c>
      <c r="C39" s="322" t="s">
        <v>109</v>
      </c>
      <c r="D39" s="326" t="s">
        <v>226</v>
      </c>
      <c r="E39" s="329">
        <v>45717</v>
      </c>
      <c r="F39" s="236" t="s">
        <v>488</v>
      </c>
      <c r="G39" s="273" t="s">
        <v>489</v>
      </c>
      <c r="H39" s="252" t="s">
        <v>25</v>
      </c>
      <c r="J39" s="243"/>
      <c r="K39" s="243"/>
      <c r="L39" s="244"/>
      <c r="M39" s="252"/>
      <c r="N39" s="237"/>
      <c r="O39" s="293"/>
      <c r="P39" s="293"/>
      <c r="Q39" s="294"/>
      <c r="R39" s="252"/>
      <c r="S39" s="236"/>
      <c r="T39" s="243"/>
      <c r="U39" s="244"/>
      <c r="V39" s="242"/>
      <c r="W39" s="236"/>
      <c r="X39" s="232">
        <v>1</v>
      </c>
      <c r="Y39" s="261" t="s">
        <v>389</v>
      </c>
      <c r="Z39" s="286" t="s">
        <v>409</v>
      </c>
      <c r="AA39" s="261" t="s">
        <v>392</v>
      </c>
      <c r="AB39" s="283" t="s">
        <v>129</v>
      </c>
      <c r="AC39" s="317" t="s">
        <v>138</v>
      </c>
      <c r="AD39" s="317"/>
      <c r="AE39" s="317"/>
      <c r="AF39" s="319" t="s">
        <v>144</v>
      </c>
      <c r="AG39" s="319"/>
      <c r="AH39" s="319"/>
      <c r="AI39" s="319"/>
      <c r="AJ39" s="295">
        <v>37</v>
      </c>
      <c r="AK39" s="380"/>
    </row>
    <row r="40" spans="1:37" ht="73.2" customHeight="1" thickTop="1" thickBot="1">
      <c r="A40" s="327" t="s">
        <v>87</v>
      </c>
      <c r="B40" s="321" t="s">
        <v>227</v>
      </c>
      <c r="C40" s="322" t="s">
        <v>109</v>
      </c>
      <c r="D40" s="323" t="s">
        <v>228</v>
      </c>
      <c r="E40" s="329">
        <v>45536</v>
      </c>
      <c r="F40" s="236"/>
      <c r="G40" s="273"/>
      <c r="H40" s="252" t="s">
        <v>29</v>
      </c>
      <c r="J40" s="243"/>
      <c r="K40" s="243"/>
      <c r="L40" s="244"/>
      <c r="M40" s="252"/>
      <c r="N40" s="236"/>
      <c r="O40" s="293"/>
      <c r="P40" s="293"/>
      <c r="Q40" s="294"/>
      <c r="R40" s="252"/>
      <c r="S40" s="236"/>
      <c r="T40" s="243"/>
      <c r="U40" s="244"/>
      <c r="V40" s="242"/>
      <c r="W40" s="236"/>
      <c r="X40" s="232">
        <v>1</v>
      </c>
      <c r="Y40" s="261" t="s">
        <v>389</v>
      </c>
      <c r="Z40" s="286" t="s">
        <v>409</v>
      </c>
      <c r="AA40" s="261" t="s">
        <v>392</v>
      </c>
      <c r="AB40" s="282" t="s">
        <v>129</v>
      </c>
      <c r="AC40" s="317" t="s">
        <v>141</v>
      </c>
      <c r="AD40" s="317"/>
      <c r="AE40" s="317"/>
      <c r="AF40" s="319"/>
      <c r="AG40" s="319" t="s">
        <v>144</v>
      </c>
      <c r="AH40" s="319"/>
      <c r="AI40" s="319"/>
      <c r="AJ40" s="295">
        <v>38</v>
      </c>
      <c r="AK40" s="380"/>
    </row>
    <row r="41" spans="1:37" ht="73.2" hidden="1" customHeight="1" thickTop="1" thickBot="1">
      <c r="A41" s="328" t="s">
        <v>383</v>
      </c>
      <c r="B41" s="321" t="s">
        <v>229</v>
      </c>
      <c r="C41" s="322" t="s">
        <v>111</v>
      </c>
      <c r="D41" s="323" t="s">
        <v>230</v>
      </c>
      <c r="E41" s="329">
        <v>45627</v>
      </c>
      <c r="F41" s="236" t="s">
        <v>476</v>
      </c>
      <c r="G41" s="273"/>
      <c r="H41" s="252" t="s">
        <v>25</v>
      </c>
      <c r="J41" s="243"/>
      <c r="K41" s="243"/>
      <c r="L41" s="244"/>
      <c r="M41" s="252"/>
      <c r="N41" s="236"/>
      <c r="O41" s="293"/>
      <c r="P41" s="293"/>
      <c r="Q41" s="294"/>
      <c r="R41" s="252"/>
      <c r="S41" s="236"/>
      <c r="T41" s="243"/>
      <c r="U41" s="244"/>
      <c r="V41" s="242"/>
      <c r="W41" s="236"/>
      <c r="X41" s="232">
        <v>1</v>
      </c>
      <c r="Y41" s="261" t="s">
        <v>388</v>
      </c>
      <c r="Z41" s="261" t="s">
        <v>414</v>
      </c>
      <c r="AA41" s="261" t="s">
        <v>392</v>
      </c>
      <c r="AB41" s="283" t="s">
        <v>129</v>
      </c>
      <c r="AC41" s="317" t="s">
        <v>137</v>
      </c>
      <c r="AD41" s="317"/>
      <c r="AE41" s="317"/>
      <c r="AF41" s="319"/>
      <c r="AG41" s="319"/>
      <c r="AH41" s="319"/>
      <c r="AI41" s="319" t="s">
        <v>144</v>
      </c>
      <c r="AJ41" s="295">
        <v>39</v>
      </c>
      <c r="AK41" s="380"/>
    </row>
    <row r="42" spans="1:37" ht="73.2" customHeight="1" thickTop="1" thickBot="1">
      <c r="A42" s="327" t="s">
        <v>87</v>
      </c>
      <c r="B42" s="321" t="s">
        <v>231</v>
      </c>
      <c r="C42" s="322" t="s">
        <v>181</v>
      </c>
      <c r="D42" s="323" t="s">
        <v>232</v>
      </c>
      <c r="E42" s="329">
        <v>45474</v>
      </c>
      <c r="F42" s="236" t="s">
        <v>491</v>
      </c>
      <c r="G42" s="273"/>
      <c r="H42" s="252" t="s">
        <v>25</v>
      </c>
      <c r="J42" s="243"/>
      <c r="K42" s="243"/>
      <c r="L42" s="244"/>
      <c r="M42" s="252"/>
      <c r="N42" s="236"/>
      <c r="O42" s="293"/>
      <c r="P42" s="293"/>
      <c r="Q42" s="294"/>
      <c r="R42" s="252"/>
      <c r="S42" s="236"/>
      <c r="T42" s="243"/>
      <c r="U42" s="244"/>
      <c r="V42" s="242"/>
      <c r="W42" s="236"/>
      <c r="X42" s="232">
        <v>1</v>
      </c>
      <c r="Y42" s="261" t="s">
        <v>389</v>
      </c>
      <c r="Z42" s="286" t="s">
        <v>409</v>
      </c>
      <c r="AA42" s="261" t="s">
        <v>392</v>
      </c>
      <c r="AB42" s="283" t="s">
        <v>129</v>
      </c>
      <c r="AC42" s="317" t="s">
        <v>138</v>
      </c>
      <c r="AD42" s="317" t="s">
        <v>141</v>
      </c>
      <c r="AE42" s="317"/>
      <c r="AF42" s="319" t="s">
        <v>144</v>
      </c>
      <c r="AG42" s="319" t="s">
        <v>144</v>
      </c>
      <c r="AH42" s="319"/>
      <c r="AI42" s="319"/>
      <c r="AJ42" s="295">
        <v>40</v>
      </c>
      <c r="AK42" s="380"/>
    </row>
    <row r="43" spans="1:37" ht="73.2" hidden="1" customHeight="1" thickTop="1" thickBot="1">
      <c r="A43" s="327" t="s">
        <v>383</v>
      </c>
      <c r="B43" s="321" t="s">
        <v>233</v>
      </c>
      <c r="C43" s="322" t="s">
        <v>234</v>
      </c>
      <c r="D43" s="323" t="s">
        <v>235</v>
      </c>
      <c r="E43" s="329">
        <v>45717</v>
      </c>
      <c r="F43" s="236" t="s">
        <v>477</v>
      </c>
      <c r="G43" s="273"/>
      <c r="H43" s="252" t="s">
        <v>25</v>
      </c>
      <c r="J43" s="243"/>
      <c r="K43" s="243"/>
      <c r="L43" s="244"/>
      <c r="M43" s="252"/>
      <c r="N43" s="236"/>
      <c r="O43" s="293"/>
      <c r="P43" s="293"/>
      <c r="Q43" s="294"/>
      <c r="R43" s="252"/>
      <c r="S43" s="236"/>
      <c r="T43" s="243"/>
      <c r="U43" s="244"/>
      <c r="V43" s="242"/>
      <c r="W43" s="236"/>
      <c r="X43" s="232">
        <v>1</v>
      </c>
      <c r="Y43" s="261" t="s">
        <v>388</v>
      </c>
      <c r="Z43" s="261" t="s">
        <v>413</v>
      </c>
      <c r="AA43" s="261" t="s">
        <v>392</v>
      </c>
      <c r="AB43" s="283" t="s">
        <v>129</v>
      </c>
      <c r="AC43" s="318" t="s">
        <v>116</v>
      </c>
      <c r="AD43" s="317"/>
      <c r="AE43" s="317"/>
      <c r="AF43" s="319"/>
      <c r="AG43" s="319"/>
      <c r="AH43" s="319" t="s">
        <v>144</v>
      </c>
      <c r="AI43" s="319"/>
      <c r="AJ43" s="295">
        <v>41</v>
      </c>
      <c r="AK43" s="380"/>
    </row>
    <row r="44" spans="1:37" ht="73.2" hidden="1" customHeight="1" thickTop="1" thickBot="1">
      <c r="A44" s="328" t="s">
        <v>89</v>
      </c>
      <c r="B44" s="321" t="s">
        <v>236</v>
      </c>
      <c r="C44" s="322" t="s">
        <v>120</v>
      </c>
      <c r="D44" s="323" t="s">
        <v>237</v>
      </c>
      <c r="E44" s="329">
        <v>45658</v>
      </c>
      <c r="F44" s="236" t="s">
        <v>498</v>
      </c>
      <c r="G44" s="273" t="s">
        <v>429</v>
      </c>
      <c r="H44" s="252" t="s">
        <v>25</v>
      </c>
      <c r="J44" s="243"/>
      <c r="K44" s="243"/>
      <c r="L44" s="244"/>
      <c r="M44" s="252"/>
      <c r="N44" s="236"/>
      <c r="O44" s="293"/>
      <c r="P44" s="293"/>
      <c r="Q44" s="294"/>
      <c r="R44" s="252"/>
      <c r="S44" s="236"/>
      <c r="T44" s="243"/>
      <c r="U44" s="244"/>
      <c r="V44" s="242"/>
      <c r="W44" s="236"/>
      <c r="X44" s="232">
        <v>1</v>
      </c>
      <c r="Y44" s="261" t="s">
        <v>388</v>
      </c>
      <c r="Z44" s="261" t="s">
        <v>418</v>
      </c>
      <c r="AA44" s="261" t="s">
        <v>123</v>
      </c>
      <c r="AB44" s="283" t="s">
        <v>117</v>
      </c>
      <c r="AC44" s="317" t="s">
        <v>116</v>
      </c>
      <c r="AD44" s="317"/>
      <c r="AE44" s="317"/>
      <c r="AF44" s="319"/>
      <c r="AG44" s="319"/>
      <c r="AH44" s="319" t="s">
        <v>144</v>
      </c>
      <c r="AI44" s="319"/>
      <c r="AJ44" s="295">
        <v>42</v>
      </c>
      <c r="AK44" s="380"/>
    </row>
    <row r="45" spans="1:37" ht="109.2" hidden="1" customHeight="1" thickTop="1" thickBot="1">
      <c r="A45" s="327" t="s">
        <v>89</v>
      </c>
      <c r="B45" s="321" t="s">
        <v>238</v>
      </c>
      <c r="C45" s="322" t="s">
        <v>120</v>
      </c>
      <c r="D45" s="323" t="s">
        <v>239</v>
      </c>
      <c r="E45" s="329">
        <v>45627</v>
      </c>
      <c r="F45" s="236" t="s">
        <v>478</v>
      </c>
      <c r="G45" s="274"/>
      <c r="H45" s="252" t="s">
        <v>29</v>
      </c>
      <c r="J45" s="299"/>
      <c r="K45" s="244"/>
      <c r="L45" s="244"/>
      <c r="M45" s="252"/>
      <c r="N45" s="247"/>
      <c r="O45" s="293"/>
      <c r="P45" s="293"/>
      <c r="Q45" s="273"/>
      <c r="R45" s="252"/>
      <c r="S45" s="236"/>
      <c r="T45" s="250"/>
      <c r="U45" s="253"/>
      <c r="V45" s="242"/>
      <c r="W45" s="247"/>
      <c r="X45" s="232">
        <v>1</v>
      </c>
      <c r="Y45" s="261" t="s">
        <v>389</v>
      </c>
      <c r="Z45" s="261" t="s">
        <v>417</v>
      </c>
      <c r="AA45" s="261" t="s">
        <v>123</v>
      </c>
      <c r="AB45" s="283" t="s">
        <v>117</v>
      </c>
      <c r="AC45" s="317" t="s">
        <v>116</v>
      </c>
      <c r="AD45" s="317"/>
      <c r="AE45" s="317"/>
      <c r="AF45" s="319"/>
      <c r="AG45" s="319"/>
      <c r="AH45" s="319" t="s">
        <v>144</v>
      </c>
      <c r="AI45" s="319"/>
      <c r="AJ45" s="295">
        <v>43</v>
      </c>
      <c r="AK45" s="380"/>
    </row>
    <row r="46" spans="1:37" ht="96" hidden="1" customHeight="1" thickTop="1" thickBot="1">
      <c r="A46" s="327" t="s">
        <v>86</v>
      </c>
      <c r="B46" s="321" t="s">
        <v>240</v>
      </c>
      <c r="C46" s="322" t="s">
        <v>241</v>
      </c>
      <c r="D46" s="323" t="s">
        <v>242</v>
      </c>
      <c r="E46" s="329">
        <v>45566</v>
      </c>
      <c r="F46" s="236" t="s">
        <v>444</v>
      </c>
      <c r="G46" s="273"/>
      <c r="H46" s="252" t="s">
        <v>29</v>
      </c>
      <c r="J46" s="300"/>
      <c r="K46" s="301"/>
      <c r="L46" s="301"/>
      <c r="M46" s="252"/>
      <c r="N46" s="236"/>
      <c r="O46" s="300"/>
      <c r="P46" s="302"/>
      <c r="Q46" s="301"/>
      <c r="R46" s="252"/>
      <c r="S46" s="236"/>
      <c r="T46" s="249"/>
      <c r="U46" s="251"/>
      <c r="V46" s="242"/>
      <c r="W46" s="247"/>
      <c r="X46" s="232">
        <v>1</v>
      </c>
      <c r="Y46" s="261" t="s">
        <v>389</v>
      </c>
      <c r="Z46" s="261" t="s">
        <v>419</v>
      </c>
      <c r="AA46" s="261" t="s">
        <v>123</v>
      </c>
      <c r="AB46" s="283" t="s">
        <v>95</v>
      </c>
      <c r="AC46" s="317" t="s">
        <v>141</v>
      </c>
      <c r="AD46" s="317"/>
      <c r="AE46" s="317"/>
      <c r="AF46" s="319"/>
      <c r="AG46" s="319" t="s">
        <v>144</v>
      </c>
      <c r="AH46" s="319"/>
      <c r="AI46" s="319"/>
      <c r="AJ46" s="295">
        <v>44</v>
      </c>
      <c r="AK46" s="380"/>
    </row>
    <row r="47" spans="1:37" ht="73.2" hidden="1" customHeight="1" thickTop="1" thickBot="1">
      <c r="A47" s="327" t="s">
        <v>86</v>
      </c>
      <c r="B47" s="321" t="s">
        <v>243</v>
      </c>
      <c r="C47" s="322" t="s">
        <v>241</v>
      </c>
      <c r="D47" s="323" t="s">
        <v>244</v>
      </c>
      <c r="E47" s="329">
        <v>45566</v>
      </c>
      <c r="F47" s="236" t="s">
        <v>445</v>
      </c>
      <c r="G47" s="273"/>
      <c r="H47" s="252" t="s">
        <v>29</v>
      </c>
      <c r="J47" s="303"/>
      <c r="K47" s="301"/>
      <c r="L47" s="301"/>
      <c r="M47" s="252"/>
      <c r="N47" s="236"/>
      <c r="O47" s="300"/>
      <c r="P47" s="312"/>
      <c r="Q47" s="313"/>
      <c r="R47" s="252"/>
      <c r="S47" s="236"/>
      <c r="T47" s="249"/>
      <c r="U47" s="251"/>
      <c r="V47" s="242"/>
      <c r="W47" s="247"/>
      <c r="X47" s="232">
        <v>1</v>
      </c>
      <c r="Y47" s="261" t="s">
        <v>389</v>
      </c>
      <c r="Z47" s="261" t="s">
        <v>419</v>
      </c>
      <c r="AA47" s="261" t="s">
        <v>123</v>
      </c>
      <c r="AB47" s="283" t="s">
        <v>95</v>
      </c>
      <c r="AC47" s="317" t="s">
        <v>116</v>
      </c>
      <c r="AD47" s="317" t="s">
        <v>141</v>
      </c>
      <c r="AE47" s="317"/>
      <c r="AF47" s="319"/>
      <c r="AG47" s="319" t="s">
        <v>144</v>
      </c>
      <c r="AH47" s="319" t="s">
        <v>144</v>
      </c>
      <c r="AI47" s="319"/>
      <c r="AJ47" s="295">
        <v>45</v>
      </c>
      <c r="AK47" s="380"/>
    </row>
    <row r="48" spans="1:37" ht="73.2" hidden="1" customHeight="1" thickTop="1" thickBot="1">
      <c r="A48" s="327" t="s">
        <v>86</v>
      </c>
      <c r="B48" s="321" t="s">
        <v>245</v>
      </c>
      <c r="C48" s="322" t="s">
        <v>246</v>
      </c>
      <c r="D48" s="323" t="s">
        <v>247</v>
      </c>
      <c r="E48" s="329">
        <v>45566</v>
      </c>
      <c r="F48" s="236" t="s">
        <v>456</v>
      </c>
      <c r="G48" s="273"/>
      <c r="H48" s="252" t="s">
        <v>29</v>
      </c>
      <c r="J48" s="300"/>
      <c r="K48" s="301"/>
      <c r="L48" s="301"/>
      <c r="M48" s="252"/>
      <c r="N48" s="236"/>
      <c r="O48" s="304"/>
      <c r="P48" s="302"/>
      <c r="Q48" s="301"/>
      <c r="R48" s="252"/>
      <c r="S48" s="237"/>
      <c r="T48" s="249"/>
      <c r="U48" s="251"/>
      <c r="V48" s="242"/>
      <c r="W48" s="237"/>
      <c r="X48" s="232">
        <v>1</v>
      </c>
      <c r="Y48" s="261" t="s">
        <v>389</v>
      </c>
      <c r="Z48" s="261" t="s">
        <v>419</v>
      </c>
      <c r="AA48" s="261" t="s">
        <v>123</v>
      </c>
      <c r="AB48" s="283" t="s">
        <v>95</v>
      </c>
      <c r="AC48" s="318" t="s">
        <v>137</v>
      </c>
      <c r="AD48" s="317" t="s">
        <v>116</v>
      </c>
      <c r="AE48" s="317"/>
      <c r="AF48" s="319"/>
      <c r="AG48" s="319"/>
      <c r="AH48" s="319" t="s">
        <v>144</v>
      </c>
      <c r="AI48" s="319" t="s">
        <v>144</v>
      </c>
      <c r="AJ48" s="295">
        <v>46</v>
      </c>
      <c r="AK48" s="380"/>
    </row>
    <row r="49" spans="1:37" ht="73.2" hidden="1" customHeight="1" thickTop="1" thickBot="1">
      <c r="A49" s="328" t="s">
        <v>86</v>
      </c>
      <c r="B49" s="321" t="s">
        <v>248</v>
      </c>
      <c r="C49" s="322" t="s">
        <v>249</v>
      </c>
      <c r="D49" s="323" t="s">
        <v>250</v>
      </c>
      <c r="E49" s="329">
        <v>45627</v>
      </c>
      <c r="F49" s="236"/>
      <c r="G49" s="273"/>
      <c r="H49" s="252" t="s">
        <v>29</v>
      </c>
      <c r="J49" s="246"/>
      <c r="K49" s="298"/>
      <c r="L49" s="298"/>
      <c r="M49" s="252"/>
      <c r="N49" s="236"/>
      <c r="O49" s="305"/>
      <c r="P49" s="293"/>
      <c r="Q49" s="294"/>
      <c r="R49" s="252"/>
      <c r="S49" s="236"/>
      <c r="T49" s="256"/>
      <c r="U49" s="254"/>
      <c r="V49" s="242"/>
      <c r="W49" s="236"/>
      <c r="X49" s="232">
        <v>1</v>
      </c>
      <c r="Y49" s="261" t="s">
        <v>389</v>
      </c>
      <c r="Z49" s="261" t="s">
        <v>419</v>
      </c>
      <c r="AA49" s="261" t="s">
        <v>123</v>
      </c>
      <c r="AB49" s="283" t="s">
        <v>95</v>
      </c>
      <c r="AC49" s="317" t="s">
        <v>116</v>
      </c>
      <c r="AD49" s="317" t="s">
        <v>137</v>
      </c>
      <c r="AE49" s="317"/>
      <c r="AF49" s="319"/>
      <c r="AG49" s="319"/>
      <c r="AH49" s="319" t="s">
        <v>144</v>
      </c>
      <c r="AI49" s="319" t="s">
        <v>144</v>
      </c>
      <c r="AJ49" s="295">
        <v>47</v>
      </c>
      <c r="AK49" s="380"/>
    </row>
    <row r="50" spans="1:37" ht="85.2" hidden="1" customHeight="1" thickTop="1" thickBot="1">
      <c r="A50" s="327" t="s">
        <v>86</v>
      </c>
      <c r="B50" s="321" t="s">
        <v>251</v>
      </c>
      <c r="C50" s="322" t="s">
        <v>252</v>
      </c>
      <c r="D50" s="323" t="s">
        <v>253</v>
      </c>
      <c r="E50" s="329">
        <v>45597</v>
      </c>
      <c r="F50" s="236"/>
      <c r="G50" s="273"/>
      <c r="H50" s="252" t="s">
        <v>29</v>
      </c>
      <c r="J50" s="243"/>
      <c r="K50" s="243"/>
      <c r="L50" s="244"/>
      <c r="M50" s="252"/>
      <c r="N50" s="236"/>
      <c r="O50" s="293"/>
      <c r="P50" s="293"/>
      <c r="Q50" s="294"/>
      <c r="R50" s="252"/>
      <c r="S50" s="236"/>
      <c r="T50" s="243"/>
      <c r="U50" s="244"/>
      <c r="V50" s="242"/>
      <c r="W50" s="236"/>
      <c r="X50" s="232">
        <v>1</v>
      </c>
      <c r="Y50" s="261" t="s">
        <v>389</v>
      </c>
      <c r="Z50" s="261" t="s">
        <v>419</v>
      </c>
      <c r="AA50" s="261" t="s">
        <v>123</v>
      </c>
      <c r="AB50" s="283" t="s">
        <v>95</v>
      </c>
      <c r="AC50" s="317" t="s">
        <v>141</v>
      </c>
      <c r="AD50" s="317" t="s">
        <v>137</v>
      </c>
      <c r="AE50" s="317"/>
      <c r="AF50" s="319"/>
      <c r="AG50" s="319" t="s">
        <v>144</v>
      </c>
      <c r="AH50" s="319"/>
      <c r="AI50" s="319" t="s">
        <v>144</v>
      </c>
      <c r="AJ50" s="295">
        <v>48</v>
      </c>
      <c r="AK50" s="380"/>
    </row>
    <row r="51" spans="1:37" ht="132" hidden="1" customHeight="1" thickTop="1" thickBot="1">
      <c r="A51" s="327" t="s">
        <v>86</v>
      </c>
      <c r="B51" s="321" t="s">
        <v>254</v>
      </c>
      <c r="C51" s="322" t="s">
        <v>252</v>
      </c>
      <c r="D51" s="323" t="s">
        <v>255</v>
      </c>
      <c r="E51" s="329">
        <v>45717</v>
      </c>
      <c r="F51" s="236" t="s">
        <v>457</v>
      </c>
      <c r="G51" s="273"/>
      <c r="H51" s="252" t="s">
        <v>25</v>
      </c>
      <c r="J51" s="243"/>
      <c r="K51" s="244"/>
      <c r="L51" s="244"/>
      <c r="M51" s="252"/>
      <c r="N51" s="236"/>
      <c r="O51" s="293"/>
      <c r="P51" s="293"/>
      <c r="Q51" s="294"/>
      <c r="R51" s="252"/>
      <c r="S51" s="236"/>
      <c r="T51" s="243"/>
      <c r="U51" s="244"/>
      <c r="V51" s="242"/>
      <c r="W51" s="236"/>
      <c r="X51" s="232">
        <v>1</v>
      </c>
      <c r="Y51" s="261" t="s">
        <v>389</v>
      </c>
      <c r="Z51" s="261" t="s">
        <v>419</v>
      </c>
      <c r="AA51" s="261" t="s">
        <v>123</v>
      </c>
      <c r="AB51" s="283" t="s">
        <v>95</v>
      </c>
      <c r="AC51" s="317" t="s">
        <v>141</v>
      </c>
      <c r="AD51" s="317" t="s">
        <v>137</v>
      </c>
      <c r="AE51" s="317"/>
      <c r="AF51" s="319"/>
      <c r="AG51" s="319" t="s">
        <v>144</v>
      </c>
      <c r="AH51" s="319"/>
      <c r="AI51" s="319" t="s">
        <v>144</v>
      </c>
      <c r="AJ51" s="295">
        <v>49</v>
      </c>
      <c r="AK51" s="380"/>
    </row>
    <row r="52" spans="1:37" ht="67.95" hidden="1" customHeight="1" thickTop="1" thickBot="1">
      <c r="A52" s="328" t="s">
        <v>86</v>
      </c>
      <c r="B52" s="321" t="s">
        <v>256</v>
      </c>
      <c r="C52" s="322" t="s">
        <v>252</v>
      </c>
      <c r="D52" s="323" t="s">
        <v>257</v>
      </c>
      <c r="E52" s="329">
        <v>45597</v>
      </c>
      <c r="F52" s="275" t="s">
        <v>446</v>
      </c>
      <c r="G52" s="273"/>
      <c r="H52" s="252" t="s">
        <v>25</v>
      </c>
      <c r="J52" s="243"/>
      <c r="K52" s="243"/>
      <c r="L52" s="244"/>
      <c r="M52" s="252"/>
      <c r="N52" s="236"/>
      <c r="O52" s="293"/>
      <c r="P52" s="293"/>
      <c r="Q52" s="294"/>
      <c r="R52" s="252"/>
      <c r="S52" s="236"/>
      <c r="T52" s="243"/>
      <c r="U52" s="244"/>
      <c r="V52" s="242"/>
      <c r="W52" s="236"/>
      <c r="X52" s="232">
        <v>1</v>
      </c>
      <c r="Y52" s="261" t="s">
        <v>389</v>
      </c>
      <c r="Z52" s="261" t="s">
        <v>419</v>
      </c>
      <c r="AA52" s="261" t="s">
        <v>123</v>
      </c>
      <c r="AB52" s="283" t="s">
        <v>95</v>
      </c>
      <c r="AC52" s="317" t="s">
        <v>141</v>
      </c>
      <c r="AD52" s="317" t="s">
        <v>137</v>
      </c>
      <c r="AE52" s="317"/>
      <c r="AF52" s="319"/>
      <c r="AG52" s="319" t="s">
        <v>144</v>
      </c>
      <c r="AH52" s="319"/>
      <c r="AI52" s="319" t="s">
        <v>144</v>
      </c>
      <c r="AJ52" s="295">
        <v>50</v>
      </c>
      <c r="AK52" s="380"/>
    </row>
    <row r="53" spans="1:37" ht="73.2" hidden="1" customHeight="1" thickTop="1" thickBot="1">
      <c r="A53" s="327" t="s">
        <v>91</v>
      </c>
      <c r="B53" s="321" t="s">
        <v>258</v>
      </c>
      <c r="C53" s="322" t="s">
        <v>120</v>
      </c>
      <c r="D53" s="323" t="s">
        <v>259</v>
      </c>
      <c r="E53" s="329">
        <v>45536</v>
      </c>
      <c r="F53" s="236" t="s">
        <v>435</v>
      </c>
      <c r="G53" s="273"/>
      <c r="H53" s="252" t="s">
        <v>25</v>
      </c>
      <c r="J53" s="243"/>
      <c r="K53" s="243"/>
      <c r="L53" s="244"/>
      <c r="M53" s="252"/>
      <c r="N53" s="236"/>
      <c r="O53" s="306"/>
      <c r="P53" s="293"/>
      <c r="Q53" s="294"/>
      <c r="R53" s="252"/>
      <c r="S53" s="236"/>
      <c r="T53" s="243"/>
      <c r="U53" s="244"/>
      <c r="V53" s="242"/>
      <c r="W53" s="236"/>
      <c r="X53" s="232">
        <v>1</v>
      </c>
      <c r="Y53" s="261" t="s">
        <v>389</v>
      </c>
      <c r="Z53" s="261" t="s">
        <v>425</v>
      </c>
      <c r="AA53" s="261" t="s">
        <v>123</v>
      </c>
      <c r="AB53" s="280" t="s">
        <v>95</v>
      </c>
      <c r="AC53" s="317" t="s">
        <v>138</v>
      </c>
      <c r="AD53" s="317"/>
      <c r="AE53" s="317"/>
      <c r="AF53" s="319" t="s">
        <v>144</v>
      </c>
      <c r="AG53" s="319"/>
      <c r="AH53" s="319"/>
      <c r="AI53" s="319"/>
      <c r="AJ53" s="295">
        <v>51</v>
      </c>
      <c r="AK53" s="380"/>
    </row>
    <row r="54" spans="1:37" ht="73.2" hidden="1" customHeight="1" thickTop="1" thickBot="1">
      <c r="A54" s="327" t="s">
        <v>91</v>
      </c>
      <c r="B54" s="321" t="s">
        <v>260</v>
      </c>
      <c r="C54" s="322" t="s">
        <v>120</v>
      </c>
      <c r="D54" s="323" t="s">
        <v>261</v>
      </c>
      <c r="E54" s="329">
        <v>45717</v>
      </c>
      <c r="F54" s="236" t="s">
        <v>435</v>
      </c>
      <c r="G54" s="273"/>
      <c r="H54" s="252" t="s">
        <v>25</v>
      </c>
      <c r="I54" s="238" t="s">
        <v>505</v>
      </c>
      <c r="J54" s="243"/>
      <c r="K54" s="243"/>
      <c r="L54" s="244"/>
      <c r="M54" s="252"/>
      <c r="N54" s="236"/>
      <c r="O54" s="293"/>
      <c r="P54" s="293"/>
      <c r="Q54" s="294"/>
      <c r="R54" s="252"/>
      <c r="S54" s="236"/>
      <c r="T54" s="243"/>
      <c r="U54" s="244"/>
      <c r="V54" s="242"/>
      <c r="W54" s="236"/>
      <c r="X54" s="232">
        <v>1</v>
      </c>
      <c r="Y54" s="261" t="s">
        <v>389</v>
      </c>
      <c r="Z54" s="261" t="s">
        <v>425</v>
      </c>
      <c r="AA54" s="261" t="s">
        <v>123</v>
      </c>
      <c r="AB54" s="280" t="s">
        <v>95</v>
      </c>
      <c r="AC54" s="317" t="s">
        <v>138</v>
      </c>
      <c r="AD54" s="317"/>
      <c r="AE54" s="317"/>
      <c r="AF54" s="319" t="s">
        <v>144</v>
      </c>
      <c r="AG54" s="319"/>
      <c r="AH54" s="319"/>
      <c r="AI54" s="319"/>
      <c r="AJ54" s="295">
        <v>52</v>
      </c>
      <c r="AK54" s="380"/>
    </row>
    <row r="55" spans="1:37" ht="73.2" hidden="1" customHeight="1" thickTop="1" thickBot="1">
      <c r="A55" s="327" t="s">
        <v>91</v>
      </c>
      <c r="B55" s="321" t="s">
        <v>262</v>
      </c>
      <c r="C55" s="322" t="s">
        <v>263</v>
      </c>
      <c r="D55" s="323" t="s">
        <v>264</v>
      </c>
      <c r="E55" s="329">
        <v>45717</v>
      </c>
      <c r="F55" s="275" t="s">
        <v>501</v>
      </c>
      <c r="G55" s="273"/>
      <c r="H55" s="252" t="s">
        <v>29</v>
      </c>
      <c r="J55" s="246"/>
      <c r="K55" s="243"/>
      <c r="L55" s="244"/>
      <c r="M55" s="252"/>
      <c r="N55" s="236"/>
      <c r="O55" s="240"/>
      <c r="P55" s="293"/>
      <c r="Q55" s="294"/>
      <c r="R55" s="252"/>
      <c r="S55" s="236"/>
      <c r="T55" s="243"/>
      <c r="U55" s="244"/>
      <c r="V55" s="242"/>
      <c r="W55" s="236"/>
      <c r="X55" s="232">
        <v>1</v>
      </c>
      <c r="Y55" s="261" t="s">
        <v>389</v>
      </c>
      <c r="Z55" s="261" t="s">
        <v>426</v>
      </c>
      <c r="AA55" s="261" t="s">
        <v>123</v>
      </c>
      <c r="AB55" s="280" t="s">
        <v>95</v>
      </c>
      <c r="AC55" s="317" t="s">
        <v>138</v>
      </c>
      <c r="AD55" s="317"/>
      <c r="AE55" s="317"/>
      <c r="AF55" s="319" t="s">
        <v>144</v>
      </c>
      <c r="AG55" s="319"/>
      <c r="AH55" s="319"/>
      <c r="AI55" s="319"/>
      <c r="AJ55" s="295">
        <v>53</v>
      </c>
      <c r="AK55" s="380"/>
    </row>
    <row r="56" spans="1:37" ht="102" hidden="1" customHeight="1" thickTop="1" thickBot="1">
      <c r="A56" s="327" t="s">
        <v>91</v>
      </c>
      <c r="B56" s="321" t="s">
        <v>265</v>
      </c>
      <c r="C56" s="322" t="s">
        <v>266</v>
      </c>
      <c r="D56" s="323" t="s">
        <v>267</v>
      </c>
      <c r="E56" s="329">
        <v>45717</v>
      </c>
      <c r="F56" s="384">
        <v>0.99970000000000003</v>
      </c>
      <c r="G56" s="273"/>
      <c r="H56" s="252" t="s">
        <v>25</v>
      </c>
      <c r="J56" s="241"/>
      <c r="K56" s="240"/>
      <c r="L56" s="241"/>
      <c r="M56" s="252"/>
      <c r="N56" s="237"/>
      <c r="O56" s="293"/>
      <c r="P56" s="293"/>
      <c r="Q56" s="294"/>
      <c r="R56" s="252"/>
      <c r="S56" s="237"/>
      <c r="T56" s="240"/>
      <c r="U56" s="241"/>
      <c r="V56" s="242"/>
      <c r="W56" s="237"/>
      <c r="X56" s="232">
        <v>1</v>
      </c>
      <c r="Y56" s="261" t="s">
        <v>389</v>
      </c>
      <c r="Z56" s="261" t="s">
        <v>427</v>
      </c>
      <c r="AA56" s="261" t="s">
        <v>123</v>
      </c>
      <c r="AB56" s="280" t="s">
        <v>95</v>
      </c>
      <c r="AC56" s="317" t="s">
        <v>138</v>
      </c>
      <c r="AD56" s="317"/>
      <c r="AE56" s="317"/>
      <c r="AF56" s="319" t="s">
        <v>144</v>
      </c>
      <c r="AG56" s="319"/>
      <c r="AH56" s="319"/>
      <c r="AI56" s="319"/>
      <c r="AJ56" s="295">
        <v>54</v>
      </c>
      <c r="AK56" s="380"/>
    </row>
    <row r="57" spans="1:37" ht="73.2" hidden="1" customHeight="1" thickTop="1" thickBot="1">
      <c r="A57" s="328" t="s">
        <v>91</v>
      </c>
      <c r="B57" s="321" t="s">
        <v>268</v>
      </c>
      <c r="C57" s="322" t="s">
        <v>269</v>
      </c>
      <c r="D57" s="323" t="s">
        <v>270</v>
      </c>
      <c r="E57" s="329">
        <v>45717</v>
      </c>
      <c r="F57" s="236" t="s">
        <v>437</v>
      </c>
      <c r="G57" s="273"/>
      <c r="H57" s="252" t="s">
        <v>29</v>
      </c>
      <c r="J57" s="241"/>
      <c r="K57" s="240"/>
      <c r="L57" s="241"/>
      <c r="M57" s="252"/>
      <c r="N57" s="237"/>
      <c r="O57" s="293"/>
      <c r="P57" s="293"/>
      <c r="Q57" s="294"/>
      <c r="R57" s="252"/>
      <c r="S57" s="237"/>
      <c r="T57" s="240"/>
      <c r="U57" s="241"/>
      <c r="V57" s="242"/>
      <c r="W57" s="237"/>
      <c r="X57" s="232">
        <v>1</v>
      </c>
      <c r="Y57" s="261" t="s">
        <v>389</v>
      </c>
      <c r="Z57" s="261" t="s">
        <v>427</v>
      </c>
      <c r="AA57" s="261" t="s">
        <v>123</v>
      </c>
      <c r="AB57" s="280" t="s">
        <v>95</v>
      </c>
      <c r="AC57" s="317" t="s">
        <v>138</v>
      </c>
      <c r="AD57" s="317"/>
      <c r="AE57" s="317"/>
      <c r="AF57" s="319" t="s">
        <v>144</v>
      </c>
      <c r="AG57" s="319"/>
      <c r="AH57" s="319"/>
      <c r="AI57" s="319"/>
      <c r="AJ57" s="295">
        <v>55</v>
      </c>
      <c r="AK57" s="380"/>
    </row>
    <row r="58" spans="1:37" ht="73.2" hidden="1" customHeight="1" thickTop="1" thickBot="1">
      <c r="A58" s="328" t="s">
        <v>91</v>
      </c>
      <c r="B58" s="321" t="s">
        <v>271</v>
      </c>
      <c r="C58" s="322" t="s">
        <v>272</v>
      </c>
      <c r="D58" s="323" t="s">
        <v>273</v>
      </c>
      <c r="E58" s="329">
        <v>45536</v>
      </c>
      <c r="F58" s="236" t="s">
        <v>438</v>
      </c>
      <c r="G58" s="273"/>
      <c r="H58" s="252" t="s">
        <v>25</v>
      </c>
      <c r="J58" s="240"/>
      <c r="K58" s="240"/>
      <c r="L58" s="241"/>
      <c r="M58" s="252"/>
      <c r="N58" s="237"/>
      <c r="O58" s="240"/>
      <c r="P58" s="293"/>
      <c r="Q58" s="294"/>
      <c r="R58" s="252"/>
      <c r="S58" s="237"/>
      <c r="T58" s="240"/>
      <c r="U58" s="241"/>
      <c r="V58" s="242"/>
      <c r="W58" s="237"/>
      <c r="X58" s="232">
        <v>1</v>
      </c>
      <c r="Y58" s="261" t="s">
        <v>389</v>
      </c>
      <c r="Z58" s="261" t="s">
        <v>427</v>
      </c>
      <c r="AA58" s="261" t="s">
        <v>123</v>
      </c>
      <c r="AB58" s="280" t="s">
        <v>95</v>
      </c>
      <c r="AC58" s="317" t="s">
        <v>138</v>
      </c>
      <c r="AD58" s="317" t="s">
        <v>116</v>
      </c>
      <c r="AE58" s="317"/>
      <c r="AF58" s="319" t="s">
        <v>144</v>
      </c>
      <c r="AG58" s="319"/>
      <c r="AH58" s="319" t="s">
        <v>144</v>
      </c>
      <c r="AI58" s="319"/>
      <c r="AJ58" s="295">
        <v>56</v>
      </c>
      <c r="AK58" s="380"/>
    </row>
    <row r="59" spans="1:37" ht="73.2" hidden="1" customHeight="1" thickTop="1" thickBot="1">
      <c r="A59" s="327" t="s">
        <v>90</v>
      </c>
      <c r="B59" s="321" t="s">
        <v>274</v>
      </c>
      <c r="C59" s="322" t="s">
        <v>275</v>
      </c>
      <c r="D59" s="323" t="s">
        <v>276</v>
      </c>
      <c r="E59" s="329">
        <v>45536</v>
      </c>
      <c r="F59" s="236" t="s">
        <v>508</v>
      </c>
      <c r="G59" s="273"/>
      <c r="H59" s="252" t="s">
        <v>25</v>
      </c>
      <c r="J59" s="246"/>
      <c r="K59" s="243"/>
      <c r="L59" s="244"/>
      <c r="M59" s="252"/>
      <c r="N59" s="237"/>
      <c r="O59" s="293"/>
      <c r="P59" s="293"/>
      <c r="Q59" s="294"/>
      <c r="R59" s="252"/>
      <c r="S59" s="237"/>
      <c r="T59" s="240"/>
      <c r="U59" s="241"/>
      <c r="V59" s="242"/>
      <c r="W59" s="237"/>
      <c r="X59" s="232">
        <v>1</v>
      </c>
      <c r="Y59" s="261" t="s">
        <v>388</v>
      </c>
      <c r="Z59" s="261" t="s">
        <v>428</v>
      </c>
      <c r="AA59" s="261" t="s">
        <v>123</v>
      </c>
      <c r="AB59" s="280" t="s">
        <v>95</v>
      </c>
      <c r="AC59" s="317" t="s">
        <v>138</v>
      </c>
      <c r="AD59" s="317" t="s">
        <v>116</v>
      </c>
      <c r="AE59" s="317"/>
      <c r="AF59" s="319" t="s">
        <v>144</v>
      </c>
      <c r="AG59" s="319"/>
      <c r="AH59" s="319" t="s">
        <v>144</v>
      </c>
      <c r="AI59" s="319"/>
      <c r="AJ59" s="295">
        <v>57</v>
      </c>
      <c r="AK59" s="380"/>
    </row>
    <row r="60" spans="1:37" ht="73.2" hidden="1" customHeight="1" thickTop="1" thickBot="1">
      <c r="A60" s="327" t="s">
        <v>90</v>
      </c>
      <c r="B60" s="321" t="s">
        <v>277</v>
      </c>
      <c r="C60" s="322" t="s">
        <v>275</v>
      </c>
      <c r="D60" s="323" t="s">
        <v>278</v>
      </c>
      <c r="E60" s="329">
        <v>45536</v>
      </c>
      <c r="F60" s="236" t="s">
        <v>509</v>
      </c>
      <c r="G60" s="273"/>
      <c r="H60" s="252" t="s">
        <v>25</v>
      </c>
      <c r="J60" s="240"/>
      <c r="K60" s="240"/>
      <c r="L60" s="241"/>
      <c r="M60" s="252"/>
      <c r="N60" s="237"/>
      <c r="O60" s="293"/>
      <c r="P60" s="293"/>
      <c r="Q60" s="294"/>
      <c r="R60" s="252"/>
      <c r="S60" s="237"/>
      <c r="T60" s="245"/>
      <c r="U60" s="241"/>
      <c r="V60" s="242"/>
      <c r="W60" s="237"/>
      <c r="X60" s="232">
        <v>1</v>
      </c>
      <c r="Y60" s="261" t="s">
        <v>388</v>
      </c>
      <c r="Z60" s="261" t="s">
        <v>428</v>
      </c>
      <c r="AA60" s="261" t="s">
        <v>123</v>
      </c>
      <c r="AB60" s="280" t="s">
        <v>95</v>
      </c>
      <c r="AC60" s="317" t="s">
        <v>138</v>
      </c>
      <c r="AD60" s="317"/>
      <c r="AE60" s="317"/>
      <c r="AF60" s="319" t="s">
        <v>144</v>
      </c>
      <c r="AG60" s="319"/>
      <c r="AH60" s="319"/>
      <c r="AI60" s="319"/>
      <c r="AJ60" s="295">
        <v>58</v>
      </c>
      <c r="AK60" s="380"/>
    </row>
    <row r="61" spans="1:37" ht="73.2" hidden="1" customHeight="1" thickTop="1" thickBot="1">
      <c r="A61" s="328" t="s">
        <v>90</v>
      </c>
      <c r="B61" s="321" t="s">
        <v>279</v>
      </c>
      <c r="C61" s="322" t="s">
        <v>275</v>
      </c>
      <c r="D61" s="323" t="s">
        <v>280</v>
      </c>
      <c r="E61" s="329">
        <v>45536</v>
      </c>
      <c r="F61" s="236" t="s">
        <v>510</v>
      </c>
      <c r="G61" s="273"/>
      <c r="H61" s="252" t="s">
        <v>25</v>
      </c>
      <c r="J61" s="240"/>
      <c r="K61" s="240"/>
      <c r="L61" s="241"/>
      <c r="M61" s="252"/>
      <c r="N61" s="237"/>
      <c r="O61" s="293"/>
      <c r="P61" s="293"/>
      <c r="Q61" s="294"/>
      <c r="R61" s="252"/>
      <c r="S61" s="237"/>
      <c r="T61" s="240"/>
      <c r="U61" s="241"/>
      <c r="V61" s="242"/>
      <c r="W61" s="237"/>
      <c r="X61" s="232">
        <v>1</v>
      </c>
      <c r="Y61" s="261" t="s">
        <v>388</v>
      </c>
      <c r="Z61" s="261" t="s">
        <v>428</v>
      </c>
      <c r="AA61" s="261" t="s">
        <v>123</v>
      </c>
      <c r="AB61" s="280" t="s">
        <v>95</v>
      </c>
      <c r="AC61" s="317" t="s">
        <v>138</v>
      </c>
      <c r="AD61" s="317"/>
      <c r="AE61" s="317"/>
      <c r="AF61" s="319" t="s">
        <v>144</v>
      </c>
      <c r="AG61" s="319"/>
      <c r="AH61" s="319"/>
      <c r="AI61" s="319"/>
      <c r="AJ61" s="295">
        <v>59</v>
      </c>
      <c r="AK61" s="380"/>
    </row>
    <row r="62" spans="1:37" ht="73.2" hidden="1" customHeight="1" thickTop="1" thickBot="1">
      <c r="A62" s="328" t="s">
        <v>90</v>
      </c>
      <c r="B62" s="321" t="s">
        <v>281</v>
      </c>
      <c r="C62" s="322" t="s">
        <v>275</v>
      </c>
      <c r="D62" s="323" t="s">
        <v>282</v>
      </c>
      <c r="E62" s="329">
        <v>45627</v>
      </c>
      <c r="F62" s="236" t="s">
        <v>511</v>
      </c>
      <c r="G62" s="273"/>
      <c r="H62" s="252" t="s">
        <v>25</v>
      </c>
      <c r="J62" s="240"/>
      <c r="K62" s="240"/>
      <c r="L62" s="241"/>
      <c r="M62" s="252"/>
      <c r="N62" s="237"/>
      <c r="O62" s="293"/>
      <c r="P62" s="293"/>
      <c r="Q62" s="294"/>
      <c r="R62" s="252"/>
      <c r="S62" s="237"/>
      <c r="T62" s="240"/>
      <c r="U62" s="241"/>
      <c r="V62" s="242"/>
      <c r="W62" s="237"/>
      <c r="X62" s="232">
        <v>1</v>
      </c>
      <c r="Y62" s="261" t="s">
        <v>388</v>
      </c>
      <c r="Z62" s="261" t="s">
        <v>428</v>
      </c>
      <c r="AA62" s="261" t="s">
        <v>123</v>
      </c>
      <c r="AB62" s="280" t="s">
        <v>95</v>
      </c>
      <c r="AC62" s="317" t="s">
        <v>138</v>
      </c>
      <c r="AD62" s="317"/>
      <c r="AE62" s="317"/>
      <c r="AF62" s="319" t="s">
        <v>144</v>
      </c>
      <c r="AG62" s="319"/>
      <c r="AH62" s="319"/>
      <c r="AI62" s="319"/>
      <c r="AJ62" s="295">
        <v>60</v>
      </c>
      <c r="AK62" s="380"/>
    </row>
    <row r="63" spans="1:37" ht="73.2" hidden="1" customHeight="1" thickTop="1" thickBot="1">
      <c r="A63" s="327" t="s">
        <v>90</v>
      </c>
      <c r="B63" s="321" t="s">
        <v>283</v>
      </c>
      <c r="C63" s="322" t="s">
        <v>275</v>
      </c>
      <c r="D63" s="323" t="s">
        <v>284</v>
      </c>
      <c r="E63" s="329">
        <v>45627</v>
      </c>
      <c r="F63" s="236" t="s">
        <v>512</v>
      </c>
      <c r="G63" s="273"/>
      <c r="H63" s="252" t="s">
        <v>25</v>
      </c>
      <c r="J63" s="240"/>
      <c r="K63" s="240"/>
      <c r="L63" s="241"/>
      <c r="M63" s="252"/>
      <c r="N63" s="307"/>
      <c r="O63" s="293"/>
      <c r="P63" s="293"/>
      <c r="Q63" s="294"/>
      <c r="R63" s="252"/>
      <c r="S63" s="237"/>
      <c r="T63" s="245"/>
      <c r="U63" s="241"/>
      <c r="V63" s="242"/>
      <c r="W63" s="237"/>
      <c r="X63" s="232">
        <v>1</v>
      </c>
      <c r="Y63" s="261" t="s">
        <v>388</v>
      </c>
      <c r="Z63" s="261" t="s">
        <v>428</v>
      </c>
      <c r="AA63" s="261" t="s">
        <v>123</v>
      </c>
      <c r="AB63" s="280" t="s">
        <v>95</v>
      </c>
      <c r="AC63" s="317" t="s">
        <v>138</v>
      </c>
      <c r="AD63" s="317" t="s">
        <v>141</v>
      </c>
      <c r="AE63" s="317"/>
      <c r="AF63" s="319" t="s">
        <v>144</v>
      </c>
      <c r="AG63" s="319" t="s">
        <v>144</v>
      </c>
      <c r="AH63" s="319"/>
      <c r="AI63" s="319"/>
      <c r="AJ63" s="295">
        <v>61</v>
      </c>
      <c r="AK63" s="380"/>
    </row>
    <row r="64" spans="1:37" ht="151.19999999999999" hidden="1" thickTop="1" thickBot="1">
      <c r="A64" s="327" t="s">
        <v>139</v>
      </c>
      <c r="B64" s="321" t="s">
        <v>285</v>
      </c>
      <c r="C64" s="322" t="s">
        <v>81</v>
      </c>
      <c r="D64" s="323" t="s">
        <v>286</v>
      </c>
      <c r="E64" s="329">
        <v>45444</v>
      </c>
      <c r="F64" s="236" t="s">
        <v>497</v>
      </c>
      <c r="G64" s="273"/>
      <c r="H64" s="252" t="s">
        <v>16</v>
      </c>
      <c r="J64" s="243"/>
      <c r="K64" s="255"/>
      <c r="L64" s="298"/>
      <c r="M64" s="252"/>
      <c r="N64" s="236"/>
      <c r="O64" s="243"/>
      <c r="P64" s="293"/>
      <c r="Q64" s="294"/>
      <c r="R64" s="252"/>
      <c r="S64" s="236"/>
      <c r="T64" s="255"/>
      <c r="U64" s="254"/>
      <c r="V64" s="242"/>
      <c r="W64" s="236"/>
      <c r="X64" s="232">
        <v>1</v>
      </c>
      <c r="Y64" s="261" t="s">
        <v>116</v>
      </c>
      <c r="Z64" s="261" t="s">
        <v>423</v>
      </c>
      <c r="AA64" s="261" t="s">
        <v>123</v>
      </c>
      <c r="AB64" s="280" t="s">
        <v>94</v>
      </c>
      <c r="AC64" s="317" t="s">
        <v>137</v>
      </c>
      <c r="AD64" s="317" t="s">
        <v>138</v>
      </c>
      <c r="AE64" s="317"/>
      <c r="AF64" s="319" t="s">
        <v>144</v>
      </c>
      <c r="AG64" s="319"/>
      <c r="AH64" s="319"/>
      <c r="AI64" s="319" t="s">
        <v>144</v>
      </c>
      <c r="AJ64" s="295">
        <v>62</v>
      </c>
      <c r="AK64" s="380"/>
    </row>
    <row r="65" spans="1:37" ht="69" hidden="1" customHeight="1" thickTop="1" thickBot="1">
      <c r="A65" s="327" t="s">
        <v>115</v>
      </c>
      <c r="B65" s="321" t="s">
        <v>287</v>
      </c>
      <c r="C65" s="322" t="s">
        <v>82</v>
      </c>
      <c r="D65" s="323" t="s">
        <v>288</v>
      </c>
      <c r="E65" s="329">
        <v>45597</v>
      </c>
      <c r="F65" s="236" t="s">
        <v>432</v>
      </c>
      <c r="G65" s="273"/>
      <c r="H65" s="252" t="s">
        <v>25</v>
      </c>
      <c r="J65" s="243"/>
      <c r="K65" s="240"/>
      <c r="L65" s="241"/>
      <c r="M65" s="252"/>
      <c r="N65" s="237"/>
      <c r="O65" s="293"/>
      <c r="P65" s="293"/>
      <c r="Q65" s="294"/>
      <c r="R65" s="252"/>
      <c r="S65" s="237"/>
      <c r="T65" s="240"/>
      <c r="U65" s="241"/>
      <c r="V65" s="242"/>
      <c r="W65" s="237"/>
      <c r="X65" s="232">
        <v>1</v>
      </c>
      <c r="Y65" s="261" t="s">
        <v>116</v>
      </c>
      <c r="Z65" s="261" t="s">
        <v>415</v>
      </c>
      <c r="AA65" s="261" t="s">
        <v>123</v>
      </c>
      <c r="AB65" s="280" t="s">
        <v>116</v>
      </c>
      <c r="AC65" s="317" t="s">
        <v>138</v>
      </c>
      <c r="AD65" s="317"/>
      <c r="AE65" s="317"/>
      <c r="AF65" s="319" t="s">
        <v>144</v>
      </c>
      <c r="AG65" s="319"/>
      <c r="AH65" s="319"/>
      <c r="AI65" s="319"/>
      <c r="AJ65" s="295">
        <v>63</v>
      </c>
      <c r="AK65" s="380"/>
    </row>
    <row r="66" spans="1:37" ht="69" hidden="1" customHeight="1" thickTop="1" thickBot="1">
      <c r="A66" s="327" t="s">
        <v>115</v>
      </c>
      <c r="B66" s="321" t="s">
        <v>289</v>
      </c>
      <c r="C66" s="322" t="s">
        <v>82</v>
      </c>
      <c r="D66" s="323" t="s">
        <v>290</v>
      </c>
      <c r="E66" s="329">
        <v>45566</v>
      </c>
      <c r="F66" s="236" t="s">
        <v>513</v>
      </c>
      <c r="G66" s="273"/>
      <c r="H66" s="252" t="s">
        <v>25</v>
      </c>
      <c r="J66" s="243"/>
      <c r="K66" s="240"/>
      <c r="L66" s="241"/>
      <c r="M66" s="252"/>
      <c r="N66" s="237"/>
      <c r="O66" s="293"/>
      <c r="P66" s="293"/>
      <c r="Q66" s="294"/>
      <c r="R66" s="252"/>
      <c r="S66" s="237"/>
      <c r="T66" s="240"/>
      <c r="U66" s="241"/>
      <c r="V66" s="242"/>
      <c r="W66" s="237"/>
      <c r="X66" s="232">
        <v>1</v>
      </c>
      <c r="Y66" s="261" t="s">
        <v>116</v>
      </c>
      <c r="Z66" s="261" t="s">
        <v>415</v>
      </c>
      <c r="AA66" s="261" t="s">
        <v>123</v>
      </c>
      <c r="AB66" s="280" t="s">
        <v>116</v>
      </c>
      <c r="AC66" s="317" t="s">
        <v>138</v>
      </c>
      <c r="AD66" s="317"/>
      <c r="AE66" s="317"/>
      <c r="AF66" s="319" t="s">
        <v>144</v>
      </c>
      <c r="AG66" s="319"/>
      <c r="AH66" s="319"/>
      <c r="AI66" s="319"/>
      <c r="AJ66" s="295">
        <v>64</v>
      </c>
      <c r="AK66" s="380"/>
    </row>
    <row r="67" spans="1:37" ht="69" hidden="1" customHeight="1" thickTop="1" thickBot="1">
      <c r="A67" s="327" t="s">
        <v>89</v>
      </c>
      <c r="B67" s="321" t="s">
        <v>291</v>
      </c>
      <c r="C67" s="322" t="s">
        <v>292</v>
      </c>
      <c r="D67" s="323" t="s">
        <v>293</v>
      </c>
      <c r="E67" s="329">
        <v>45717</v>
      </c>
      <c r="F67" s="236" t="s">
        <v>499</v>
      </c>
      <c r="G67" s="273" t="s">
        <v>429</v>
      </c>
      <c r="H67" s="252" t="s">
        <v>25</v>
      </c>
      <c r="J67" s="243"/>
      <c r="K67" s="240"/>
      <c r="L67" s="241"/>
      <c r="M67" s="252"/>
      <c r="N67" s="237"/>
      <c r="O67" s="293"/>
      <c r="P67" s="293"/>
      <c r="Q67" s="294"/>
      <c r="R67" s="252"/>
      <c r="S67" s="237"/>
      <c r="T67" s="240"/>
      <c r="U67" s="241"/>
      <c r="V67" s="242"/>
      <c r="W67" s="237"/>
      <c r="X67" s="232">
        <v>1</v>
      </c>
      <c r="Y67" s="261" t="s">
        <v>388</v>
      </c>
      <c r="Z67" s="261" t="s">
        <v>417</v>
      </c>
      <c r="AA67" s="261" t="s">
        <v>393</v>
      </c>
      <c r="AB67" s="280" t="s">
        <v>117</v>
      </c>
      <c r="AC67" s="317" t="s">
        <v>138</v>
      </c>
      <c r="AD67" s="317"/>
      <c r="AE67" s="317"/>
      <c r="AF67" s="319" t="s">
        <v>144</v>
      </c>
      <c r="AG67" s="319"/>
      <c r="AH67" s="319"/>
      <c r="AI67" s="319"/>
      <c r="AJ67" s="295">
        <v>65</v>
      </c>
      <c r="AK67" s="380"/>
    </row>
    <row r="68" spans="1:37" ht="96.6" hidden="1" customHeight="1" thickTop="1" thickBot="1">
      <c r="A68" s="327" t="s">
        <v>86</v>
      </c>
      <c r="B68" s="321" t="s">
        <v>294</v>
      </c>
      <c r="C68" s="322" t="s">
        <v>295</v>
      </c>
      <c r="D68" s="323" t="s">
        <v>296</v>
      </c>
      <c r="E68" s="329">
        <v>45566</v>
      </c>
      <c r="F68" s="236" t="s">
        <v>447</v>
      </c>
      <c r="G68" s="273"/>
      <c r="H68" s="252" t="s">
        <v>25</v>
      </c>
      <c r="J68" s="243"/>
      <c r="K68" s="240"/>
      <c r="L68" s="241"/>
      <c r="M68" s="252"/>
      <c r="N68" s="237"/>
      <c r="O68" s="293"/>
      <c r="P68" s="293"/>
      <c r="Q68" s="294"/>
      <c r="R68" s="252"/>
      <c r="S68" s="237"/>
      <c r="T68" s="240"/>
      <c r="U68" s="241"/>
      <c r="V68" s="242"/>
      <c r="W68" s="237"/>
      <c r="X68" s="232">
        <v>1</v>
      </c>
      <c r="Y68" s="261" t="s">
        <v>389</v>
      </c>
      <c r="Z68" s="261" t="s">
        <v>419</v>
      </c>
      <c r="AA68" s="261" t="s">
        <v>393</v>
      </c>
      <c r="AB68" s="280" t="s">
        <v>95</v>
      </c>
      <c r="AC68" s="317" t="s">
        <v>138</v>
      </c>
      <c r="AD68" s="317"/>
      <c r="AE68" s="317"/>
      <c r="AF68" s="319" t="s">
        <v>144</v>
      </c>
      <c r="AG68" s="319"/>
      <c r="AH68" s="319"/>
      <c r="AI68" s="319"/>
      <c r="AJ68" s="295">
        <v>66</v>
      </c>
      <c r="AK68" s="380"/>
    </row>
    <row r="69" spans="1:37" ht="102" hidden="1" customHeight="1" thickTop="1" thickBot="1">
      <c r="A69" s="327" t="s">
        <v>86</v>
      </c>
      <c r="B69" s="321" t="s">
        <v>297</v>
      </c>
      <c r="C69" s="322" t="s">
        <v>298</v>
      </c>
      <c r="D69" s="323" t="s">
        <v>299</v>
      </c>
      <c r="E69" s="329">
        <v>45717</v>
      </c>
      <c r="F69" s="236" t="s">
        <v>454</v>
      </c>
      <c r="G69" s="310"/>
      <c r="H69" s="252" t="s">
        <v>25</v>
      </c>
      <c r="J69" s="243"/>
      <c r="K69" s="240"/>
      <c r="L69" s="241"/>
      <c r="M69" s="252"/>
      <c r="N69" s="237"/>
      <c r="O69" s="293"/>
      <c r="P69" s="293"/>
      <c r="Q69" s="294"/>
      <c r="R69" s="252"/>
      <c r="S69" s="237"/>
      <c r="T69" s="240"/>
      <c r="U69" s="241"/>
      <c r="V69" s="242"/>
      <c r="W69" s="237"/>
      <c r="X69" s="232">
        <v>1</v>
      </c>
      <c r="Y69" s="261" t="s">
        <v>389</v>
      </c>
      <c r="Z69" s="261" t="s">
        <v>420</v>
      </c>
      <c r="AA69" s="261" t="s">
        <v>393</v>
      </c>
      <c r="AB69" s="280" t="s">
        <v>94</v>
      </c>
      <c r="AC69" s="317" t="s">
        <v>137</v>
      </c>
      <c r="AD69" s="317"/>
      <c r="AE69" s="317"/>
      <c r="AF69" s="319"/>
      <c r="AG69" s="319"/>
      <c r="AH69" s="319"/>
      <c r="AI69" s="319" t="s">
        <v>144</v>
      </c>
      <c r="AJ69" s="295">
        <v>67</v>
      </c>
      <c r="AK69" s="380"/>
    </row>
    <row r="70" spans="1:37" ht="73.2" hidden="1" customHeight="1" thickTop="1" thickBot="1">
      <c r="A70" s="328" t="s">
        <v>86</v>
      </c>
      <c r="B70" s="321" t="s">
        <v>300</v>
      </c>
      <c r="C70" s="322" t="s">
        <v>298</v>
      </c>
      <c r="D70" s="323" t="s">
        <v>301</v>
      </c>
      <c r="E70" s="329" t="s">
        <v>386</v>
      </c>
      <c r="F70" s="236" t="s">
        <v>448</v>
      </c>
      <c r="G70" s="273"/>
      <c r="H70" s="252" t="s">
        <v>25</v>
      </c>
      <c r="J70" s="243"/>
      <c r="K70" s="240"/>
      <c r="L70" s="241"/>
      <c r="M70" s="252"/>
      <c r="N70" s="237"/>
      <c r="O70" s="293"/>
      <c r="P70" s="293"/>
      <c r="Q70" s="294"/>
      <c r="R70" s="252"/>
      <c r="S70" s="237"/>
      <c r="T70" s="245"/>
      <c r="U70" s="241"/>
      <c r="V70" s="242"/>
      <c r="W70" s="237"/>
      <c r="X70" s="232">
        <v>1</v>
      </c>
      <c r="Y70" s="261" t="s">
        <v>389</v>
      </c>
      <c r="Z70" s="261" t="s">
        <v>420</v>
      </c>
      <c r="AA70" s="261" t="s">
        <v>393</v>
      </c>
      <c r="AB70" s="280" t="s">
        <v>94</v>
      </c>
      <c r="AC70" s="317" t="s">
        <v>137</v>
      </c>
      <c r="AD70" s="317"/>
      <c r="AE70" s="317"/>
      <c r="AF70" s="319"/>
      <c r="AG70" s="319"/>
      <c r="AH70" s="319"/>
      <c r="AI70" s="319" t="s">
        <v>144</v>
      </c>
      <c r="AJ70" s="295">
        <v>68</v>
      </c>
      <c r="AK70" s="380"/>
    </row>
    <row r="71" spans="1:37" ht="73.2" hidden="1" customHeight="1" thickTop="1" thickBot="1">
      <c r="A71" s="327" t="s">
        <v>140</v>
      </c>
      <c r="B71" s="321" t="s">
        <v>302</v>
      </c>
      <c r="C71" s="322" t="s">
        <v>303</v>
      </c>
      <c r="D71" s="323" t="s">
        <v>304</v>
      </c>
      <c r="E71" s="329">
        <v>45536</v>
      </c>
      <c r="F71" s="236" t="s">
        <v>480</v>
      </c>
      <c r="G71" s="273"/>
      <c r="H71" s="252" t="s">
        <v>20</v>
      </c>
      <c r="J71" s="243"/>
      <c r="K71" s="243"/>
      <c r="L71" s="244"/>
      <c r="M71" s="252"/>
      <c r="N71" s="236"/>
      <c r="O71" s="293"/>
      <c r="P71" s="293"/>
      <c r="Q71" s="294"/>
      <c r="R71" s="252"/>
      <c r="S71" s="236"/>
      <c r="T71" s="243"/>
      <c r="U71" s="244"/>
      <c r="V71" s="242"/>
      <c r="W71" s="236"/>
      <c r="X71" s="232">
        <v>1</v>
      </c>
      <c r="Y71" s="261" t="s">
        <v>116</v>
      </c>
      <c r="Z71" s="261" t="s">
        <v>424</v>
      </c>
      <c r="AA71" s="261" t="s">
        <v>393</v>
      </c>
      <c r="AB71" s="280" t="s">
        <v>94</v>
      </c>
      <c r="AC71" s="317" t="s">
        <v>137</v>
      </c>
      <c r="AD71" s="317"/>
      <c r="AE71" s="317"/>
      <c r="AF71" s="319"/>
      <c r="AG71" s="319"/>
      <c r="AH71" s="319"/>
      <c r="AI71" s="319" t="s">
        <v>144</v>
      </c>
      <c r="AJ71" s="295">
        <v>69</v>
      </c>
      <c r="AK71" s="380"/>
    </row>
    <row r="72" spans="1:37" ht="73.2" hidden="1" customHeight="1" thickTop="1" thickBot="1">
      <c r="A72" s="328" t="s">
        <v>115</v>
      </c>
      <c r="B72" s="321" t="s">
        <v>305</v>
      </c>
      <c r="C72" s="322" t="s">
        <v>103</v>
      </c>
      <c r="D72" s="323" t="s">
        <v>306</v>
      </c>
      <c r="E72" s="329">
        <v>45474</v>
      </c>
      <c r="F72" s="236" t="s">
        <v>430</v>
      </c>
      <c r="G72" s="273"/>
      <c r="H72" s="252" t="s">
        <v>25</v>
      </c>
      <c r="J72" s="243"/>
      <c r="K72" s="244"/>
      <c r="L72" s="244"/>
      <c r="M72" s="252"/>
      <c r="N72" s="236"/>
      <c r="O72" s="293"/>
      <c r="P72" s="293"/>
      <c r="Q72" s="293"/>
      <c r="R72" s="252"/>
      <c r="S72" s="236"/>
      <c r="T72" s="293"/>
      <c r="U72" s="244"/>
      <c r="V72" s="242"/>
      <c r="W72" s="236"/>
      <c r="X72" s="232">
        <v>1</v>
      </c>
      <c r="Y72" s="261" t="s">
        <v>116</v>
      </c>
      <c r="Z72" s="261" t="s">
        <v>415</v>
      </c>
      <c r="AA72" s="261" t="s">
        <v>393</v>
      </c>
      <c r="AB72" s="280" t="s">
        <v>116</v>
      </c>
      <c r="AC72" s="317" t="s">
        <v>138</v>
      </c>
      <c r="AD72" s="317" t="s">
        <v>137</v>
      </c>
      <c r="AE72" s="317"/>
      <c r="AF72" s="319" t="s">
        <v>144</v>
      </c>
      <c r="AG72" s="319"/>
      <c r="AH72" s="319"/>
      <c r="AI72" s="319" t="s">
        <v>144</v>
      </c>
      <c r="AJ72" s="295">
        <v>70</v>
      </c>
      <c r="AK72" s="380"/>
    </row>
    <row r="73" spans="1:37" ht="73.2" hidden="1" customHeight="1" thickTop="1" thickBot="1">
      <c r="A73" s="327" t="s">
        <v>115</v>
      </c>
      <c r="B73" s="321" t="s">
        <v>307</v>
      </c>
      <c r="C73" s="322" t="s">
        <v>103</v>
      </c>
      <c r="D73" s="323" t="s">
        <v>308</v>
      </c>
      <c r="E73" s="329">
        <v>45536</v>
      </c>
      <c r="F73" s="236" t="s">
        <v>433</v>
      </c>
      <c r="G73" s="273"/>
      <c r="H73" s="252" t="s">
        <v>25</v>
      </c>
      <c r="J73" s="243"/>
      <c r="K73" s="243"/>
      <c r="L73" s="244"/>
      <c r="M73" s="252"/>
      <c r="N73" s="236"/>
      <c r="O73" s="293"/>
      <c r="P73" s="293"/>
      <c r="Q73" s="294"/>
      <c r="R73" s="252"/>
      <c r="S73" s="236"/>
      <c r="T73" s="243"/>
      <c r="U73" s="244"/>
      <c r="V73" s="242"/>
      <c r="W73" s="236"/>
      <c r="X73" s="232">
        <v>1</v>
      </c>
      <c r="Y73" s="261" t="s">
        <v>116</v>
      </c>
      <c r="Z73" s="261" t="s">
        <v>415</v>
      </c>
      <c r="AA73" s="261" t="s">
        <v>393</v>
      </c>
      <c r="AB73" s="280" t="s">
        <v>116</v>
      </c>
      <c r="AC73" s="317" t="s">
        <v>137</v>
      </c>
      <c r="AD73" s="317"/>
      <c r="AE73" s="317"/>
      <c r="AF73" s="319"/>
      <c r="AG73" s="319"/>
      <c r="AH73" s="319"/>
      <c r="AI73" s="319" t="s">
        <v>144</v>
      </c>
      <c r="AJ73" s="295">
        <v>71</v>
      </c>
      <c r="AK73" s="380"/>
    </row>
    <row r="74" spans="1:37" ht="73.2" hidden="1" customHeight="1" thickTop="1" thickBot="1">
      <c r="A74" s="328" t="s">
        <v>115</v>
      </c>
      <c r="B74" s="321" t="s">
        <v>309</v>
      </c>
      <c r="C74" s="322" t="s">
        <v>103</v>
      </c>
      <c r="D74" s="323" t="s">
        <v>310</v>
      </c>
      <c r="E74" s="329">
        <v>45566</v>
      </c>
      <c r="F74" s="236" t="s">
        <v>514</v>
      </c>
      <c r="G74" s="273"/>
      <c r="H74" s="252" t="s">
        <v>25</v>
      </c>
      <c r="J74" s="245"/>
      <c r="K74" s="243"/>
      <c r="L74" s="244"/>
      <c r="M74" s="252"/>
      <c r="N74" s="236"/>
      <c r="O74" s="293"/>
      <c r="P74" s="293"/>
      <c r="Q74" s="294"/>
      <c r="R74" s="252"/>
      <c r="S74" s="236"/>
      <c r="T74" s="293"/>
      <c r="U74" s="244"/>
      <c r="V74" s="242"/>
      <c r="W74" s="236"/>
      <c r="X74" s="232">
        <v>1</v>
      </c>
      <c r="Y74" s="261" t="s">
        <v>116</v>
      </c>
      <c r="Z74" s="261" t="s">
        <v>415</v>
      </c>
      <c r="AA74" s="261" t="s">
        <v>393</v>
      </c>
      <c r="AB74" s="280" t="s">
        <v>116</v>
      </c>
      <c r="AC74" s="317" t="s">
        <v>138</v>
      </c>
      <c r="AD74" s="317"/>
      <c r="AE74" s="317"/>
      <c r="AF74" s="319" t="s">
        <v>144</v>
      </c>
      <c r="AG74" s="319"/>
      <c r="AH74" s="319"/>
      <c r="AI74" s="319"/>
      <c r="AJ74" s="295">
        <v>72</v>
      </c>
      <c r="AK74" s="380"/>
    </row>
    <row r="75" spans="1:37" ht="105" hidden="1" customHeight="1" thickTop="1" thickBot="1">
      <c r="A75" s="328" t="s">
        <v>115</v>
      </c>
      <c r="B75" s="321" t="s">
        <v>311</v>
      </c>
      <c r="C75" s="322" t="s">
        <v>103</v>
      </c>
      <c r="D75" s="323" t="s">
        <v>312</v>
      </c>
      <c r="E75" s="329">
        <v>45717</v>
      </c>
      <c r="F75" s="236" t="s">
        <v>471</v>
      </c>
      <c r="G75" s="273"/>
      <c r="H75" s="252" t="s">
        <v>25</v>
      </c>
      <c r="J75" s="243"/>
      <c r="K75" s="243"/>
      <c r="L75" s="244"/>
      <c r="M75" s="252"/>
      <c r="N75" s="236"/>
      <c r="O75" s="293"/>
      <c r="P75" s="293"/>
      <c r="Q75" s="294"/>
      <c r="R75" s="252"/>
      <c r="S75" s="236"/>
      <c r="T75" s="243"/>
      <c r="U75" s="244"/>
      <c r="V75" s="242"/>
      <c r="W75" s="236"/>
      <c r="X75" s="232">
        <v>1</v>
      </c>
      <c r="Y75" s="261" t="s">
        <v>116</v>
      </c>
      <c r="Z75" s="261" t="s">
        <v>415</v>
      </c>
      <c r="AA75" s="261" t="s">
        <v>393</v>
      </c>
      <c r="AB75" s="280" t="s">
        <v>116</v>
      </c>
      <c r="AC75" s="317" t="s">
        <v>138</v>
      </c>
      <c r="AD75" s="317"/>
      <c r="AE75" s="317"/>
      <c r="AF75" s="319" t="s">
        <v>144</v>
      </c>
      <c r="AG75" s="319"/>
      <c r="AH75" s="319"/>
      <c r="AI75" s="319"/>
      <c r="AJ75" s="295">
        <v>73</v>
      </c>
      <c r="AK75" s="380"/>
    </row>
    <row r="76" spans="1:37" ht="73.2" hidden="1" customHeight="1" thickTop="1" thickBot="1">
      <c r="A76" s="327" t="s">
        <v>115</v>
      </c>
      <c r="B76" s="321" t="s">
        <v>313</v>
      </c>
      <c r="C76" s="322" t="s">
        <v>103</v>
      </c>
      <c r="D76" s="323" t="s">
        <v>314</v>
      </c>
      <c r="E76" s="329">
        <v>45536</v>
      </c>
      <c r="F76" s="236" t="s">
        <v>463</v>
      </c>
      <c r="G76" s="273"/>
      <c r="H76" s="252" t="s">
        <v>25</v>
      </c>
      <c r="J76" s="243"/>
      <c r="K76" s="244"/>
      <c r="L76" s="244"/>
      <c r="M76" s="252"/>
      <c r="N76" s="236"/>
      <c r="O76" s="293"/>
      <c r="P76" s="293"/>
      <c r="Q76" s="294"/>
      <c r="R76" s="252"/>
      <c r="S76" s="236"/>
      <c r="T76" s="243"/>
      <c r="U76" s="244"/>
      <c r="V76" s="242"/>
      <c r="W76" s="236"/>
      <c r="X76" s="232">
        <v>1</v>
      </c>
      <c r="Y76" s="261" t="s">
        <v>116</v>
      </c>
      <c r="Z76" s="261" t="s">
        <v>415</v>
      </c>
      <c r="AA76" s="261" t="s">
        <v>393</v>
      </c>
      <c r="AB76" s="280" t="s">
        <v>116</v>
      </c>
      <c r="AC76" s="317" t="s">
        <v>138</v>
      </c>
      <c r="AD76" s="317"/>
      <c r="AE76" s="317"/>
      <c r="AF76" s="319" t="s">
        <v>144</v>
      </c>
      <c r="AG76" s="319"/>
      <c r="AH76" s="319"/>
      <c r="AI76" s="319"/>
      <c r="AJ76" s="295">
        <v>74</v>
      </c>
      <c r="AK76" s="380"/>
    </row>
    <row r="77" spans="1:37" ht="73.2" hidden="1" customHeight="1" thickTop="1" thickBot="1">
      <c r="A77" s="328" t="s">
        <v>86</v>
      </c>
      <c r="B77" s="321" t="s">
        <v>315</v>
      </c>
      <c r="C77" s="322" t="s">
        <v>316</v>
      </c>
      <c r="D77" s="323" t="s">
        <v>317</v>
      </c>
      <c r="E77" s="329">
        <v>45566</v>
      </c>
      <c r="F77" s="236"/>
      <c r="G77" s="273"/>
      <c r="H77" s="252" t="s">
        <v>29</v>
      </c>
      <c r="J77" s="243"/>
      <c r="K77" s="243"/>
      <c r="L77" s="244"/>
      <c r="M77" s="252"/>
      <c r="N77" s="236"/>
      <c r="O77" s="293"/>
      <c r="P77" s="293"/>
      <c r="Q77" s="294"/>
      <c r="R77" s="252"/>
      <c r="S77" s="236"/>
      <c r="T77" s="243"/>
      <c r="U77" s="252"/>
      <c r="V77" s="242"/>
      <c r="W77" s="236"/>
      <c r="X77" s="232">
        <v>1</v>
      </c>
      <c r="Y77" s="261" t="s">
        <v>389</v>
      </c>
      <c r="Z77" s="261" t="s">
        <v>420</v>
      </c>
      <c r="AA77" s="261" t="s">
        <v>125</v>
      </c>
      <c r="AB77" s="280" t="s">
        <v>117</v>
      </c>
      <c r="AC77" s="317" t="s">
        <v>137</v>
      </c>
      <c r="AD77" s="317" t="s">
        <v>138</v>
      </c>
      <c r="AE77" s="317"/>
      <c r="AF77" s="319" t="s">
        <v>144</v>
      </c>
      <c r="AG77" s="319"/>
      <c r="AH77" s="319"/>
      <c r="AI77" s="319" t="s">
        <v>144</v>
      </c>
      <c r="AJ77" s="295">
        <v>75</v>
      </c>
      <c r="AK77" s="380"/>
    </row>
    <row r="78" spans="1:37" ht="73.2" hidden="1" customHeight="1" thickTop="1" thickBot="1">
      <c r="A78" s="327" t="s">
        <v>86</v>
      </c>
      <c r="B78" s="321" t="s">
        <v>318</v>
      </c>
      <c r="C78" s="322" t="s">
        <v>316</v>
      </c>
      <c r="D78" s="323" t="s">
        <v>319</v>
      </c>
      <c r="E78" s="329">
        <v>45717</v>
      </c>
      <c r="F78" s="236" t="s">
        <v>450</v>
      </c>
      <c r="G78" s="273"/>
      <c r="H78" s="252" t="s">
        <v>25</v>
      </c>
      <c r="J78" s="243"/>
      <c r="K78" s="243"/>
      <c r="L78" s="244"/>
      <c r="M78" s="252"/>
      <c r="N78" s="236"/>
      <c r="O78" s="293"/>
      <c r="P78" s="293"/>
      <c r="Q78" s="294"/>
      <c r="R78" s="252"/>
      <c r="S78" s="236"/>
      <c r="T78" s="243"/>
      <c r="U78" s="244"/>
      <c r="V78" s="242"/>
      <c r="W78" s="236"/>
      <c r="X78" s="232">
        <v>1</v>
      </c>
      <c r="Y78" s="261" t="s">
        <v>389</v>
      </c>
      <c r="Z78" s="261" t="s">
        <v>419</v>
      </c>
      <c r="AA78" s="261" t="s">
        <v>125</v>
      </c>
      <c r="AB78" s="280" t="s">
        <v>117</v>
      </c>
      <c r="AC78" s="317" t="s">
        <v>137</v>
      </c>
      <c r="AD78" s="317"/>
      <c r="AE78" s="317"/>
      <c r="AF78" s="319"/>
      <c r="AG78" s="319"/>
      <c r="AH78" s="319"/>
      <c r="AI78" s="319" t="s">
        <v>144</v>
      </c>
      <c r="AJ78" s="295">
        <v>76</v>
      </c>
      <c r="AK78" s="380"/>
    </row>
    <row r="79" spans="1:37" ht="73.2" hidden="1" customHeight="1" thickTop="1" thickBot="1">
      <c r="A79" s="327" t="s">
        <v>86</v>
      </c>
      <c r="B79" s="321" t="s">
        <v>320</v>
      </c>
      <c r="C79" s="322" t="s">
        <v>316</v>
      </c>
      <c r="D79" s="323" t="s">
        <v>321</v>
      </c>
      <c r="E79" s="329">
        <v>45717</v>
      </c>
      <c r="F79" s="275" t="s">
        <v>449</v>
      </c>
      <c r="G79" s="273"/>
      <c r="H79" s="252" t="s">
        <v>25</v>
      </c>
      <c r="J79" s="245"/>
      <c r="K79" s="243"/>
      <c r="L79" s="244"/>
      <c r="M79" s="252"/>
      <c r="N79" s="236"/>
      <c r="O79" s="245"/>
      <c r="P79" s="293"/>
      <c r="Q79" s="294"/>
      <c r="R79" s="252"/>
      <c r="S79" s="236"/>
      <c r="T79" s="245"/>
      <c r="U79" s="244"/>
      <c r="V79" s="242"/>
      <c r="W79" s="236"/>
      <c r="X79" s="232">
        <v>1</v>
      </c>
      <c r="Y79" s="261" t="s">
        <v>389</v>
      </c>
      <c r="Z79" s="261" t="s">
        <v>419</v>
      </c>
      <c r="AA79" s="261" t="s">
        <v>125</v>
      </c>
      <c r="AB79" s="284" t="s">
        <v>117</v>
      </c>
      <c r="AC79" s="317" t="s">
        <v>137</v>
      </c>
      <c r="AD79" s="317"/>
      <c r="AE79" s="317"/>
      <c r="AF79" s="319"/>
      <c r="AG79" s="319"/>
      <c r="AH79" s="319"/>
      <c r="AI79" s="319" t="s">
        <v>144</v>
      </c>
      <c r="AJ79" s="295">
        <v>77</v>
      </c>
      <c r="AK79" s="380"/>
    </row>
    <row r="80" spans="1:37" ht="73.2" hidden="1" customHeight="1" thickTop="1" thickBot="1">
      <c r="A80" s="327" t="s">
        <v>86</v>
      </c>
      <c r="B80" s="321" t="s">
        <v>322</v>
      </c>
      <c r="C80" s="322" t="s">
        <v>323</v>
      </c>
      <c r="D80" s="323" t="s">
        <v>324</v>
      </c>
      <c r="E80" s="329">
        <v>45717</v>
      </c>
      <c r="F80" s="275" t="s">
        <v>455</v>
      </c>
      <c r="G80" s="273"/>
      <c r="H80" s="252" t="s">
        <v>25</v>
      </c>
      <c r="J80" s="243"/>
      <c r="K80" s="244"/>
      <c r="L80" s="244"/>
      <c r="M80" s="252"/>
      <c r="N80" s="236"/>
      <c r="O80" s="293"/>
      <c r="P80" s="293"/>
      <c r="Q80" s="294"/>
      <c r="R80" s="252"/>
      <c r="S80" s="236"/>
      <c r="T80" s="243"/>
      <c r="U80" s="244"/>
      <c r="V80" s="242"/>
      <c r="W80" s="236"/>
      <c r="X80" s="232">
        <v>1</v>
      </c>
      <c r="Y80" s="261" t="s">
        <v>389</v>
      </c>
      <c r="Z80" s="261" t="s">
        <v>419</v>
      </c>
      <c r="AA80" s="261" t="s">
        <v>125</v>
      </c>
      <c r="AB80" s="284" t="s">
        <v>117</v>
      </c>
      <c r="AC80" s="317" t="s">
        <v>116</v>
      </c>
      <c r="AD80" s="317"/>
      <c r="AE80" s="317"/>
      <c r="AF80" s="319"/>
      <c r="AG80" s="319"/>
      <c r="AH80" s="319" t="s">
        <v>144</v>
      </c>
      <c r="AI80" s="319"/>
      <c r="AJ80" s="295">
        <v>78</v>
      </c>
      <c r="AK80" s="380"/>
    </row>
    <row r="81" spans="1:37" ht="73.2" hidden="1" customHeight="1" thickTop="1" thickBot="1">
      <c r="A81" s="328" t="s">
        <v>92</v>
      </c>
      <c r="B81" s="321" t="s">
        <v>325</v>
      </c>
      <c r="C81" s="322" t="s">
        <v>326</v>
      </c>
      <c r="D81" s="323" t="s">
        <v>327</v>
      </c>
      <c r="E81" s="329">
        <v>45597</v>
      </c>
      <c r="F81" s="275"/>
      <c r="G81" s="273"/>
      <c r="H81" s="252" t="s">
        <v>29</v>
      </c>
      <c r="J81" s="243"/>
      <c r="K81" s="243"/>
      <c r="L81" s="244"/>
      <c r="M81" s="252"/>
      <c r="N81" s="236"/>
      <c r="O81" s="293"/>
      <c r="P81" s="293"/>
      <c r="Q81" s="294"/>
      <c r="R81" s="252"/>
      <c r="S81" s="236"/>
      <c r="T81" s="293"/>
      <c r="U81" s="244"/>
      <c r="V81" s="242"/>
      <c r="W81" s="236"/>
      <c r="X81" s="232">
        <v>1</v>
      </c>
      <c r="Y81" s="261" t="s">
        <v>116</v>
      </c>
      <c r="Z81" s="261" t="s">
        <v>404</v>
      </c>
      <c r="AA81" s="261" t="s">
        <v>125</v>
      </c>
      <c r="AB81" s="284" t="s">
        <v>117</v>
      </c>
      <c r="AC81" s="317" t="s">
        <v>116</v>
      </c>
      <c r="AD81" s="317"/>
      <c r="AE81" s="317"/>
      <c r="AF81" s="319"/>
      <c r="AG81" s="319"/>
      <c r="AH81" s="319" t="s">
        <v>144</v>
      </c>
      <c r="AI81" s="319"/>
      <c r="AJ81" s="295">
        <v>79</v>
      </c>
      <c r="AK81" s="380"/>
    </row>
    <row r="82" spans="1:37" ht="73.2" hidden="1" customHeight="1" thickTop="1" thickBot="1">
      <c r="A82" s="328" t="s">
        <v>92</v>
      </c>
      <c r="B82" s="321" t="s">
        <v>328</v>
      </c>
      <c r="C82" s="322" t="s">
        <v>329</v>
      </c>
      <c r="D82" s="323" t="s">
        <v>330</v>
      </c>
      <c r="E82" s="329">
        <v>45598</v>
      </c>
      <c r="F82" s="236"/>
      <c r="G82" s="273"/>
      <c r="H82" s="252" t="s">
        <v>29</v>
      </c>
      <c r="J82" s="240"/>
      <c r="K82" s="240"/>
      <c r="L82" s="241"/>
      <c r="M82" s="252"/>
      <c r="N82" s="237"/>
      <c r="O82" s="293"/>
      <c r="P82" s="293"/>
      <c r="Q82" s="294"/>
      <c r="R82" s="252"/>
      <c r="S82" s="237"/>
      <c r="T82" s="240"/>
      <c r="U82" s="241"/>
      <c r="V82" s="242"/>
      <c r="W82" s="237"/>
      <c r="X82" s="232">
        <v>1</v>
      </c>
      <c r="Y82" s="261" t="s">
        <v>116</v>
      </c>
      <c r="Z82" s="261" t="s">
        <v>404</v>
      </c>
      <c r="AA82" s="261" t="s">
        <v>125</v>
      </c>
      <c r="AB82" s="284" t="s">
        <v>117</v>
      </c>
      <c r="AC82" s="317" t="s">
        <v>116</v>
      </c>
      <c r="AD82" s="317"/>
      <c r="AE82" s="317"/>
      <c r="AF82" s="319"/>
      <c r="AG82" s="319"/>
      <c r="AH82" s="319" t="s">
        <v>144</v>
      </c>
      <c r="AI82" s="319"/>
      <c r="AJ82" s="295">
        <v>80</v>
      </c>
      <c r="AK82" s="380"/>
    </row>
    <row r="83" spans="1:37" ht="73.2" hidden="1" customHeight="1" thickTop="1" thickBot="1">
      <c r="A83" s="327" t="s">
        <v>92</v>
      </c>
      <c r="B83" s="321" t="s">
        <v>331</v>
      </c>
      <c r="C83" s="322" t="s">
        <v>329</v>
      </c>
      <c r="D83" s="323" t="s">
        <v>74</v>
      </c>
      <c r="E83" s="329">
        <v>45717</v>
      </c>
      <c r="F83" s="275" t="s">
        <v>467</v>
      </c>
      <c r="G83" s="273" t="s">
        <v>468</v>
      </c>
      <c r="H83" s="252" t="s">
        <v>25</v>
      </c>
      <c r="J83" s="240"/>
      <c r="K83" s="240"/>
      <c r="L83" s="241"/>
      <c r="M83" s="252"/>
      <c r="N83" s="237"/>
      <c r="O83" s="293"/>
      <c r="P83" s="293"/>
      <c r="Q83" s="294"/>
      <c r="R83" s="252"/>
      <c r="S83" s="237"/>
      <c r="T83" s="240"/>
      <c r="U83" s="240"/>
      <c r="V83" s="242"/>
      <c r="W83" s="237"/>
      <c r="X83" s="232">
        <v>1</v>
      </c>
      <c r="Y83" s="261" t="s">
        <v>116</v>
      </c>
      <c r="Z83" s="261" t="s">
        <v>404</v>
      </c>
      <c r="AA83" s="261" t="s">
        <v>125</v>
      </c>
      <c r="AB83" s="284" t="s">
        <v>117</v>
      </c>
      <c r="AC83" s="317" t="s">
        <v>116</v>
      </c>
      <c r="AD83" s="317"/>
      <c r="AE83" s="317"/>
      <c r="AF83" s="319"/>
      <c r="AG83" s="319"/>
      <c r="AH83" s="319" t="s">
        <v>144</v>
      </c>
      <c r="AI83" s="319"/>
      <c r="AJ83" s="295">
        <v>81</v>
      </c>
      <c r="AK83" s="380"/>
    </row>
    <row r="84" spans="1:37" ht="73.2" hidden="1" customHeight="1" thickTop="1" thickBot="1">
      <c r="A84" s="327" t="s">
        <v>92</v>
      </c>
      <c r="B84" s="321" t="s">
        <v>332</v>
      </c>
      <c r="C84" s="322" t="s">
        <v>329</v>
      </c>
      <c r="D84" s="323" t="s">
        <v>333</v>
      </c>
      <c r="E84" s="329">
        <v>45717</v>
      </c>
      <c r="F84" s="236" t="s">
        <v>470</v>
      </c>
      <c r="G84" s="273" t="s">
        <v>469</v>
      </c>
      <c r="H84" s="252" t="s">
        <v>25</v>
      </c>
      <c r="J84" s="243"/>
      <c r="K84" s="243"/>
      <c r="L84" s="244"/>
      <c r="M84" s="252"/>
      <c r="N84" s="236"/>
      <c r="O84" s="293"/>
      <c r="P84" s="293"/>
      <c r="Q84" s="294"/>
      <c r="R84" s="252"/>
      <c r="S84" s="236"/>
      <c r="T84" s="308"/>
      <c r="U84" s="243"/>
      <c r="V84" s="242"/>
      <c r="W84" s="236"/>
      <c r="X84" s="232">
        <v>1</v>
      </c>
      <c r="Y84" s="261" t="s">
        <v>116</v>
      </c>
      <c r="Z84" s="261" t="s">
        <v>404</v>
      </c>
      <c r="AA84" s="261" t="s">
        <v>125</v>
      </c>
      <c r="AB84" s="284" t="s">
        <v>117</v>
      </c>
      <c r="AC84" s="317" t="s">
        <v>116</v>
      </c>
      <c r="AD84" s="317"/>
      <c r="AE84" s="317"/>
      <c r="AF84" s="319"/>
      <c r="AG84" s="319"/>
      <c r="AH84" s="319" t="s">
        <v>144</v>
      </c>
      <c r="AI84" s="319"/>
      <c r="AJ84" s="295">
        <v>82</v>
      </c>
      <c r="AK84" s="380"/>
    </row>
    <row r="85" spans="1:37" ht="73.2" hidden="1" customHeight="1" thickTop="1" thickBot="1">
      <c r="A85" s="328" t="s">
        <v>92</v>
      </c>
      <c r="B85" s="321" t="s">
        <v>334</v>
      </c>
      <c r="C85" s="322" t="s">
        <v>329</v>
      </c>
      <c r="D85" s="323" t="s">
        <v>335</v>
      </c>
      <c r="E85" s="329">
        <v>45566</v>
      </c>
      <c r="F85" s="236"/>
      <c r="G85" s="273"/>
      <c r="H85" s="252" t="s">
        <v>29</v>
      </c>
      <c r="J85" s="243"/>
      <c r="K85" s="255"/>
      <c r="L85" s="244"/>
      <c r="M85" s="252"/>
      <c r="N85" s="236"/>
      <c r="O85" s="293"/>
      <c r="P85" s="293"/>
      <c r="Q85" s="294"/>
      <c r="R85" s="252"/>
      <c r="S85" s="236"/>
      <c r="T85" s="243"/>
      <c r="U85" s="272"/>
      <c r="V85" s="242"/>
      <c r="W85" s="236"/>
      <c r="X85" s="232">
        <v>1</v>
      </c>
      <c r="Y85" s="261" t="s">
        <v>116</v>
      </c>
      <c r="Z85" s="261" t="s">
        <v>404</v>
      </c>
      <c r="AA85" s="261" t="s">
        <v>125</v>
      </c>
      <c r="AB85" s="284" t="s">
        <v>117</v>
      </c>
      <c r="AC85" s="317" t="s">
        <v>116</v>
      </c>
      <c r="AD85" s="317"/>
      <c r="AE85" s="317"/>
      <c r="AF85" s="319"/>
      <c r="AG85" s="319"/>
      <c r="AH85" s="319" t="s">
        <v>144</v>
      </c>
      <c r="AI85" s="319"/>
      <c r="AJ85" s="295">
        <v>83</v>
      </c>
      <c r="AK85" s="380"/>
    </row>
    <row r="86" spans="1:37" ht="73.2" hidden="1" customHeight="1" thickTop="1" thickBot="1">
      <c r="A86" s="328" t="s">
        <v>92</v>
      </c>
      <c r="B86" s="321" t="s">
        <v>336</v>
      </c>
      <c r="C86" s="322" t="s">
        <v>337</v>
      </c>
      <c r="D86" s="323" t="s">
        <v>338</v>
      </c>
      <c r="E86" s="329">
        <v>45717</v>
      </c>
      <c r="F86" s="236"/>
      <c r="G86" s="273"/>
      <c r="H86" s="252" t="s">
        <v>29</v>
      </c>
      <c r="J86" s="243"/>
      <c r="K86" s="255"/>
      <c r="L86" s="244"/>
      <c r="M86" s="252"/>
      <c r="N86" s="236"/>
      <c r="O86" s="293"/>
      <c r="P86" s="293"/>
      <c r="Q86" s="294"/>
      <c r="R86" s="252"/>
      <c r="S86" s="236"/>
      <c r="T86" s="243"/>
      <c r="U86" s="272"/>
      <c r="V86" s="242"/>
      <c r="W86" s="236"/>
      <c r="X86" s="232">
        <v>1</v>
      </c>
      <c r="Y86" s="261" t="s">
        <v>116</v>
      </c>
      <c r="Z86" s="261" t="s">
        <v>404</v>
      </c>
      <c r="AA86" s="261" t="s">
        <v>125</v>
      </c>
      <c r="AB86" s="284" t="s">
        <v>117</v>
      </c>
      <c r="AC86" s="317" t="s">
        <v>137</v>
      </c>
      <c r="AD86" s="317"/>
      <c r="AE86" s="317"/>
      <c r="AF86" s="319"/>
      <c r="AG86" s="319"/>
      <c r="AH86" s="319"/>
      <c r="AI86" s="319" t="s">
        <v>144</v>
      </c>
      <c r="AJ86" s="295">
        <v>84</v>
      </c>
      <c r="AK86" s="380"/>
    </row>
    <row r="87" spans="1:37" ht="54" hidden="1" thickTop="1" thickBot="1">
      <c r="A87" s="328" t="s">
        <v>89</v>
      </c>
      <c r="B87" s="321" t="s">
        <v>339</v>
      </c>
      <c r="C87" s="322" t="s">
        <v>340</v>
      </c>
      <c r="D87" s="323" t="s">
        <v>341</v>
      </c>
      <c r="E87" s="329">
        <v>45536</v>
      </c>
      <c r="F87" s="236" t="s">
        <v>500</v>
      </c>
      <c r="G87" s="273" t="s">
        <v>429</v>
      </c>
      <c r="H87" s="252" t="s">
        <v>25</v>
      </c>
      <c r="J87" s="240"/>
      <c r="K87" s="255"/>
      <c r="L87" s="244"/>
      <c r="M87" s="252"/>
      <c r="N87" s="237"/>
      <c r="O87" s="293"/>
      <c r="P87" s="293"/>
      <c r="Q87" s="294"/>
      <c r="R87" s="252"/>
      <c r="S87" s="237"/>
      <c r="T87" s="240"/>
      <c r="U87" s="314"/>
      <c r="V87" s="242"/>
      <c r="W87" s="237"/>
      <c r="X87" s="232">
        <v>1</v>
      </c>
      <c r="Y87" s="261" t="s">
        <v>388</v>
      </c>
      <c r="Z87" s="261" t="s">
        <v>417</v>
      </c>
      <c r="AA87" s="261" t="s">
        <v>125</v>
      </c>
      <c r="AB87" s="284" t="s">
        <v>117</v>
      </c>
      <c r="AC87" s="317" t="s">
        <v>137</v>
      </c>
      <c r="AD87" s="317"/>
      <c r="AE87" s="317"/>
      <c r="AF87" s="319"/>
      <c r="AG87" s="319"/>
      <c r="AH87" s="319"/>
      <c r="AI87" s="319" t="s">
        <v>144</v>
      </c>
      <c r="AJ87" s="295">
        <v>85</v>
      </c>
      <c r="AK87" s="380"/>
    </row>
    <row r="88" spans="1:37" ht="97.2" hidden="1" customHeight="1" thickTop="1" thickBot="1">
      <c r="A88" s="327" t="s">
        <v>91</v>
      </c>
      <c r="B88" s="321" t="s">
        <v>342</v>
      </c>
      <c r="C88" s="322" t="s">
        <v>106</v>
      </c>
      <c r="D88" s="323" t="s">
        <v>107</v>
      </c>
      <c r="E88" s="329">
        <v>45717</v>
      </c>
      <c r="F88" s="236" t="s">
        <v>502</v>
      </c>
      <c r="G88" s="273"/>
      <c r="H88" s="252" t="s">
        <v>25</v>
      </c>
      <c r="J88" s="240"/>
      <c r="K88" s="255"/>
      <c r="L88" s="244"/>
      <c r="M88" s="252"/>
      <c r="N88" s="237"/>
      <c r="O88" s="293"/>
      <c r="P88" s="293"/>
      <c r="Q88" s="294"/>
      <c r="R88" s="252"/>
      <c r="S88" s="237"/>
      <c r="T88" s="240"/>
      <c r="U88" s="314"/>
      <c r="V88" s="242"/>
      <c r="W88" s="237"/>
      <c r="X88" s="232">
        <v>1</v>
      </c>
      <c r="Y88" s="261" t="s">
        <v>389</v>
      </c>
      <c r="Z88" s="261" t="s">
        <v>427</v>
      </c>
      <c r="AA88" s="261" t="s">
        <v>125</v>
      </c>
      <c r="AB88" s="284" t="s">
        <v>95</v>
      </c>
      <c r="AC88" s="317" t="s">
        <v>137</v>
      </c>
      <c r="AD88" s="317"/>
      <c r="AE88" s="317"/>
      <c r="AF88" s="319"/>
      <c r="AG88" s="319"/>
      <c r="AH88" s="319"/>
      <c r="AI88" s="319" t="s">
        <v>144</v>
      </c>
      <c r="AJ88" s="295">
        <v>86</v>
      </c>
      <c r="AK88" s="380"/>
    </row>
    <row r="89" spans="1:37" ht="73.2" hidden="1" customHeight="1" thickTop="1" thickBot="1">
      <c r="A89" s="327" t="s">
        <v>91</v>
      </c>
      <c r="B89" s="321" t="s">
        <v>343</v>
      </c>
      <c r="C89" s="322" t="s">
        <v>344</v>
      </c>
      <c r="D89" s="323" t="s">
        <v>108</v>
      </c>
      <c r="E89" s="329">
        <v>45717</v>
      </c>
      <c r="F89" s="236" t="s">
        <v>503</v>
      </c>
      <c r="G89" s="273"/>
      <c r="H89" s="252" t="s">
        <v>25</v>
      </c>
      <c r="I89" s="238" t="s">
        <v>504</v>
      </c>
      <c r="J89" s="240"/>
      <c r="K89" s="240"/>
      <c r="L89" s="241"/>
      <c r="M89" s="252"/>
      <c r="N89" s="237"/>
      <c r="O89" s="293"/>
      <c r="P89" s="293"/>
      <c r="Q89" s="294"/>
      <c r="R89" s="252"/>
      <c r="S89" s="237"/>
      <c r="T89" s="240"/>
      <c r="U89" s="241"/>
      <c r="V89" s="242"/>
      <c r="W89" s="237"/>
      <c r="X89" s="232">
        <v>1</v>
      </c>
      <c r="Y89" s="261" t="s">
        <v>389</v>
      </c>
      <c r="Z89" s="261" t="s">
        <v>427</v>
      </c>
      <c r="AA89" s="261" t="s">
        <v>125</v>
      </c>
      <c r="AB89" s="285" t="s">
        <v>95</v>
      </c>
      <c r="AC89" s="317" t="s">
        <v>141</v>
      </c>
      <c r="AD89" s="317" t="s">
        <v>116</v>
      </c>
      <c r="AE89" s="317" t="s">
        <v>137</v>
      </c>
      <c r="AF89" s="319"/>
      <c r="AG89" s="319" t="s">
        <v>144</v>
      </c>
      <c r="AH89" s="319" t="s">
        <v>144</v>
      </c>
      <c r="AI89" s="319" t="s">
        <v>144</v>
      </c>
      <c r="AJ89" s="295">
        <v>87</v>
      </c>
      <c r="AK89" s="380"/>
    </row>
    <row r="90" spans="1:37" ht="73.2" hidden="1" customHeight="1" thickTop="1" thickBot="1">
      <c r="A90" s="328" t="s">
        <v>91</v>
      </c>
      <c r="B90" s="321" t="s">
        <v>345</v>
      </c>
      <c r="C90" s="322" t="s">
        <v>346</v>
      </c>
      <c r="D90" s="323" t="s">
        <v>347</v>
      </c>
      <c r="E90" s="329" t="s">
        <v>387</v>
      </c>
      <c r="F90" s="236" t="s">
        <v>436</v>
      </c>
      <c r="G90" s="273"/>
      <c r="H90" s="252" t="s">
        <v>25</v>
      </c>
      <c r="J90" s="243"/>
      <c r="K90" s="243"/>
      <c r="L90" s="244"/>
      <c r="M90" s="252"/>
      <c r="N90" s="236"/>
      <c r="O90" s="293"/>
      <c r="P90" s="293"/>
      <c r="Q90" s="294"/>
      <c r="R90" s="252"/>
      <c r="S90" s="236"/>
      <c r="T90" s="243"/>
      <c r="U90" s="244"/>
      <c r="V90" s="242"/>
      <c r="W90" s="236"/>
      <c r="X90" s="232">
        <v>1</v>
      </c>
      <c r="Y90" s="261" t="s">
        <v>389</v>
      </c>
      <c r="Z90" s="261" t="s">
        <v>427</v>
      </c>
      <c r="AA90" s="261" t="s">
        <v>125</v>
      </c>
      <c r="AB90" s="284" t="s">
        <v>95</v>
      </c>
      <c r="AC90" s="317" t="s">
        <v>116</v>
      </c>
      <c r="AD90" s="317" t="s">
        <v>141</v>
      </c>
      <c r="AE90" s="317"/>
      <c r="AF90" s="319"/>
      <c r="AG90" s="319" t="s">
        <v>144</v>
      </c>
      <c r="AH90" s="319" t="s">
        <v>144</v>
      </c>
      <c r="AI90" s="319"/>
      <c r="AJ90" s="295">
        <v>88</v>
      </c>
      <c r="AK90" s="380"/>
    </row>
    <row r="91" spans="1:37" ht="151.19999999999999" thickTop="1" thickBot="1">
      <c r="A91" s="327" t="s">
        <v>87</v>
      </c>
      <c r="B91" s="321" t="s">
        <v>348</v>
      </c>
      <c r="C91" s="322" t="s">
        <v>105</v>
      </c>
      <c r="D91" s="323" t="s">
        <v>349</v>
      </c>
      <c r="E91" s="329">
        <v>45717</v>
      </c>
      <c r="F91" s="236" t="s">
        <v>492</v>
      </c>
      <c r="G91" s="273"/>
      <c r="H91" s="252" t="s">
        <v>25</v>
      </c>
      <c r="I91" s="238" t="s">
        <v>495</v>
      </c>
      <c r="J91" s="243"/>
      <c r="K91" s="243"/>
      <c r="L91" s="244"/>
      <c r="M91" s="252"/>
      <c r="N91" s="236"/>
      <c r="O91" s="293"/>
      <c r="P91" s="293"/>
      <c r="Q91" s="294"/>
      <c r="R91" s="252"/>
      <c r="S91" s="236"/>
      <c r="T91" s="243"/>
      <c r="U91" s="252"/>
      <c r="V91" s="242"/>
      <c r="W91" s="236"/>
      <c r="X91" s="232">
        <v>1</v>
      </c>
      <c r="Y91" s="261" t="s">
        <v>389</v>
      </c>
      <c r="Z91" s="261" t="s">
        <v>410</v>
      </c>
      <c r="AA91" s="261" t="s">
        <v>125</v>
      </c>
      <c r="AB91" s="284" t="s">
        <v>94</v>
      </c>
      <c r="AC91" s="317" t="s">
        <v>137</v>
      </c>
      <c r="AD91" s="317" t="s">
        <v>141</v>
      </c>
      <c r="AE91" s="317"/>
      <c r="AF91" s="319"/>
      <c r="AG91" s="319" t="s">
        <v>144</v>
      </c>
      <c r="AH91" s="319"/>
      <c r="AI91" s="319" t="s">
        <v>144</v>
      </c>
      <c r="AJ91" s="295">
        <v>89</v>
      </c>
      <c r="AK91" s="380"/>
    </row>
    <row r="92" spans="1:37" ht="73.2" customHeight="1" thickTop="1" thickBot="1">
      <c r="A92" s="327" t="s">
        <v>87</v>
      </c>
      <c r="B92" s="321" t="s">
        <v>350</v>
      </c>
      <c r="C92" s="322" t="s">
        <v>84</v>
      </c>
      <c r="D92" s="323" t="s">
        <v>351</v>
      </c>
      <c r="E92" s="329">
        <v>45901</v>
      </c>
      <c r="F92" s="236" t="s">
        <v>493</v>
      </c>
      <c r="G92" s="273"/>
      <c r="H92" s="252" t="s">
        <v>25</v>
      </c>
      <c r="J92" s="243"/>
      <c r="K92" s="243"/>
      <c r="L92" s="244"/>
      <c r="M92" s="252"/>
      <c r="N92" s="236"/>
      <c r="O92" s="293"/>
      <c r="P92" s="293"/>
      <c r="Q92" s="294"/>
      <c r="R92" s="252"/>
      <c r="S92" s="236"/>
      <c r="T92" s="243"/>
      <c r="U92" s="244"/>
      <c r="V92" s="242"/>
      <c r="W92" s="236"/>
      <c r="X92" s="232">
        <v>1</v>
      </c>
      <c r="Y92" s="261" t="s">
        <v>389</v>
      </c>
      <c r="Z92" s="261" t="s">
        <v>410</v>
      </c>
      <c r="AA92" s="261" t="s">
        <v>125</v>
      </c>
      <c r="AB92" s="284" t="s">
        <v>94</v>
      </c>
      <c r="AC92" s="317" t="s">
        <v>141</v>
      </c>
      <c r="AD92" s="317"/>
      <c r="AE92" s="317"/>
      <c r="AF92" s="319"/>
      <c r="AG92" s="319" t="s">
        <v>144</v>
      </c>
      <c r="AH92" s="319"/>
      <c r="AI92" s="319"/>
      <c r="AJ92" s="295">
        <v>90</v>
      </c>
      <c r="AK92" s="380"/>
    </row>
    <row r="93" spans="1:37" ht="76.5" customHeight="1" thickTop="1" thickBot="1">
      <c r="A93" s="327" t="s">
        <v>87</v>
      </c>
      <c r="B93" s="321" t="s">
        <v>352</v>
      </c>
      <c r="C93" s="322" t="s">
        <v>353</v>
      </c>
      <c r="D93" s="323" t="s">
        <v>354</v>
      </c>
      <c r="E93" s="329">
        <v>45717</v>
      </c>
      <c r="F93" s="236" t="s">
        <v>494</v>
      </c>
      <c r="G93" s="273"/>
      <c r="H93" s="252" t="s">
        <v>25</v>
      </c>
      <c r="I93" s="238" t="s">
        <v>496</v>
      </c>
      <c r="J93" s="243"/>
      <c r="K93" s="243"/>
      <c r="L93" s="244"/>
      <c r="M93" s="252"/>
      <c r="N93" s="236"/>
      <c r="O93" s="293"/>
      <c r="P93" s="293"/>
      <c r="Q93" s="294"/>
      <c r="R93" s="252"/>
      <c r="S93" s="236"/>
      <c r="T93" s="244"/>
      <c r="U93" s="244"/>
      <c r="V93" s="242"/>
      <c r="W93" s="236"/>
      <c r="X93" s="232">
        <v>1</v>
      </c>
      <c r="Y93" s="261" t="s">
        <v>389</v>
      </c>
      <c r="Z93" s="261" t="s">
        <v>410</v>
      </c>
      <c r="AA93" s="261" t="s">
        <v>125</v>
      </c>
      <c r="AB93" s="284" t="s">
        <v>94</v>
      </c>
      <c r="AC93" s="317" t="s">
        <v>141</v>
      </c>
      <c r="AD93" s="317"/>
      <c r="AE93" s="317"/>
      <c r="AF93" s="319"/>
      <c r="AG93" s="319" t="s">
        <v>144</v>
      </c>
      <c r="AH93" s="319"/>
      <c r="AI93" s="319"/>
      <c r="AJ93" s="295">
        <v>91</v>
      </c>
      <c r="AK93" s="380"/>
    </row>
    <row r="94" spans="1:37" ht="73.2" hidden="1" customHeight="1" thickTop="1" thickBot="1">
      <c r="A94" s="327" t="s">
        <v>115</v>
      </c>
      <c r="B94" s="321" t="s">
        <v>355</v>
      </c>
      <c r="C94" s="322" t="s">
        <v>356</v>
      </c>
      <c r="D94" s="323" t="s">
        <v>357</v>
      </c>
      <c r="E94" s="329">
        <v>45717</v>
      </c>
      <c r="F94" s="236" t="s">
        <v>464</v>
      </c>
      <c r="G94" s="273"/>
      <c r="H94" s="252" t="s">
        <v>25</v>
      </c>
      <c r="J94" s="243"/>
      <c r="K94" s="244"/>
      <c r="L94" s="244"/>
      <c r="M94" s="252"/>
      <c r="N94" s="236"/>
      <c r="O94" s="293"/>
      <c r="P94" s="293"/>
      <c r="Q94" s="294"/>
      <c r="R94" s="252"/>
      <c r="S94" s="236"/>
      <c r="T94" s="243"/>
      <c r="U94" s="244"/>
      <c r="V94" s="242"/>
      <c r="W94" s="236"/>
      <c r="X94" s="232">
        <v>1</v>
      </c>
      <c r="Y94" s="261" t="s">
        <v>116</v>
      </c>
      <c r="Z94" s="261" t="s">
        <v>415</v>
      </c>
      <c r="AA94" s="261" t="s">
        <v>125</v>
      </c>
      <c r="AB94" s="284" t="s">
        <v>116</v>
      </c>
      <c r="AC94" s="317" t="s">
        <v>137</v>
      </c>
      <c r="AD94" s="317"/>
      <c r="AE94" s="317"/>
      <c r="AF94" s="319"/>
      <c r="AG94" s="319"/>
      <c r="AH94" s="319"/>
      <c r="AI94" s="319" t="s">
        <v>144</v>
      </c>
      <c r="AJ94" s="295">
        <v>92</v>
      </c>
      <c r="AK94" s="380"/>
    </row>
    <row r="95" spans="1:37" ht="73.2" hidden="1" customHeight="1" thickTop="1" thickBot="1">
      <c r="A95" s="327" t="s">
        <v>115</v>
      </c>
      <c r="B95" s="321" t="s">
        <v>358</v>
      </c>
      <c r="C95" s="322" t="s">
        <v>356</v>
      </c>
      <c r="D95" s="323" t="s">
        <v>359</v>
      </c>
      <c r="E95" s="329">
        <v>45413</v>
      </c>
      <c r="F95" s="275" t="s">
        <v>506</v>
      </c>
      <c r="G95" s="385"/>
      <c r="H95" s="252" t="s">
        <v>16</v>
      </c>
      <c r="J95" s="243"/>
      <c r="K95" s="243"/>
      <c r="L95" s="244"/>
      <c r="M95" s="252"/>
      <c r="N95" s="236"/>
      <c r="O95" s="293"/>
      <c r="P95" s="293"/>
      <c r="Q95" s="294"/>
      <c r="R95" s="252"/>
      <c r="S95" s="236"/>
      <c r="T95" s="243"/>
      <c r="U95" s="252"/>
      <c r="V95" s="242"/>
      <c r="W95" s="236"/>
      <c r="X95" s="232">
        <v>1</v>
      </c>
      <c r="Y95" s="261" t="s">
        <v>116</v>
      </c>
      <c r="Z95" s="261" t="s">
        <v>419</v>
      </c>
      <c r="AA95" s="261" t="s">
        <v>125</v>
      </c>
      <c r="AB95" s="281" t="s">
        <v>116</v>
      </c>
      <c r="AC95" s="317" t="s">
        <v>116</v>
      </c>
      <c r="AD95" s="317"/>
      <c r="AE95" s="317"/>
      <c r="AF95" s="319"/>
      <c r="AG95" s="319"/>
      <c r="AH95" s="319" t="s">
        <v>144</v>
      </c>
      <c r="AI95" s="319"/>
      <c r="AJ95" s="295">
        <v>93</v>
      </c>
      <c r="AK95" s="380"/>
    </row>
    <row r="96" spans="1:37" ht="73.2" hidden="1" customHeight="1" thickTop="1" thickBot="1">
      <c r="A96" s="328" t="s">
        <v>115</v>
      </c>
      <c r="B96" s="321" t="s">
        <v>360</v>
      </c>
      <c r="C96" s="322" t="s">
        <v>356</v>
      </c>
      <c r="D96" s="323" t="s">
        <v>361</v>
      </c>
      <c r="E96" s="329">
        <v>45444</v>
      </c>
      <c r="F96" s="236" t="s">
        <v>507</v>
      </c>
      <c r="G96" s="273"/>
      <c r="H96" s="252" t="s">
        <v>16</v>
      </c>
      <c r="J96" s="243"/>
      <c r="K96" s="243"/>
      <c r="L96" s="244"/>
      <c r="M96" s="252"/>
      <c r="N96" s="236"/>
      <c r="O96" s="293"/>
      <c r="P96" s="293"/>
      <c r="Q96" s="294"/>
      <c r="R96" s="252"/>
      <c r="S96" s="236"/>
      <c r="T96" s="243"/>
      <c r="U96" s="244"/>
      <c r="V96" s="242"/>
      <c r="W96" s="236"/>
      <c r="X96" s="232">
        <v>1</v>
      </c>
      <c r="Y96" s="261" t="s">
        <v>116</v>
      </c>
      <c r="Z96" s="261" t="s">
        <v>415</v>
      </c>
      <c r="AA96" s="261" t="s">
        <v>125</v>
      </c>
      <c r="AB96" s="281" t="s">
        <v>116</v>
      </c>
      <c r="AC96" s="317" t="s">
        <v>116</v>
      </c>
      <c r="AD96" s="317"/>
      <c r="AE96" s="317"/>
      <c r="AF96" s="319"/>
      <c r="AG96" s="319"/>
      <c r="AH96" s="319" t="s">
        <v>144</v>
      </c>
      <c r="AI96" s="319"/>
      <c r="AJ96" s="295">
        <v>94</v>
      </c>
      <c r="AK96" s="380"/>
    </row>
    <row r="97" spans="1:37" ht="73.2" hidden="1" customHeight="1" thickTop="1" thickBot="1">
      <c r="A97" s="327" t="s">
        <v>115</v>
      </c>
      <c r="B97" s="321" t="s">
        <v>362</v>
      </c>
      <c r="C97" s="322" t="s">
        <v>356</v>
      </c>
      <c r="D97" s="323" t="s">
        <v>363</v>
      </c>
      <c r="E97" s="329">
        <v>45536</v>
      </c>
      <c r="F97" s="275" t="s">
        <v>465</v>
      </c>
      <c r="G97" s="273"/>
      <c r="H97" s="252" t="s">
        <v>25</v>
      </c>
      <c r="J97" s="243"/>
      <c r="K97" s="243"/>
      <c r="L97" s="244"/>
      <c r="M97" s="252"/>
      <c r="N97" s="236"/>
      <c r="O97" s="293"/>
      <c r="P97" s="293"/>
      <c r="Q97" s="294"/>
      <c r="R97" s="252"/>
      <c r="S97" s="236"/>
      <c r="T97" s="244"/>
      <c r="U97" s="244"/>
      <c r="V97" s="242"/>
      <c r="W97" s="236"/>
      <c r="X97" s="232">
        <v>1</v>
      </c>
      <c r="Y97" s="261" t="s">
        <v>116</v>
      </c>
      <c r="Z97" s="261" t="s">
        <v>415</v>
      </c>
      <c r="AA97" s="261" t="s">
        <v>125</v>
      </c>
      <c r="AB97" s="281" t="s">
        <v>116</v>
      </c>
      <c r="AC97" s="317" t="s">
        <v>116</v>
      </c>
      <c r="AD97" s="317"/>
      <c r="AE97" s="317"/>
      <c r="AF97" s="319"/>
      <c r="AG97" s="319"/>
      <c r="AH97" s="319" t="s">
        <v>144</v>
      </c>
      <c r="AI97" s="319"/>
      <c r="AJ97" s="295">
        <v>95</v>
      </c>
      <c r="AK97" s="380"/>
    </row>
    <row r="98" spans="1:37" ht="73.2" hidden="1" customHeight="1" thickTop="1" thickBot="1">
      <c r="A98" s="328" t="s">
        <v>481</v>
      </c>
      <c r="B98" s="321" t="s">
        <v>364</v>
      </c>
      <c r="C98" s="322" t="s">
        <v>365</v>
      </c>
      <c r="D98" s="323" t="s">
        <v>366</v>
      </c>
      <c r="E98" s="329">
        <v>45717</v>
      </c>
      <c r="F98" s="378" t="s">
        <v>484</v>
      </c>
      <c r="G98" s="273"/>
      <c r="H98" s="252" t="s">
        <v>25</v>
      </c>
      <c r="I98" s="275"/>
      <c r="J98" s="243"/>
      <c r="K98" s="243"/>
      <c r="L98" s="244"/>
      <c r="M98" s="252"/>
      <c r="N98" s="236"/>
      <c r="O98" s="293"/>
      <c r="P98" s="293"/>
      <c r="Q98" s="294"/>
      <c r="R98" s="252"/>
      <c r="S98" s="236"/>
      <c r="T98" s="293"/>
      <c r="U98" s="244"/>
      <c r="V98" s="242"/>
      <c r="W98" s="236"/>
      <c r="X98" s="232">
        <v>1</v>
      </c>
      <c r="Y98" s="261" t="s">
        <v>390</v>
      </c>
      <c r="Z98" s="261" t="s">
        <v>405</v>
      </c>
      <c r="AA98" s="261" t="s">
        <v>125</v>
      </c>
      <c r="AB98" s="281" t="s">
        <v>118</v>
      </c>
      <c r="AC98" s="317" t="s">
        <v>116</v>
      </c>
      <c r="AD98" s="317"/>
      <c r="AE98" s="317"/>
      <c r="AF98" s="319"/>
      <c r="AG98" s="319"/>
      <c r="AH98" s="319" t="s">
        <v>144</v>
      </c>
      <c r="AI98" s="319"/>
      <c r="AJ98" s="295">
        <v>96</v>
      </c>
      <c r="AK98" s="381"/>
    </row>
    <row r="99" spans="1:37" ht="81" hidden="1" customHeight="1" thickTop="1" thickBot="1">
      <c r="A99" s="328" t="s">
        <v>481</v>
      </c>
      <c r="B99" s="321" t="s">
        <v>367</v>
      </c>
      <c r="C99" s="322" t="s">
        <v>110</v>
      </c>
      <c r="D99" s="323" t="s">
        <v>368</v>
      </c>
      <c r="E99" s="329">
        <v>45627</v>
      </c>
      <c r="F99" s="378" t="s">
        <v>485</v>
      </c>
      <c r="G99" s="273"/>
      <c r="H99" s="252" t="s">
        <v>25</v>
      </c>
      <c r="I99" s="275"/>
      <c r="J99" s="243"/>
      <c r="K99" s="243"/>
      <c r="L99" s="244"/>
      <c r="M99" s="252"/>
      <c r="N99" s="236"/>
      <c r="O99" s="293"/>
      <c r="P99" s="293"/>
      <c r="Q99" s="294"/>
      <c r="R99" s="252"/>
      <c r="S99" s="236"/>
      <c r="T99" s="243"/>
      <c r="U99" s="244"/>
      <c r="V99" s="242"/>
      <c r="W99" s="236"/>
      <c r="X99" s="232">
        <v>1</v>
      </c>
      <c r="Y99" s="261" t="s">
        <v>390</v>
      </c>
      <c r="Z99" s="261" t="s">
        <v>405</v>
      </c>
      <c r="AA99" s="261" t="s">
        <v>125</v>
      </c>
      <c r="AB99" s="281" t="s">
        <v>118</v>
      </c>
      <c r="AC99" s="317" t="s">
        <v>116</v>
      </c>
      <c r="AD99" s="317"/>
      <c r="AE99" s="317"/>
      <c r="AF99" s="319"/>
      <c r="AG99" s="319"/>
      <c r="AH99" s="319" t="s">
        <v>144</v>
      </c>
      <c r="AI99" s="319"/>
      <c r="AJ99" s="295">
        <v>97</v>
      </c>
      <c r="AK99" s="381"/>
    </row>
    <row r="100" spans="1:37" ht="73.2" hidden="1" customHeight="1" thickTop="1" thickBot="1">
      <c r="A100" s="328" t="s">
        <v>481</v>
      </c>
      <c r="B100" s="321" t="s">
        <v>369</v>
      </c>
      <c r="C100" s="322" t="s">
        <v>110</v>
      </c>
      <c r="D100" s="323" t="s">
        <v>370</v>
      </c>
      <c r="E100" s="329">
        <v>45717</v>
      </c>
      <c r="F100" s="378" t="s">
        <v>482</v>
      </c>
      <c r="G100" s="273"/>
      <c r="H100" s="252" t="s">
        <v>25</v>
      </c>
      <c r="I100" s="236"/>
      <c r="J100" s="244"/>
      <c r="K100" s="243"/>
      <c r="L100" s="244"/>
      <c r="M100" s="252"/>
      <c r="N100" s="236"/>
      <c r="O100" s="293"/>
      <c r="P100" s="293"/>
      <c r="Q100" s="294"/>
      <c r="R100" s="252"/>
      <c r="S100" s="236"/>
      <c r="T100" s="243"/>
      <c r="U100" s="244"/>
      <c r="V100" s="242"/>
      <c r="W100" s="243"/>
      <c r="X100" s="232">
        <v>1</v>
      </c>
      <c r="Y100" s="261" t="s">
        <v>390</v>
      </c>
      <c r="Z100" s="261" t="s">
        <v>405</v>
      </c>
      <c r="AA100" s="261" t="s">
        <v>125</v>
      </c>
      <c r="AB100" s="281" t="s">
        <v>118</v>
      </c>
      <c r="AC100" s="317" t="s">
        <v>116</v>
      </c>
      <c r="AD100" s="317"/>
      <c r="AE100" s="317"/>
      <c r="AF100" s="319"/>
      <c r="AG100" s="319"/>
      <c r="AH100" s="319" t="s">
        <v>144</v>
      </c>
      <c r="AI100" s="319"/>
      <c r="AJ100" s="295">
        <v>98</v>
      </c>
      <c r="AK100" s="381"/>
    </row>
    <row r="101" spans="1:37" ht="198" hidden="1" customHeight="1" thickTop="1" thickBot="1">
      <c r="A101" s="328" t="s">
        <v>481</v>
      </c>
      <c r="B101" s="321" t="s">
        <v>371</v>
      </c>
      <c r="C101" s="322" t="s">
        <v>372</v>
      </c>
      <c r="D101" s="323" t="s">
        <v>373</v>
      </c>
      <c r="E101" s="329">
        <v>45717</v>
      </c>
      <c r="F101" s="378" t="s">
        <v>518</v>
      </c>
      <c r="G101" s="273"/>
      <c r="H101" s="252" t="s">
        <v>25</v>
      </c>
      <c r="I101" s="236"/>
      <c r="J101" s="244"/>
      <c r="K101" s="243"/>
      <c r="L101" s="244"/>
      <c r="M101" s="252"/>
      <c r="N101" s="236"/>
      <c r="O101" s="293"/>
      <c r="P101" s="293"/>
      <c r="Q101" s="294"/>
      <c r="R101" s="252"/>
      <c r="S101" s="236"/>
      <c r="T101" s="243"/>
      <c r="U101" s="244"/>
      <c r="V101" s="242"/>
      <c r="W101" s="236"/>
      <c r="X101" s="232">
        <v>1</v>
      </c>
      <c r="Y101" s="261" t="s">
        <v>390</v>
      </c>
      <c r="Z101" s="261" t="s">
        <v>406</v>
      </c>
      <c r="AA101" s="261" t="s">
        <v>125</v>
      </c>
      <c r="AB101" s="281" t="s">
        <v>118</v>
      </c>
      <c r="AC101" s="317" t="s">
        <v>116</v>
      </c>
      <c r="AD101" s="317"/>
      <c r="AE101" s="317"/>
      <c r="AF101" s="319"/>
      <c r="AG101" s="319"/>
      <c r="AH101" s="319" t="s">
        <v>144</v>
      </c>
      <c r="AI101" s="319"/>
      <c r="AJ101" s="295">
        <v>99</v>
      </c>
      <c r="AK101" s="381"/>
    </row>
    <row r="102" spans="1:37" ht="84.6" hidden="1" customHeight="1" thickTop="1" thickBot="1">
      <c r="A102" s="328" t="s">
        <v>481</v>
      </c>
      <c r="B102" s="321" t="s">
        <v>374</v>
      </c>
      <c r="C102" s="322" t="s">
        <v>375</v>
      </c>
      <c r="D102" s="323" t="s">
        <v>376</v>
      </c>
      <c r="E102" s="329">
        <v>45717</v>
      </c>
      <c r="F102" s="378" t="s">
        <v>483</v>
      </c>
      <c r="G102" s="273"/>
      <c r="H102" s="252" t="s">
        <v>25</v>
      </c>
      <c r="I102" s="236"/>
      <c r="J102" s="243"/>
      <c r="K102" s="243"/>
      <c r="L102" s="244"/>
      <c r="M102" s="252"/>
      <c r="N102" s="236"/>
      <c r="O102" s="293"/>
      <c r="P102" s="293"/>
      <c r="Q102" s="294"/>
      <c r="R102" s="252"/>
      <c r="S102" s="236"/>
      <c r="T102" s="243"/>
      <c r="U102" s="244"/>
      <c r="V102" s="242"/>
      <c r="W102" s="236"/>
      <c r="X102" s="232">
        <v>1</v>
      </c>
      <c r="Y102" s="261" t="s">
        <v>390</v>
      </c>
      <c r="Z102" s="261" t="s">
        <v>406</v>
      </c>
      <c r="AA102" s="261" t="s">
        <v>125</v>
      </c>
      <c r="AB102" s="281" t="s">
        <v>118</v>
      </c>
      <c r="AC102" s="317" t="s">
        <v>116</v>
      </c>
      <c r="AD102" s="317"/>
      <c r="AE102" s="317"/>
      <c r="AF102" s="319"/>
      <c r="AG102" s="319"/>
      <c r="AH102" s="319" t="s">
        <v>144</v>
      </c>
      <c r="AI102" s="319"/>
      <c r="AJ102" s="295">
        <v>100</v>
      </c>
      <c r="AK102" s="381"/>
    </row>
    <row r="103" spans="1:37" ht="87.6" hidden="1" customHeight="1" thickTop="1" thickBot="1">
      <c r="A103" s="327" t="s">
        <v>384</v>
      </c>
      <c r="B103" s="321" t="s">
        <v>377</v>
      </c>
      <c r="C103" s="324" t="s">
        <v>2</v>
      </c>
      <c r="D103" s="323" t="s">
        <v>378</v>
      </c>
      <c r="E103" s="329">
        <v>45717</v>
      </c>
      <c r="F103" s="273" t="s">
        <v>486</v>
      </c>
      <c r="G103" s="273"/>
      <c r="H103" s="252" t="s">
        <v>25</v>
      </c>
      <c r="I103" s="236"/>
      <c r="J103" s="243"/>
      <c r="K103" s="244"/>
      <c r="L103" s="244"/>
      <c r="M103" s="252"/>
      <c r="N103" s="309"/>
      <c r="O103" s="293"/>
      <c r="P103" s="293"/>
      <c r="Q103" s="294"/>
      <c r="R103" s="252"/>
      <c r="S103" s="236"/>
      <c r="T103" s="243"/>
      <c r="U103" s="243"/>
      <c r="V103" s="242"/>
      <c r="W103" s="236"/>
      <c r="X103" s="232">
        <v>1</v>
      </c>
      <c r="Y103" s="261" t="s">
        <v>391</v>
      </c>
      <c r="Z103" s="261" t="s">
        <v>403</v>
      </c>
      <c r="AA103" s="261" t="s">
        <v>125</v>
      </c>
      <c r="AB103" s="281" t="s">
        <v>129</v>
      </c>
      <c r="AC103" s="317" t="s">
        <v>116</v>
      </c>
      <c r="AD103" s="317"/>
      <c r="AE103" s="317"/>
      <c r="AF103" s="319"/>
      <c r="AG103" s="319"/>
      <c r="AH103" s="319" t="s">
        <v>144</v>
      </c>
      <c r="AI103" s="319"/>
      <c r="AJ103" s="295">
        <v>101</v>
      </c>
      <c r="AK103" s="380"/>
    </row>
    <row r="104" spans="1:37" ht="95.4" hidden="1" customHeight="1" thickTop="1" thickBot="1">
      <c r="A104" s="327" t="s">
        <v>384</v>
      </c>
      <c r="B104" s="321" t="s">
        <v>379</v>
      </c>
      <c r="C104" s="331" t="s">
        <v>85</v>
      </c>
      <c r="D104" s="332" t="s">
        <v>380</v>
      </c>
      <c r="E104" s="333">
        <v>45717</v>
      </c>
      <c r="F104" s="310">
        <v>0.63100000000000001</v>
      </c>
      <c r="G104" s="334"/>
      <c r="H104" s="252" t="s">
        <v>25</v>
      </c>
      <c r="I104" s="336" t="s">
        <v>487</v>
      </c>
      <c r="J104" s="337"/>
      <c r="K104" s="337"/>
      <c r="L104" s="338"/>
      <c r="M104" s="335"/>
      <c r="N104" s="339"/>
      <c r="O104" s="340"/>
      <c r="P104" s="340"/>
      <c r="Q104" s="341"/>
      <c r="R104" s="335"/>
      <c r="S104" s="339"/>
      <c r="T104" s="337"/>
      <c r="U104" s="338"/>
      <c r="V104" s="342"/>
      <c r="W104" s="339"/>
      <c r="X104" s="343">
        <v>1</v>
      </c>
      <c r="Y104" s="344" t="s">
        <v>391</v>
      </c>
      <c r="Z104" s="344" t="s">
        <v>403</v>
      </c>
      <c r="AA104" s="261" t="s">
        <v>125</v>
      </c>
      <c r="AB104" s="345" t="s">
        <v>129</v>
      </c>
      <c r="AC104" s="346" t="s">
        <v>116</v>
      </c>
      <c r="AD104" s="346"/>
      <c r="AE104" s="346"/>
      <c r="AF104" s="319"/>
      <c r="AG104" s="319"/>
      <c r="AH104" s="319" t="s">
        <v>144</v>
      </c>
      <c r="AI104" s="319"/>
      <c r="AJ104" s="295">
        <v>102</v>
      </c>
      <c r="AK104" s="380"/>
    </row>
    <row r="105" spans="1:37" ht="88.2" hidden="1" customHeight="1">
      <c r="A105" s="354"/>
      <c r="B105" s="354"/>
      <c r="C105" s="355"/>
      <c r="D105" s="355"/>
      <c r="E105" s="356"/>
      <c r="F105" s="357"/>
      <c r="G105" s="357"/>
      <c r="H105" s="358"/>
      <c r="I105" s="359"/>
      <c r="J105" s="359"/>
      <c r="K105" s="359"/>
      <c r="L105" s="359"/>
      <c r="M105" s="358"/>
      <c r="N105" s="359"/>
      <c r="O105" s="257"/>
      <c r="P105" s="360"/>
      <c r="Q105" s="360"/>
      <c r="R105" s="358"/>
      <c r="S105" s="359"/>
      <c r="T105" s="359"/>
      <c r="U105" s="359"/>
      <c r="V105" s="361"/>
      <c r="W105" s="359"/>
      <c r="X105" s="362"/>
      <c r="Y105" s="354"/>
      <c r="Z105" s="354"/>
      <c r="AA105" s="354"/>
      <c r="AB105" s="354"/>
      <c r="AC105" s="330" t="s">
        <v>116</v>
      </c>
      <c r="AD105" s="330"/>
      <c r="AE105" s="330"/>
      <c r="AF105" s="330"/>
      <c r="AG105" s="330"/>
      <c r="AH105" s="330" t="s">
        <v>144</v>
      </c>
      <c r="AI105" s="330"/>
      <c r="AJ105" s="363"/>
      <c r="AK105" s="363"/>
    </row>
    <row r="106" spans="1:37" ht="73.2" hidden="1" customHeight="1">
      <c r="A106" s="354"/>
      <c r="B106" s="354"/>
      <c r="C106" s="355"/>
      <c r="D106" s="355"/>
      <c r="E106" s="356"/>
      <c r="F106" s="357"/>
      <c r="G106" s="357"/>
      <c r="H106" s="358"/>
      <c r="I106" s="359"/>
      <c r="J106" s="257"/>
      <c r="K106" s="359"/>
      <c r="L106" s="359"/>
      <c r="M106" s="358"/>
      <c r="N106" s="359"/>
      <c r="O106" s="257"/>
      <c r="P106" s="360"/>
      <c r="Q106" s="360"/>
      <c r="R106" s="358"/>
      <c r="S106" s="359"/>
      <c r="T106" s="364"/>
      <c r="U106" s="359"/>
      <c r="V106" s="361"/>
      <c r="W106" s="359"/>
      <c r="X106" s="362"/>
      <c r="Y106" s="354"/>
      <c r="Z106" s="354"/>
      <c r="AA106" s="354"/>
      <c r="AB106" s="354"/>
      <c r="AC106" s="330" t="s">
        <v>137</v>
      </c>
      <c r="AD106" s="330" t="s">
        <v>116</v>
      </c>
      <c r="AE106" s="330"/>
      <c r="AF106" s="330"/>
      <c r="AG106" s="330"/>
      <c r="AH106" s="330" t="s">
        <v>144</v>
      </c>
      <c r="AI106" s="330" t="s">
        <v>144</v>
      </c>
      <c r="AJ106" s="363"/>
      <c r="AK106" s="363"/>
    </row>
    <row r="107" spans="1:37" ht="73.2" hidden="1" customHeight="1">
      <c r="A107" s="354"/>
      <c r="B107" s="354"/>
      <c r="C107" s="355"/>
      <c r="D107" s="355"/>
      <c r="E107" s="356"/>
      <c r="F107" s="365"/>
      <c r="G107" s="357"/>
      <c r="H107" s="358"/>
      <c r="I107" s="359"/>
      <c r="J107" s="257"/>
      <c r="K107" s="257"/>
      <c r="L107" s="257"/>
      <c r="M107" s="358"/>
      <c r="N107" s="257"/>
      <c r="O107" s="360"/>
      <c r="P107" s="360"/>
      <c r="Q107" s="360"/>
      <c r="R107" s="358"/>
      <c r="S107" s="257"/>
      <c r="T107" s="257"/>
      <c r="U107" s="257"/>
      <c r="V107" s="361"/>
      <c r="W107" s="257"/>
      <c r="X107" s="362"/>
      <c r="Y107" s="354"/>
      <c r="Z107" s="354"/>
      <c r="AA107" s="354"/>
      <c r="AB107" s="354"/>
      <c r="AC107" s="330" t="s">
        <v>137</v>
      </c>
      <c r="AD107" s="330" t="s">
        <v>116</v>
      </c>
      <c r="AE107" s="330"/>
      <c r="AF107" s="330"/>
      <c r="AG107" s="330"/>
      <c r="AH107" s="330" t="s">
        <v>144</v>
      </c>
      <c r="AI107" s="330" t="s">
        <v>144</v>
      </c>
      <c r="AJ107" s="363"/>
      <c r="AK107" s="363"/>
    </row>
    <row r="108" spans="1:37" ht="73.2" hidden="1" customHeight="1">
      <c r="A108" s="354"/>
      <c r="B108" s="354"/>
      <c r="C108" s="355"/>
      <c r="D108" s="355"/>
      <c r="E108" s="356"/>
      <c r="F108" s="357"/>
      <c r="G108" s="357"/>
      <c r="H108" s="358"/>
      <c r="I108" s="359"/>
      <c r="J108" s="359"/>
      <c r="K108" s="359"/>
      <c r="L108" s="359"/>
      <c r="M108" s="358"/>
      <c r="N108" s="359"/>
      <c r="O108" s="360"/>
      <c r="P108" s="360"/>
      <c r="Q108" s="360"/>
      <c r="R108" s="358"/>
      <c r="S108" s="359"/>
      <c r="T108" s="359"/>
      <c r="U108" s="359"/>
      <c r="V108" s="361"/>
      <c r="W108" s="359"/>
      <c r="X108" s="366"/>
      <c r="Y108" s="354"/>
      <c r="Z108" s="354"/>
      <c r="AA108" s="354"/>
      <c r="AB108" s="354"/>
      <c r="AC108" s="330" t="s">
        <v>137</v>
      </c>
      <c r="AD108" s="330" t="s">
        <v>116</v>
      </c>
      <c r="AE108" s="330"/>
      <c r="AF108" s="330"/>
      <c r="AG108" s="330"/>
      <c r="AH108" s="330" t="s">
        <v>144</v>
      </c>
      <c r="AI108" s="330" t="s">
        <v>144</v>
      </c>
      <c r="AJ108" s="363"/>
      <c r="AK108" s="363"/>
    </row>
    <row r="109" spans="1:37" ht="73.2" hidden="1" customHeight="1">
      <c r="A109" s="354"/>
      <c r="B109" s="354"/>
      <c r="C109" s="355"/>
      <c r="D109" s="355"/>
      <c r="E109" s="356"/>
      <c r="F109" s="357"/>
      <c r="G109" s="357"/>
      <c r="H109" s="358"/>
      <c r="I109" s="359"/>
      <c r="J109" s="359"/>
      <c r="K109" s="359"/>
      <c r="L109" s="359"/>
      <c r="M109" s="358"/>
      <c r="N109" s="359"/>
      <c r="O109" s="360"/>
      <c r="P109" s="360"/>
      <c r="Q109" s="360"/>
      <c r="R109" s="358"/>
      <c r="S109" s="359"/>
      <c r="T109" s="359"/>
      <c r="U109" s="358"/>
      <c r="V109" s="361"/>
      <c r="W109" s="359"/>
      <c r="X109" s="366"/>
      <c r="Y109" s="354"/>
      <c r="Z109" s="354"/>
      <c r="AA109" s="354"/>
      <c r="AB109" s="354"/>
      <c r="AC109" s="330" t="s">
        <v>137</v>
      </c>
      <c r="AD109" s="330" t="s">
        <v>116</v>
      </c>
      <c r="AE109" s="330"/>
      <c r="AF109" s="330"/>
      <c r="AG109" s="330"/>
      <c r="AH109" s="330" t="s">
        <v>144</v>
      </c>
      <c r="AI109" s="330" t="s">
        <v>144</v>
      </c>
      <c r="AJ109" s="363"/>
      <c r="AK109" s="363"/>
    </row>
    <row r="110" spans="1:37" ht="73.2" hidden="1" customHeight="1">
      <c r="A110" s="354"/>
      <c r="B110" s="354"/>
      <c r="C110" s="355"/>
      <c r="D110" s="355"/>
      <c r="E110" s="356"/>
      <c r="F110" s="367"/>
      <c r="G110" s="357"/>
      <c r="H110" s="358"/>
      <c r="I110" s="359"/>
      <c r="J110" s="257"/>
      <c r="K110" s="368"/>
      <c r="L110" s="257"/>
      <c r="M110" s="358"/>
      <c r="N110" s="257"/>
      <c r="O110" s="360"/>
      <c r="P110" s="360"/>
      <c r="Q110" s="360"/>
      <c r="R110" s="358"/>
      <c r="S110" s="257"/>
      <c r="T110" s="368"/>
      <c r="U110" s="369"/>
      <c r="V110" s="361"/>
      <c r="W110" s="257"/>
      <c r="X110" s="362"/>
      <c r="Y110" s="354"/>
      <c r="Z110" s="354"/>
      <c r="AA110" s="354"/>
      <c r="AB110" s="354"/>
      <c r="AC110" s="330" t="s">
        <v>137</v>
      </c>
      <c r="AD110" s="330"/>
      <c r="AE110" s="330"/>
      <c r="AF110" s="330"/>
      <c r="AG110" s="330"/>
      <c r="AH110" s="330"/>
      <c r="AI110" s="330" t="s">
        <v>144</v>
      </c>
      <c r="AJ110" s="363"/>
      <c r="AK110" s="363"/>
    </row>
    <row r="111" spans="1:37" ht="104.4" hidden="1" customHeight="1">
      <c r="A111" s="354"/>
      <c r="B111" s="354"/>
      <c r="C111" s="355"/>
      <c r="D111" s="355"/>
      <c r="E111" s="356"/>
      <c r="F111" s="367"/>
      <c r="G111" s="367"/>
      <c r="H111" s="358"/>
      <c r="I111" s="359"/>
      <c r="J111" s="368"/>
      <c r="K111" s="368"/>
      <c r="L111" s="367"/>
      <c r="M111" s="358"/>
      <c r="N111" s="359"/>
      <c r="O111" s="360"/>
      <c r="P111" s="360"/>
      <c r="Q111" s="360"/>
      <c r="R111" s="358"/>
      <c r="S111" s="257"/>
      <c r="T111" s="368"/>
      <c r="U111" s="369"/>
      <c r="V111" s="361"/>
      <c r="W111" s="257"/>
      <c r="X111" s="362"/>
      <c r="Y111" s="354"/>
      <c r="Z111" s="354"/>
      <c r="AA111" s="354"/>
      <c r="AB111" s="354"/>
      <c r="AC111" s="330" t="s">
        <v>137</v>
      </c>
      <c r="AD111" s="330"/>
      <c r="AE111" s="330"/>
      <c r="AF111" s="330"/>
      <c r="AG111" s="330"/>
      <c r="AH111" s="330"/>
      <c r="AI111" s="330" t="s">
        <v>144</v>
      </c>
      <c r="AJ111" s="363"/>
      <c r="AK111" s="363"/>
    </row>
    <row r="112" spans="1:37" ht="70.2" hidden="1" customHeight="1">
      <c r="A112" s="354"/>
      <c r="B112" s="354"/>
      <c r="C112" s="355"/>
      <c r="D112" s="355"/>
      <c r="E112" s="356"/>
      <c r="F112" s="367"/>
      <c r="G112" s="367"/>
      <c r="H112" s="358"/>
      <c r="I112" s="359"/>
      <c r="J112" s="368"/>
      <c r="K112" s="368"/>
      <c r="L112" s="257"/>
      <c r="M112" s="358"/>
      <c r="N112" s="257"/>
      <c r="O112" s="360"/>
      <c r="P112" s="360"/>
      <c r="Q112" s="360"/>
      <c r="R112" s="358"/>
      <c r="S112" s="257"/>
      <c r="T112" s="368"/>
      <c r="U112" s="369"/>
      <c r="V112" s="361"/>
      <c r="W112" s="257"/>
      <c r="X112" s="366"/>
      <c r="Y112" s="354"/>
      <c r="Z112" s="354"/>
      <c r="AA112" s="354"/>
      <c r="AB112" s="354"/>
      <c r="AC112" s="330" t="s">
        <v>137</v>
      </c>
      <c r="AD112" s="330"/>
      <c r="AE112" s="330"/>
      <c r="AF112" s="330"/>
      <c r="AG112" s="330"/>
      <c r="AH112" s="330"/>
      <c r="AI112" s="330" t="s">
        <v>144</v>
      </c>
      <c r="AJ112" s="363"/>
      <c r="AK112" s="363"/>
    </row>
    <row r="113" spans="1:37" ht="66" hidden="1" customHeight="1">
      <c r="A113" s="354"/>
      <c r="B113" s="354"/>
      <c r="C113" s="355"/>
      <c r="D113" s="355"/>
      <c r="E113" s="356"/>
      <c r="F113" s="367"/>
      <c r="G113" s="367"/>
      <c r="H113" s="358"/>
      <c r="I113" s="359"/>
      <c r="J113" s="368"/>
      <c r="K113" s="368"/>
      <c r="L113" s="257"/>
      <c r="M113" s="358"/>
      <c r="N113" s="257"/>
      <c r="O113" s="360"/>
      <c r="P113" s="360"/>
      <c r="Q113" s="360"/>
      <c r="R113" s="358"/>
      <c r="S113" s="257"/>
      <c r="T113" s="368"/>
      <c r="U113" s="369"/>
      <c r="V113" s="361"/>
      <c r="W113" s="257"/>
      <c r="X113" s="366"/>
      <c r="Y113" s="354"/>
      <c r="Z113" s="354"/>
      <c r="AA113" s="354"/>
      <c r="AB113" s="354"/>
      <c r="AC113" s="330" t="s">
        <v>137</v>
      </c>
      <c r="AD113" s="330"/>
      <c r="AE113" s="330"/>
      <c r="AF113" s="330"/>
      <c r="AG113" s="330"/>
      <c r="AH113" s="330"/>
      <c r="AI113" s="330" t="s">
        <v>144</v>
      </c>
      <c r="AJ113" s="363"/>
      <c r="AK113" s="363"/>
    </row>
    <row r="114" spans="1:37" ht="73.2" hidden="1" customHeight="1">
      <c r="A114" s="354"/>
      <c r="B114" s="354"/>
      <c r="C114" s="355"/>
      <c r="D114" s="355"/>
      <c r="E114" s="356"/>
      <c r="F114" s="357"/>
      <c r="G114" s="357"/>
      <c r="H114" s="358"/>
      <c r="I114" s="359"/>
      <c r="J114" s="359"/>
      <c r="K114" s="359"/>
      <c r="L114" s="359"/>
      <c r="M114" s="358"/>
      <c r="N114" s="359"/>
      <c r="O114" s="360"/>
      <c r="P114" s="360"/>
      <c r="Q114" s="360"/>
      <c r="R114" s="358"/>
      <c r="S114" s="359"/>
      <c r="T114" s="359"/>
      <c r="U114" s="359"/>
      <c r="V114" s="361"/>
      <c r="W114" s="359"/>
      <c r="X114" s="362"/>
      <c r="Y114" s="354"/>
      <c r="Z114" s="354"/>
      <c r="AA114" s="354"/>
      <c r="AB114" s="354"/>
      <c r="AC114" s="330" t="s">
        <v>116</v>
      </c>
      <c r="AD114" s="330"/>
      <c r="AE114" s="330"/>
      <c r="AF114" s="330"/>
      <c r="AG114" s="330"/>
      <c r="AH114" s="330" t="s">
        <v>144</v>
      </c>
      <c r="AI114" s="330"/>
      <c r="AJ114" s="363"/>
      <c r="AK114" s="363"/>
    </row>
    <row r="115" spans="1:37" ht="73.2" hidden="1" customHeight="1">
      <c r="A115" s="354"/>
      <c r="B115" s="354"/>
      <c r="C115" s="355"/>
      <c r="D115" s="355"/>
      <c r="E115" s="356"/>
      <c r="F115" s="357"/>
      <c r="G115" s="357"/>
      <c r="H115" s="358"/>
      <c r="I115" s="359"/>
      <c r="J115" s="359"/>
      <c r="K115" s="359"/>
      <c r="L115" s="359"/>
      <c r="M115" s="358"/>
      <c r="N115" s="359"/>
      <c r="O115" s="360"/>
      <c r="P115" s="360"/>
      <c r="Q115" s="360"/>
      <c r="R115" s="358"/>
      <c r="S115" s="359"/>
      <c r="T115" s="359"/>
      <c r="U115" s="359"/>
      <c r="V115" s="361"/>
      <c r="W115" s="359"/>
      <c r="X115" s="362"/>
      <c r="Y115" s="354"/>
      <c r="Z115" s="354"/>
      <c r="AA115" s="354"/>
      <c r="AB115" s="354"/>
      <c r="AC115" s="330" t="s">
        <v>137</v>
      </c>
      <c r="AD115" s="330"/>
      <c r="AE115" s="330"/>
      <c r="AF115" s="330"/>
      <c r="AG115" s="330"/>
      <c r="AH115" s="330"/>
      <c r="AI115" s="330" t="s">
        <v>144</v>
      </c>
      <c r="AJ115" s="363"/>
      <c r="AK115" s="363"/>
    </row>
    <row r="116" spans="1:37" ht="73.2" hidden="1" customHeight="1">
      <c r="A116" s="354"/>
      <c r="B116" s="354"/>
      <c r="C116" s="355"/>
      <c r="D116" s="355"/>
      <c r="E116" s="356"/>
      <c r="F116" s="357"/>
      <c r="G116" s="357"/>
      <c r="H116" s="358"/>
      <c r="I116" s="359"/>
      <c r="J116" s="359"/>
      <c r="K116" s="359"/>
      <c r="L116" s="359"/>
      <c r="M116" s="358"/>
      <c r="N116" s="359"/>
      <c r="O116" s="360"/>
      <c r="P116" s="360"/>
      <c r="Q116" s="360"/>
      <c r="R116" s="358"/>
      <c r="S116" s="359"/>
      <c r="T116" s="359"/>
      <c r="U116" s="359"/>
      <c r="V116" s="361"/>
      <c r="W116" s="359"/>
      <c r="X116" s="362"/>
      <c r="Y116" s="354"/>
      <c r="Z116" s="354"/>
      <c r="AA116" s="354"/>
      <c r="AB116" s="354"/>
      <c r="AC116" s="330" t="s">
        <v>137</v>
      </c>
      <c r="AD116" s="330"/>
      <c r="AE116" s="330"/>
      <c r="AF116" s="330"/>
      <c r="AG116" s="330"/>
      <c r="AH116" s="330"/>
      <c r="AI116" s="330" t="s">
        <v>144</v>
      </c>
      <c r="AJ116" s="363"/>
      <c r="AK116" s="363"/>
    </row>
    <row r="117" spans="1:37" ht="73.2" hidden="1" customHeight="1">
      <c r="A117" s="354"/>
      <c r="B117" s="354"/>
      <c r="C117" s="355"/>
      <c r="D117" s="355"/>
      <c r="E117" s="356"/>
      <c r="F117" s="370"/>
      <c r="G117" s="371"/>
      <c r="H117" s="358"/>
      <c r="I117" s="359"/>
      <c r="J117" s="359"/>
      <c r="K117" s="359"/>
      <c r="L117" s="359"/>
      <c r="M117" s="358"/>
      <c r="N117" s="359"/>
      <c r="O117" s="360"/>
      <c r="P117" s="360"/>
      <c r="Q117" s="360"/>
      <c r="R117" s="358"/>
      <c r="S117" s="359"/>
      <c r="T117" s="359"/>
      <c r="U117" s="359"/>
      <c r="V117" s="361"/>
      <c r="W117" s="359"/>
      <c r="X117" s="366"/>
      <c r="Y117" s="354"/>
      <c r="Z117" s="354"/>
      <c r="AA117" s="354"/>
      <c r="AB117" s="354"/>
      <c r="AC117" s="330" t="s">
        <v>137</v>
      </c>
      <c r="AD117" s="330"/>
      <c r="AE117" s="330"/>
      <c r="AF117" s="330"/>
      <c r="AG117" s="330"/>
      <c r="AH117" s="330"/>
      <c r="AI117" s="330" t="s">
        <v>144</v>
      </c>
      <c r="AJ117" s="363"/>
      <c r="AK117" s="363"/>
    </row>
    <row r="118" spans="1:37" ht="73.2" hidden="1" customHeight="1">
      <c r="A118" s="354"/>
      <c r="B118" s="354"/>
      <c r="C118" s="355"/>
      <c r="D118" s="355"/>
      <c r="E118" s="356"/>
      <c r="F118" s="370"/>
      <c r="G118" s="357"/>
      <c r="H118" s="358"/>
      <c r="I118" s="359"/>
      <c r="J118" s="359"/>
      <c r="K118" s="359"/>
      <c r="L118" s="359"/>
      <c r="M118" s="358"/>
      <c r="N118" s="359"/>
      <c r="O118" s="360"/>
      <c r="P118" s="360"/>
      <c r="Q118" s="360"/>
      <c r="R118" s="358"/>
      <c r="S118" s="359"/>
      <c r="T118" s="359"/>
      <c r="U118" s="359"/>
      <c r="V118" s="361"/>
      <c r="W118" s="359"/>
      <c r="X118" s="366"/>
      <c r="Y118" s="354"/>
      <c r="Z118" s="354"/>
      <c r="AA118" s="354"/>
      <c r="AB118" s="354"/>
      <c r="AC118" s="330" t="s">
        <v>137</v>
      </c>
      <c r="AD118" s="330"/>
      <c r="AE118" s="330"/>
      <c r="AF118" s="330"/>
      <c r="AG118" s="330"/>
      <c r="AH118" s="330"/>
      <c r="AI118" s="330" t="s">
        <v>144</v>
      </c>
      <c r="AJ118" s="363"/>
      <c r="AK118" s="363"/>
    </row>
    <row r="119" spans="1:37" ht="73.2" hidden="1" customHeight="1">
      <c r="A119" s="354"/>
      <c r="B119" s="354"/>
      <c r="C119" s="355"/>
      <c r="D119" s="355"/>
      <c r="E119" s="356"/>
      <c r="F119" s="357"/>
      <c r="G119" s="357"/>
      <c r="H119" s="358"/>
      <c r="I119" s="359"/>
      <c r="J119" s="359"/>
      <c r="K119" s="359"/>
      <c r="L119" s="359"/>
      <c r="M119" s="358"/>
      <c r="N119" s="359"/>
      <c r="O119" s="360"/>
      <c r="P119" s="360"/>
      <c r="Q119" s="360"/>
      <c r="R119" s="358"/>
      <c r="S119" s="359"/>
      <c r="T119" s="359"/>
      <c r="U119" s="359"/>
      <c r="V119" s="361"/>
      <c r="W119" s="359"/>
      <c r="X119" s="366"/>
      <c r="Y119" s="354"/>
      <c r="Z119" s="354"/>
      <c r="AA119" s="354"/>
      <c r="AB119" s="354"/>
      <c r="AC119" s="330" t="s">
        <v>137</v>
      </c>
      <c r="AD119" s="330"/>
      <c r="AE119" s="330"/>
      <c r="AF119" s="330"/>
      <c r="AG119" s="330"/>
      <c r="AH119" s="330"/>
      <c r="AI119" s="330" t="s">
        <v>144</v>
      </c>
      <c r="AJ119" s="363"/>
      <c r="AK119" s="363"/>
    </row>
    <row r="120" spans="1:37" ht="73.2" hidden="1" customHeight="1">
      <c r="A120" s="354"/>
      <c r="B120" s="354"/>
      <c r="C120" s="355"/>
      <c r="D120" s="355"/>
      <c r="E120" s="356"/>
      <c r="F120" s="365"/>
      <c r="G120" s="365"/>
      <c r="H120" s="358"/>
      <c r="I120" s="359"/>
      <c r="J120" s="359"/>
      <c r="K120" s="359"/>
      <c r="L120" s="359"/>
      <c r="M120" s="358"/>
      <c r="N120" s="359"/>
      <c r="O120" s="360"/>
      <c r="P120" s="360"/>
      <c r="Q120" s="360"/>
      <c r="R120" s="358"/>
      <c r="S120" s="359"/>
      <c r="T120" s="359"/>
      <c r="U120" s="359"/>
      <c r="V120" s="361"/>
      <c r="W120" s="359"/>
      <c r="X120" s="366"/>
      <c r="Y120" s="354"/>
      <c r="Z120" s="354"/>
      <c r="AA120" s="354"/>
      <c r="AB120" s="354"/>
      <c r="AC120" s="330" t="s">
        <v>137</v>
      </c>
      <c r="AD120" s="330"/>
      <c r="AE120" s="330"/>
      <c r="AF120" s="330"/>
      <c r="AG120" s="330"/>
      <c r="AH120" s="330"/>
      <c r="AI120" s="330" t="s">
        <v>144</v>
      </c>
      <c r="AJ120" s="363"/>
      <c r="AK120" s="363"/>
    </row>
    <row r="121" spans="1:37" ht="73.2" hidden="1" customHeight="1">
      <c r="A121" s="354"/>
      <c r="B121" s="354"/>
      <c r="C121" s="355"/>
      <c r="D121" s="355"/>
      <c r="E121" s="356"/>
      <c r="F121" s="365"/>
      <c r="G121" s="365"/>
      <c r="H121" s="358"/>
      <c r="I121" s="359"/>
      <c r="J121" s="359"/>
      <c r="K121" s="359"/>
      <c r="L121" s="359"/>
      <c r="M121" s="358"/>
      <c r="N121" s="359"/>
      <c r="O121" s="360"/>
      <c r="P121" s="360"/>
      <c r="Q121" s="360"/>
      <c r="R121" s="358"/>
      <c r="S121" s="359"/>
      <c r="T121" s="359"/>
      <c r="U121" s="359"/>
      <c r="V121" s="361"/>
      <c r="W121" s="359"/>
      <c r="X121" s="366"/>
      <c r="Y121" s="354"/>
      <c r="Z121" s="354"/>
      <c r="AA121" s="354"/>
      <c r="AB121" s="354"/>
      <c r="AC121" s="330" t="s">
        <v>137</v>
      </c>
      <c r="AD121" s="330"/>
      <c r="AE121" s="330"/>
      <c r="AF121" s="330"/>
      <c r="AG121" s="330"/>
      <c r="AH121" s="330"/>
      <c r="AI121" s="330" t="s">
        <v>144</v>
      </c>
      <c r="AJ121" s="363"/>
      <c r="AK121" s="363"/>
    </row>
    <row r="122" spans="1:37" ht="73.2" hidden="1" customHeight="1">
      <c r="A122" s="354"/>
      <c r="B122" s="354"/>
      <c r="C122" s="355"/>
      <c r="D122" s="355"/>
      <c r="E122" s="356"/>
      <c r="F122" s="365"/>
      <c r="G122" s="365"/>
      <c r="H122" s="358"/>
      <c r="I122" s="359"/>
      <c r="J122" s="359"/>
      <c r="K122" s="359"/>
      <c r="L122" s="359"/>
      <c r="M122" s="358"/>
      <c r="N122" s="359"/>
      <c r="O122" s="360"/>
      <c r="P122" s="360"/>
      <c r="Q122" s="360"/>
      <c r="R122" s="358"/>
      <c r="S122" s="359"/>
      <c r="T122" s="359"/>
      <c r="U122" s="359"/>
      <c r="V122" s="361"/>
      <c r="W122" s="359"/>
      <c r="X122" s="366"/>
      <c r="Y122" s="354"/>
      <c r="Z122" s="354"/>
      <c r="AA122" s="354"/>
      <c r="AB122" s="354"/>
      <c r="AC122" s="330" t="s">
        <v>137</v>
      </c>
      <c r="AD122" s="330"/>
      <c r="AE122" s="330"/>
      <c r="AF122" s="330"/>
      <c r="AG122" s="330"/>
      <c r="AH122" s="330"/>
      <c r="AI122" s="330" t="s">
        <v>144</v>
      </c>
      <c r="AJ122" s="363"/>
      <c r="AK122" s="363"/>
    </row>
    <row r="123" spans="1:37" ht="73.2" hidden="1" customHeight="1">
      <c r="A123" s="354"/>
      <c r="B123" s="354"/>
      <c r="C123" s="355"/>
      <c r="D123" s="355"/>
      <c r="E123" s="356"/>
      <c r="F123" s="372"/>
      <c r="G123" s="365"/>
      <c r="H123" s="358"/>
      <c r="I123" s="359"/>
      <c r="J123" s="359"/>
      <c r="K123" s="359"/>
      <c r="L123" s="359"/>
      <c r="M123" s="358"/>
      <c r="N123" s="359"/>
      <c r="O123" s="360"/>
      <c r="P123" s="360"/>
      <c r="Q123" s="360"/>
      <c r="R123" s="358"/>
      <c r="S123" s="359"/>
      <c r="T123" s="359"/>
      <c r="U123" s="359"/>
      <c r="V123" s="361"/>
      <c r="W123" s="359"/>
      <c r="X123" s="362"/>
      <c r="Y123" s="354"/>
      <c r="Z123" s="354"/>
      <c r="AA123" s="354"/>
      <c r="AB123" s="354"/>
      <c r="AC123" s="330" t="s">
        <v>137</v>
      </c>
      <c r="AD123" s="330"/>
      <c r="AE123" s="330"/>
      <c r="AF123" s="330"/>
      <c r="AG123" s="330"/>
      <c r="AH123" s="330"/>
      <c r="AI123" s="330" t="s">
        <v>144</v>
      </c>
      <c r="AJ123" s="363"/>
      <c r="AK123" s="363"/>
    </row>
    <row r="124" spans="1:37" ht="73.2" hidden="1" customHeight="1">
      <c r="A124" s="354"/>
      <c r="B124" s="354"/>
      <c r="C124" s="355"/>
      <c r="D124" s="355"/>
      <c r="E124" s="356"/>
      <c r="F124" s="357"/>
      <c r="G124" s="365"/>
      <c r="H124" s="358"/>
      <c r="I124" s="359"/>
      <c r="J124" s="359"/>
      <c r="K124" s="359"/>
      <c r="L124" s="359"/>
      <c r="M124" s="358"/>
      <c r="N124" s="359"/>
      <c r="O124" s="360"/>
      <c r="P124" s="360"/>
      <c r="Q124" s="360"/>
      <c r="R124" s="358"/>
      <c r="S124" s="359"/>
      <c r="T124" s="359"/>
      <c r="U124" s="359"/>
      <c r="V124" s="361"/>
      <c r="W124" s="359"/>
      <c r="X124" s="362"/>
      <c r="Y124" s="354"/>
      <c r="Z124" s="354"/>
      <c r="AA124" s="354"/>
      <c r="AB124" s="354"/>
      <c r="AC124" s="330" t="s">
        <v>137</v>
      </c>
      <c r="AD124" s="330"/>
      <c r="AE124" s="330"/>
      <c r="AF124" s="330"/>
      <c r="AG124" s="330"/>
      <c r="AH124" s="330"/>
      <c r="AI124" s="330" t="s">
        <v>144</v>
      </c>
      <c r="AJ124" s="363"/>
      <c r="AK124" s="363"/>
    </row>
    <row r="125" spans="1:37" ht="73.2" hidden="1" customHeight="1">
      <c r="A125" s="354"/>
      <c r="B125" s="354"/>
      <c r="C125" s="355"/>
      <c r="D125" s="355"/>
      <c r="E125" s="356"/>
      <c r="F125" s="357"/>
      <c r="G125" s="357"/>
      <c r="H125" s="358"/>
      <c r="I125" s="359"/>
      <c r="J125" s="359"/>
      <c r="K125" s="359"/>
      <c r="L125" s="359"/>
      <c r="M125" s="358"/>
      <c r="N125" s="359"/>
      <c r="O125" s="360"/>
      <c r="P125" s="360"/>
      <c r="Q125" s="360"/>
      <c r="R125" s="358"/>
      <c r="S125" s="359"/>
      <c r="T125" s="359"/>
      <c r="U125" s="359"/>
      <c r="V125" s="361"/>
      <c r="W125" s="359"/>
      <c r="X125" s="362"/>
      <c r="Y125" s="354"/>
      <c r="Z125" s="354"/>
      <c r="AA125" s="354"/>
      <c r="AB125" s="354"/>
      <c r="AC125" s="330" t="s">
        <v>137</v>
      </c>
      <c r="AD125" s="330"/>
      <c r="AE125" s="330"/>
      <c r="AF125" s="330"/>
      <c r="AG125" s="330"/>
      <c r="AH125" s="330"/>
      <c r="AI125" s="330" t="s">
        <v>144</v>
      </c>
      <c r="AJ125" s="363"/>
      <c r="AK125" s="363"/>
    </row>
    <row r="126" spans="1:37" ht="73.2" hidden="1" customHeight="1">
      <c r="A126" s="354"/>
      <c r="B126" s="354"/>
      <c r="C126" s="355"/>
      <c r="D126" s="355"/>
      <c r="E126" s="356"/>
      <c r="F126" s="357"/>
      <c r="G126" s="357"/>
      <c r="H126" s="358"/>
      <c r="I126" s="359"/>
      <c r="J126" s="359"/>
      <c r="K126" s="359"/>
      <c r="L126" s="359"/>
      <c r="M126" s="358"/>
      <c r="N126" s="359"/>
      <c r="O126" s="360"/>
      <c r="P126" s="360"/>
      <c r="Q126" s="360"/>
      <c r="R126" s="358"/>
      <c r="S126" s="359"/>
      <c r="T126" s="359"/>
      <c r="U126" s="359"/>
      <c r="V126" s="361"/>
      <c r="W126" s="359"/>
      <c r="X126" s="366"/>
      <c r="Y126" s="354"/>
      <c r="Z126" s="354"/>
      <c r="AA126" s="354"/>
      <c r="AB126" s="354"/>
      <c r="AC126" s="330" t="s">
        <v>137</v>
      </c>
      <c r="AD126" s="330"/>
      <c r="AE126" s="330"/>
      <c r="AF126" s="330"/>
      <c r="AG126" s="330"/>
      <c r="AH126" s="330"/>
      <c r="AI126" s="330" t="s">
        <v>144</v>
      </c>
      <c r="AJ126" s="363"/>
      <c r="AK126" s="363"/>
    </row>
    <row r="127" spans="1:37" ht="73.2" hidden="1" customHeight="1">
      <c r="A127" s="354"/>
      <c r="B127" s="354"/>
      <c r="C127" s="355"/>
      <c r="D127" s="355"/>
      <c r="E127" s="356"/>
      <c r="F127" s="357"/>
      <c r="G127" s="357"/>
      <c r="H127" s="358"/>
      <c r="I127" s="359"/>
      <c r="J127" s="359"/>
      <c r="K127" s="359"/>
      <c r="L127" s="359"/>
      <c r="M127" s="358"/>
      <c r="N127" s="359"/>
      <c r="O127" s="360"/>
      <c r="P127" s="360"/>
      <c r="Q127" s="360"/>
      <c r="R127" s="358"/>
      <c r="S127" s="359"/>
      <c r="T127" s="359"/>
      <c r="U127" s="359"/>
      <c r="V127" s="361"/>
      <c r="W127" s="359"/>
      <c r="X127" s="362"/>
      <c r="Y127" s="354"/>
      <c r="Z127" s="354"/>
      <c r="AA127" s="354"/>
      <c r="AB127" s="354"/>
      <c r="AC127" s="330" t="s">
        <v>137</v>
      </c>
      <c r="AD127" s="330"/>
      <c r="AE127" s="330"/>
      <c r="AF127" s="330"/>
      <c r="AG127" s="330"/>
      <c r="AH127" s="330"/>
      <c r="AI127" s="330" t="s">
        <v>144</v>
      </c>
      <c r="AJ127" s="363"/>
      <c r="AK127" s="363"/>
    </row>
    <row r="128" spans="1:37" ht="73.2" hidden="1" customHeight="1">
      <c r="A128" s="354"/>
      <c r="B128" s="354"/>
      <c r="C128" s="355"/>
      <c r="D128" s="355"/>
      <c r="E128" s="356"/>
      <c r="F128" s="357"/>
      <c r="G128" s="357"/>
      <c r="H128" s="358"/>
      <c r="I128" s="359"/>
      <c r="J128" s="359"/>
      <c r="K128" s="359"/>
      <c r="L128" s="359"/>
      <c r="M128" s="358"/>
      <c r="N128" s="359"/>
      <c r="O128" s="360"/>
      <c r="P128" s="360"/>
      <c r="Q128" s="360"/>
      <c r="R128" s="358"/>
      <c r="S128" s="359"/>
      <c r="T128" s="359"/>
      <c r="U128" s="358"/>
      <c r="V128" s="361"/>
      <c r="W128" s="359"/>
      <c r="X128" s="362"/>
      <c r="Y128" s="354"/>
      <c r="Z128" s="354"/>
      <c r="AA128" s="354"/>
      <c r="AB128" s="354"/>
      <c r="AC128" s="330" t="s">
        <v>137</v>
      </c>
      <c r="AD128" s="330"/>
      <c r="AE128" s="330"/>
      <c r="AF128" s="330"/>
      <c r="AG128" s="330"/>
      <c r="AH128" s="330"/>
      <c r="AI128" s="330" t="s">
        <v>144</v>
      </c>
      <c r="AJ128" s="363"/>
      <c r="AK128" s="363"/>
    </row>
    <row r="129" spans="1:37" ht="73.2" hidden="1" customHeight="1">
      <c r="A129" s="354"/>
      <c r="B129" s="354"/>
      <c r="C129" s="355"/>
      <c r="D129" s="355"/>
      <c r="E129" s="356"/>
      <c r="F129" s="357"/>
      <c r="G129" s="357"/>
      <c r="H129" s="358"/>
      <c r="I129" s="359"/>
      <c r="J129" s="359"/>
      <c r="K129" s="358"/>
      <c r="L129" s="359"/>
      <c r="M129" s="358"/>
      <c r="N129" s="359"/>
      <c r="O129" s="360"/>
      <c r="P129" s="360"/>
      <c r="Q129" s="360"/>
      <c r="R129" s="358"/>
      <c r="S129" s="359"/>
      <c r="T129" s="359"/>
      <c r="U129" s="358"/>
      <c r="V129" s="361"/>
      <c r="W129" s="359"/>
      <c r="X129" s="366"/>
      <c r="Y129" s="354"/>
      <c r="Z129" s="354"/>
      <c r="AA129" s="354"/>
      <c r="AB129" s="354"/>
      <c r="AC129" s="330" t="s">
        <v>137</v>
      </c>
      <c r="AD129" s="330"/>
      <c r="AE129" s="330"/>
      <c r="AF129" s="330"/>
      <c r="AG129" s="330"/>
      <c r="AH129" s="330"/>
      <c r="AI129" s="330" t="s">
        <v>144</v>
      </c>
      <c r="AJ129" s="363"/>
      <c r="AK129" s="363"/>
    </row>
    <row r="130" spans="1:37" ht="73.2" hidden="1" customHeight="1">
      <c r="A130" s="354"/>
      <c r="B130" s="354"/>
      <c r="C130" s="355"/>
      <c r="D130" s="355"/>
      <c r="E130" s="373"/>
      <c r="F130" s="367"/>
      <c r="G130" s="357"/>
      <c r="H130" s="358"/>
      <c r="I130" s="359"/>
      <c r="J130" s="374"/>
      <c r="K130" s="359"/>
      <c r="L130" s="359"/>
      <c r="M130" s="358"/>
      <c r="N130" s="372"/>
      <c r="O130" s="360"/>
      <c r="P130" s="360"/>
      <c r="Q130" s="357"/>
      <c r="R130" s="358"/>
      <c r="S130" s="359"/>
      <c r="T130" s="368"/>
      <c r="U130" s="375"/>
      <c r="V130" s="361"/>
      <c r="W130" s="357"/>
      <c r="X130" s="362"/>
      <c r="Y130" s="354"/>
      <c r="Z130" s="354"/>
      <c r="AA130" s="354"/>
      <c r="AB130" s="354"/>
      <c r="AC130" s="330" t="s">
        <v>137</v>
      </c>
      <c r="AD130" s="330"/>
      <c r="AE130" s="330"/>
      <c r="AF130" s="330"/>
      <c r="AG130" s="330"/>
      <c r="AH130" s="330"/>
      <c r="AI130" s="330" t="s">
        <v>144</v>
      </c>
      <c r="AJ130" s="363"/>
      <c r="AK130" s="363"/>
    </row>
    <row r="131" spans="1:37" ht="73.2" hidden="1" customHeight="1">
      <c r="A131" s="354"/>
      <c r="B131" s="354"/>
      <c r="C131" s="355"/>
      <c r="D131" s="355"/>
      <c r="E131" s="356"/>
      <c r="F131" s="357"/>
      <c r="G131" s="357"/>
      <c r="H131" s="358"/>
      <c r="I131" s="359"/>
      <c r="J131" s="257"/>
      <c r="K131" s="257"/>
      <c r="L131" s="257"/>
      <c r="M131" s="358"/>
      <c r="N131" s="257"/>
      <c r="O131" s="360"/>
      <c r="P131" s="360"/>
      <c r="Q131" s="360"/>
      <c r="R131" s="358"/>
      <c r="S131" s="257"/>
      <c r="T131" s="257"/>
      <c r="U131" s="257"/>
      <c r="V131" s="361"/>
      <c r="W131" s="257"/>
      <c r="X131" s="366"/>
      <c r="Y131" s="354"/>
      <c r="Z131" s="354"/>
      <c r="AA131" s="354"/>
      <c r="AB131" s="354"/>
      <c r="AC131" s="330" t="s">
        <v>137</v>
      </c>
      <c r="AD131" s="330"/>
      <c r="AE131" s="330"/>
      <c r="AF131" s="330"/>
      <c r="AG131" s="330"/>
      <c r="AH131" s="330"/>
      <c r="AI131" s="330" t="s">
        <v>144</v>
      </c>
      <c r="AJ131" s="363"/>
      <c r="AK131" s="363"/>
    </row>
    <row r="132" spans="1:37" ht="73.2" hidden="1" customHeight="1">
      <c r="A132" s="354"/>
      <c r="B132" s="354"/>
      <c r="C132" s="355"/>
      <c r="D132" s="355"/>
      <c r="E132" s="356"/>
      <c r="F132" s="357"/>
      <c r="G132" s="357"/>
      <c r="H132" s="358"/>
      <c r="I132" s="359"/>
      <c r="J132" s="257"/>
      <c r="K132" s="257"/>
      <c r="L132" s="257"/>
      <c r="M132" s="358"/>
      <c r="N132" s="257"/>
      <c r="O132" s="360"/>
      <c r="P132" s="360"/>
      <c r="Q132" s="360"/>
      <c r="R132" s="358"/>
      <c r="S132" s="257"/>
      <c r="T132" s="257"/>
      <c r="U132" s="257"/>
      <c r="V132" s="361"/>
      <c r="W132" s="257"/>
      <c r="X132" s="366"/>
      <c r="Y132" s="354"/>
      <c r="Z132" s="354"/>
      <c r="AA132" s="354"/>
      <c r="AB132" s="354"/>
      <c r="AC132" s="330" t="s">
        <v>137</v>
      </c>
      <c r="AD132" s="330"/>
      <c r="AE132" s="330"/>
      <c r="AF132" s="330"/>
      <c r="AG132" s="330"/>
      <c r="AH132" s="330"/>
      <c r="AI132" s="330" t="s">
        <v>144</v>
      </c>
      <c r="AJ132" s="363"/>
      <c r="AK132" s="363"/>
    </row>
    <row r="133" spans="1:37" ht="73.2" hidden="1" customHeight="1">
      <c r="A133" s="354"/>
      <c r="B133" s="354"/>
      <c r="C133" s="355"/>
      <c r="D133" s="355"/>
      <c r="E133" s="356"/>
      <c r="F133" s="357"/>
      <c r="G133" s="357"/>
      <c r="H133" s="358"/>
      <c r="I133" s="359"/>
      <c r="J133" s="257"/>
      <c r="K133" s="257"/>
      <c r="L133" s="257"/>
      <c r="M133" s="358"/>
      <c r="N133" s="257"/>
      <c r="O133" s="360"/>
      <c r="P133" s="360"/>
      <c r="Q133" s="360"/>
      <c r="R133" s="358"/>
      <c r="S133" s="257"/>
      <c r="T133" s="257"/>
      <c r="U133" s="257"/>
      <c r="V133" s="361"/>
      <c r="W133" s="257"/>
      <c r="X133" s="362"/>
      <c r="Y133" s="354"/>
      <c r="Z133" s="354"/>
      <c r="AA133" s="354"/>
      <c r="AB133" s="354"/>
      <c r="AC133" s="330" t="s">
        <v>137</v>
      </c>
      <c r="AD133" s="330"/>
      <c r="AE133" s="330"/>
      <c r="AF133" s="330"/>
      <c r="AG133" s="330"/>
      <c r="AH133" s="330"/>
      <c r="AI133" s="330" t="s">
        <v>144</v>
      </c>
      <c r="AJ133" s="363"/>
      <c r="AK133" s="363"/>
    </row>
    <row r="134" spans="1:37" ht="73.2" hidden="1" customHeight="1">
      <c r="A134" s="354"/>
      <c r="B134" s="354"/>
      <c r="C134" s="355"/>
      <c r="D134" s="355"/>
      <c r="E134" s="356"/>
      <c r="F134" s="357"/>
      <c r="G134" s="357"/>
      <c r="H134" s="358"/>
      <c r="I134" s="359"/>
      <c r="J134" s="359"/>
      <c r="K134" s="359"/>
      <c r="L134" s="359"/>
      <c r="M134" s="358"/>
      <c r="N134" s="359"/>
      <c r="O134" s="360"/>
      <c r="P134" s="360"/>
      <c r="Q134" s="360"/>
      <c r="R134" s="358"/>
      <c r="S134" s="359"/>
      <c r="T134" s="359"/>
      <c r="U134" s="359"/>
      <c r="V134" s="361"/>
      <c r="W134" s="359"/>
      <c r="X134" s="362"/>
      <c r="Y134" s="354"/>
      <c r="Z134" s="354"/>
      <c r="AA134" s="354"/>
      <c r="AB134" s="354"/>
      <c r="AC134" s="330" t="s">
        <v>137</v>
      </c>
      <c r="AD134" s="330"/>
      <c r="AE134" s="330"/>
      <c r="AF134" s="330"/>
      <c r="AG134" s="330"/>
      <c r="AH134" s="330"/>
      <c r="AI134" s="330" t="s">
        <v>144</v>
      </c>
      <c r="AJ134" s="363"/>
      <c r="AK134" s="363"/>
    </row>
    <row r="135" spans="1:37" ht="97.95" hidden="1" customHeight="1">
      <c r="A135" s="347"/>
      <c r="B135" s="348"/>
      <c r="C135" s="349"/>
      <c r="D135" s="349"/>
      <c r="E135" s="350"/>
      <c r="F135" s="351"/>
      <c r="G135" s="351"/>
      <c r="H135" s="352"/>
      <c r="I135" s="353"/>
      <c r="J135" s="353"/>
      <c r="K135" s="353"/>
      <c r="L135" s="353"/>
      <c r="M135" s="353"/>
      <c r="N135" s="353"/>
      <c r="O135" s="353"/>
      <c r="P135" s="353"/>
      <c r="Q135" s="353"/>
      <c r="R135" s="353"/>
      <c r="S135" s="353"/>
      <c r="T135" s="353"/>
      <c r="U135" s="353"/>
      <c r="V135" s="353"/>
      <c r="W135" s="353"/>
      <c r="X135" s="348"/>
      <c r="Y135" s="349"/>
      <c r="Z135" s="347"/>
      <c r="AA135" s="347"/>
      <c r="AB135" s="349"/>
      <c r="AC135" s="353"/>
      <c r="AD135" s="353"/>
      <c r="AE135" s="353"/>
      <c r="AF135" s="352">
        <v>34</v>
      </c>
      <c r="AG135" s="352">
        <v>24</v>
      </c>
      <c r="AH135" s="352">
        <v>46</v>
      </c>
      <c r="AI135" s="352">
        <v>57</v>
      </c>
      <c r="AJ135" s="352"/>
    </row>
    <row r="136" spans="1:37" ht="31.2" customHeight="1" thickTop="1"/>
    <row r="137" spans="1:37" ht="31.2" customHeight="1">
      <c r="H137" s="252"/>
    </row>
    <row r="153" spans="1:1" ht="97.95" customHeight="1">
      <c r="A153" s="263" t="s">
        <v>15</v>
      </c>
    </row>
    <row r="154" spans="1:1" ht="97.95" customHeight="1">
      <c r="A154" s="263" t="s">
        <v>16</v>
      </c>
    </row>
    <row r="155" spans="1:1" ht="97.95" customHeight="1">
      <c r="A155" s="263" t="s">
        <v>17</v>
      </c>
    </row>
    <row r="156" spans="1:1" ht="97.95" customHeight="1">
      <c r="A156" s="263" t="s">
        <v>18</v>
      </c>
    </row>
    <row r="157" spans="1:1" ht="97.95" customHeight="1">
      <c r="A157" s="263" t="s">
        <v>19</v>
      </c>
    </row>
    <row r="158" spans="1:1" ht="97.95" customHeight="1">
      <c r="A158" s="263" t="s">
        <v>20</v>
      </c>
    </row>
    <row r="159" spans="1:1" ht="97.95" customHeight="1">
      <c r="A159" s="263" t="s">
        <v>21</v>
      </c>
    </row>
    <row r="160" spans="1:1" ht="97.95" customHeight="1">
      <c r="A160" s="263" t="s">
        <v>22</v>
      </c>
    </row>
    <row r="161" spans="1:1" ht="97.95" customHeight="1">
      <c r="A161" s="263" t="s">
        <v>23</v>
      </c>
    </row>
    <row r="162" spans="1:1" ht="97.95" customHeight="1">
      <c r="A162" s="263" t="s">
        <v>24</v>
      </c>
    </row>
    <row r="163" spans="1:1" ht="97.95" customHeight="1">
      <c r="A163" s="233"/>
    </row>
    <row r="164" spans="1:1" ht="97.95" customHeight="1">
      <c r="A164" s="233"/>
    </row>
    <row r="165" spans="1:1" ht="97.95" customHeight="1">
      <c r="A165" s="233"/>
    </row>
    <row r="166" spans="1:1" ht="97.95" customHeight="1">
      <c r="A166" s="234"/>
    </row>
    <row r="167" spans="1:1" ht="97.95" customHeight="1">
      <c r="A167" s="234"/>
    </row>
    <row r="168" spans="1:1" ht="97.95" customHeight="1">
      <c r="A168" s="233"/>
    </row>
    <row r="169" spans="1:1" ht="97.95" customHeight="1">
      <c r="A169" s="233"/>
    </row>
    <row r="170" spans="1:1" ht="97.95" customHeight="1">
      <c r="A170" s="233"/>
    </row>
    <row r="171" spans="1:1" ht="97.95" customHeight="1">
      <c r="A171" s="235" t="s">
        <v>16</v>
      </c>
    </row>
    <row r="172" spans="1:1" ht="97.95" customHeight="1">
      <c r="A172" s="235" t="s">
        <v>25</v>
      </c>
    </row>
    <row r="173" spans="1:1" ht="97.95" customHeight="1">
      <c r="A173" s="235" t="s">
        <v>26</v>
      </c>
    </row>
    <row r="174" spans="1:1" ht="97.95" customHeight="1">
      <c r="A174" s="235" t="s">
        <v>20</v>
      </c>
    </row>
    <row r="175" spans="1:1" ht="97.95" customHeight="1">
      <c r="A175" s="235" t="s">
        <v>27</v>
      </c>
    </row>
    <row r="176" spans="1:1" ht="97.95" customHeight="1">
      <c r="A176" s="264" t="s">
        <v>24</v>
      </c>
    </row>
    <row r="177" spans="1:1" ht="97.95" customHeight="1">
      <c r="A177" s="235" t="s">
        <v>29</v>
      </c>
    </row>
    <row r="178" spans="1:1" ht="97.95" customHeight="1">
      <c r="A178" s="235" t="s">
        <v>28</v>
      </c>
    </row>
    <row r="179" spans="1:1" ht="97.95" customHeight="1">
      <c r="A179" s="235" t="s">
        <v>23</v>
      </c>
    </row>
  </sheetData>
  <sheetProtection selectLockedCells="1" autoFilter="0" pivotTables="0"/>
  <autoFilter ref="A2:AK135">
    <filterColumn colId="0">
      <filters>
        <filter val="James Abbott"/>
      </filters>
    </filterColumn>
  </autoFilter>
  <sortState ref="A3:AJ134">
    <sortCondition ref="AJ3:AJ134"/>
  </sortState>
  <mergeCells count="6">
    <mergeCell ref="AF1:AI1"/>
    <mergeCell ref="F1:I1"/>
    <mergeCell ref="J1:N1"/>
    <mergeCell ref="O1:S1"/>
    <mergeCell ref="T1:W1"/>
    <mergeCell ref="AC1:AE1"/>
  </mergeCells>
  <conditionalFormatting sqref="R3:R13 M3:M13 M125:M134 R125:R134 M123 R123 M120 R120 M114:M117 R114:R117 M69:M87 R69:R87 R89:R112 M89:M112 M15:M65 R15:R65 H137 H3:H134">
    <cfRule type="containsText" dxfId="4270" priority="2169" operator="containsText" text="Deferred">
      <formula>NOT(ISERROR(SEARCH("Deferred",H3)))</formula>
    </cfRule>
    <cfRule type="containsText" dxfId="4269" priority="2171" operator="containsText" text="Update Not Provided">
      <formula>NOT(ISERROR(SEARCH("Update Not Provided",H3)))</formula>
    </cfRule>
    <cfRule type="containsText" dxfId="4268" priority="2172" operator="containsText" text="Not Yet Due">
      <formula>NOT(ISERROR(SEARCH("Not Yet Due",H3)))</formula>
    </cfRule>
    <cfRule type="containsText" dxfId="4267" priority="2173" operator="containsText" text="Deleted">
      <formula>NOT(ISERROR(SEARCH("Deleted",H3)))</formula>
    </cfRule>
    <cfRule type="containsText" dxfId="4266" priority="2174" operator="containsText" text="Completed Behind Schedule">
      <formula>NOT(ISERROR(SEARCH("Completed Behind Schedule",H3)))</formula>
    </cfRule>
    <cfRule type="containsText" dxfId="4265" priority="2175" operator="containsText" text="Off Target">
      <formula>NOT(ISERROR(SEARCH("Off Target",H3)))</formula>
    </cfRule>
    <cfRule type="containsText" dxfId="4264" priority="2176" operator="containsText" text="In Danger of Falling Behind Target">
      <formula>NOT(ISERROR(SEARCH("In Danger of Falling Behind Target",H3)))</formula>
    </cfRule>
    <cfRule type="containsText" dxfId="4263" priority="2177" operator="containsText" text="Fully Achieved">
      <formula>NOT(ISERROR(SEARCH("Fully Achieved",H3)))</formula>
    </cfRule>
    <cfRule type="containsText" dxfId="4262" priority="2178" operator="containsText" text="On track to be achieved">
      <formula>NOT(ISERROR(SEARCH("On track to be achieved",H3)))</formula>
    </cfRule>
  </conditionalFormatting>
  <conditionalFormatting sqref="V3:V13 V125:V134 V123 V120 V114:V117 V69:V87 V89:V112 V15:V65">
    <cfRule type="containsText" dxfId="4261" priority="1103" operator="containsText" text="Deleted">
      <formula>NOT(ISERROR(SEARCH("Deleted",V3)))</formula>
    </cfRule>
    <cfRule type="containsText" dxfId="4260" priority="1104" operator="containsText" text="Deferred">
      <formula>NOT(ISERROR(SEARCH("Deferred",V3)))</formula>
    </cfRule>
    <cfRule type="containsText" dxfId="4259" priority="1105" operator="containsText" text="Completion date within reasonable tolerance">
      <formula>NOT(ISERROR(SEARCH("Completion date within reasonable tolerance",V3)))</formula>
    </cfRule>
    <cfRule type="containsText" dxfId="4258" priority="1106" operator="containsText" text="completed significantly after target deadline">
      <formula>NOT(ISERROR(SEARCH("completed significantly after target deadline",V3)))</formula>
    </cfRule>
    <cfRule type="containsText" dxfId="4257" priority="1107" operator="containsText" text="Off target">
      <formula>NOT(ISERROR(SEARCH("Off target",V3)))</formula>
    </cfRule>
    <cfRule type="containsText" dxfId="4256" priority="1108" operator="containsText" text="Target partially met">
      <formula>NOT(ISERROR(SEARCH("Target partially met",V3)))</formula>
    </cfRule>
    <cfRule type="containsText" dxfId="4255" priority="1109" operator="containsText" text="Numerical outturn within 10% tolerance">
      <formula>NOT(ISERROR(SEARCH("Numerical outturn within 10% tolerance",V3)))</formula>
    </cfRule>
    <cfRule type="containsText" dxfId="4254" priority="1110" operator="containsText" text="Numerical outturn within 5% Tolerance">
      <formula>NOT(ISERROR(SEARCH("Numerical outturn within 5% Tolerance",V3)))</formula>
    </cfRule>
    <cfRule type="containsText" dxfId="4253" priority="1111" operator="containsText" text="Fully Achieved">
      <formula>NOT(ISERROR(SEARCH("Fully Achieved",V3)))</formula>
    </cfRule>
    <cfRule type="containsText" dxfId="4252" priority="1112" operator="containsText" text="Update Not Provided">
      <formula>NOT(ISERROR(SEARCH("Update Not Provided",V3)))</formula>
    </cfRule>
    <cfRule type="containsText" dxfId="4251" priority="1113" operator="containsText" text="Deferred">
      <formula>NOT(ISERROR(SEARCH("Deferred",V3)))</formula>
    </cfRule>
    <cfRule type="containsText" dxfId="4250" priority="1114" operator="containsText" text="Update Not Provided">
      <formula>NOT(ISERROR(SEARCH("Update Not Provided",V3)))</formula>
    </cfRule>
    <cfRule type="containsText" dxfId="4249" priority="1115" operator="containsText" text="Not Yet Due">
      <formula>NOT(ISERROR(SEARCH("Not Yet Due",V3)))</formula>
    </cfRule>
    <cfRule type="containsText" dxfId="4248" priority="1116" operator="containsText" text="Deleted">
      <formula>NOT(ISERROR(SEARCH("Deleted",V3)))</formula>
    </cfRule>
    <cfRule type="containsText" dxfId="4247" priority="1117" operator="containsText" text="Completed Behind Schedule">
      <formula>NOT(ISERROR(SEARCH("Completed Behind Schedule",V3)))</formula>
    </cfRule>
    <cfRule type="containsText" dxfId="4246" priority="1118" operator="containsText" text="Off Target">
      <formula>NOT(ISERROR(SEARCH("Off Target",V3)))</formula>
    </cfRule>
    <cfRule type="containsText" dxfId="4245" priority="1119" operator="containsText" text="In Danger of Falling Behind Target">
      <formula>NOT(ISERROR(SEARCH("In Danger of Falling Behind Target",V3)))</formula>
    </cfRule>
    <cfRule type="containsText" dxfId="4244" priority="1120" operator="containsText" text="Fully Achieved">
      <formula>NOT(ISERROR(SEARCH("Fully Achieved",V3)))</formula>
    </cfRule>
    <cfRule type="containsText" dxfId="4243" priority="1121" operator="containsText" text="On track to be achieved">
      <formula>NOT(ISERROR(SEARCH("On track to be achieved",V3)))</formula>
    </cfRule>
  </conditionalFormatting>
  <conditionalFormatting sqref="R124 M124">
    <cfRule type="containsText" dxfId="4242" priority="300" operator="containsText" text="Deferred">
      <formula>NOT(ISERROR(SEARCH("Deferred",M124)))</formula>
    </cfRule>
    <cfRule type="containsText" dxfId="4241" priority="301" operator="containsText" text="Update Not Provided">
      <formula>NOT(ISERROR(SEARCH("Update Not Provided",M124)))</formula>
    </cfRule>
    <cfRule type="containsText" dxfId="4240" priority="302" operator="containsText" text="Not Yet Due">
      <formula>NOT(ISERROR(SEARCH("Not Yet Due",M124)))</formula>
    </cfRule>
    <cfRule type="containsText" dxfId="4239" priority="303" operator="containsText" text="Deleted">
      <formula>NOT(ISERROR(SEARCH("Deleted",M124)))</formula>
    </cfRule>
    <cfRule type="containsText" dxfId="4238" priority="304" operator="containsText" text="Completed Behind Schedule">
      <formula>NOT(ISERROR(SEARCH("Completed Behind Schedule",M124)))</formula>
    </cfRule>
    <cfRule type="containsText" dxfId="4237" priority="305" operator="containsText" text="Off Target">
      <formula>NOT(ISERROR(SEARCH("Off Target",M124)))</formula>
    </cfRule>
    <cfRule type="containsText" dxfId="4236" priority="306" operator="containsText" text="In Danger of Falling Behind Target">
      <formula>NOT(ISERROR(SEARCH("In Danger of Falling Behind Target",M124)))</formula>
    </cfRule>
    <cfRule type="containsText" dxfId="4235" priority="307" operator="containsText" text="Fully Achieved">
      <formula>NOT(ISERROR(SEARCH("Fully Achieved",M124)))</formula>
    </cfRule>
    <cfRule type="containsText" dxfId="4234" priority="308" operator="containsText" text="On track to be achieved">
      <formula>NOT(ISERROR(SEARCH("On track to be achieved",M124)))</formula>
    </cfRule>
  </conditionalFormatting>
  <conditionalFormatting sqref="V124">
    <cfRule type="containsText" dxfId="4233" priority="281" operator="containsText" text="Deleted">
      <formula>NOT(ISERROR(SEARCH("Deleted",V124)))</formula>
    </cfRule>
    <cfRule type="containsText" dxfId="4232" priority="282" operator="containsText" text="Deferred">
      <formula>NOT(ISERROR(SEARCH("Deferred",V124)))</formula>
    </cfRule>
    <cfRule type="containsText" dxfId="4231" priority="283" operator="containsText" text="Completion date within reasonable tolerance">
      <formula>NOT(ISERROR(SEARCH("Completion date within reasonable tolerance",V124)))</formula>
    </cfRule>
    <cfRule type="containsText" dxfId="4230" priority="284" operator="containsText" text="completed significantly after target deadline">
      <formula>NOT(ISERROR(SEARCH("completed significantly after target deadline",V124)))</formula>
    </cfRule>
    <cfRule type="containsText" dxfId="4229" priority="285" operator="containsText" text="Off target">
      <formula>NOT(ISERROR(SEARCH("Off target",V124)))</formula>
    </cfRule>
    <cfRule type="containsText" dxfId="4228" priority="286" operator="containsText" text="Target partially met">
      <formula>NOT(ISERROR(SEARCH("Target partially met",V124)))</formula>
    </cfRule>
    <cfRule type="containsText" dxfId="4227" priority="287" operator="containsText" text="Numerical outturn within 10% tolerance">
      <formula>NOT(ISERROR(SEARCH("Numerical outturn within 10% tolerance",V124)))</formula>
    </cfRule>
    <cfRule type="containsText" dxfId="4226" priority="288" operator="containsText" text="Numerical outturn within 5% Tolerance">
      <formula>NOT(ISERROR(SEARCH("Numerical outturn within 5% Tolerance",V124)))</formula>
    </cfRule>
    <cfRule type="containsText" dxfId="4225" priority="289" operator="containsText" text="Fully Achieved">
      <formula>NOT(ISERROR(SEARCH("Fully Achieved",V124)))</formula>
    </cfRule>
    <cfRule type="containsText" dxfId="4224" priority="290" operator="containsText" text="Update Not Provided">
      <formula>NOT(ISERROR(SEARCH("Update Not Provided",V124)))</formula>
    </cfRule>
    <cfRule type="containsText" dxfId="4223" priority="291" operator="containsText" text="Deferred">
      <formula>NOT(ISERROR(SEARCH("Deferred",V124)))</formula>
    </cfRule>
    <cfRule type="containsText" dxfId="4222" priority="292" operator="containsText" text="Update Not Provided">
      <formula>NOT(ISERROR(SEARCH("Update Not Provided",V124)))</formula>
    </cfRule>
    <cfRule type="containsText" dxfId="4221" priority="293" operator="containsText" text="Not Yet Due">
      <formula>NOT(ISERROR(SEARCH("Not Yet Due",V124)))</formula>
    </cfRule>
    <cfRule type="containsText" dxfId="4220" priority="294" operator="containsText" text="Deleted">
      <formula>NOT(ISERROR(SEARCH("Deleted",V124)))</formula>
    </cfRule>
    <cfRule type="containsText" dxfId="4219" priority="295" operator="containsText" text="Completed Behind Schedule">
      <formula>NOT(ISERROR(SEARCH("Completed Behind Schedule",V124)))</formula>
    </cfRule>
    <cfRule type="containsText" dxfId="4218" priority="296" operator="containsText" text="Off Target">
      <formula>NOT(ISERROR(SEARCH("Off Target",V124)))</formula>
    </cfRule>
    <cfRule type="containsText" dxfId="4217" priority="297" operator="containsText" text="In Danger of Falling Behind Target">
      <formula>NOT(ISERROR(SEARCH("In Danger of Falling Behind Target",V124)))</formula>
    </cfRule>
    <cfRule type="containsText" dxfId="4216" priority="298" operator="containsText" text="Fully Achieved">
      <formula>NOT(ISERROR(SEARCH("Fully Achieved",V124)))</formula>
    </cfRule>
    <cfRule type="containsText" dxfId="4215" priority="299" operator="containsText" text="On track to be achieved">
      <formula>NOT(ISERROR(SEARCH("On track to be achieved",V124)))</formula>
    </cfRule>
  </conditionalFormatting>
  <conditionalFormatting sqref="R122 M122">
    <cfRule type="containsText" dxfId="4214" priority="272" operator="containsText" text="Deferred">
      <formula>NOT(ISERROR(SEARCH("Deferred",M122)))</formula>
    </cfRule>
    <cfRule type="containsText" dxfId="4213" priority="273" operator="containsText" text="Update Not Provided">
      <formula>NOT(ISERROR(SEARCH("Update Not Provided",M122)))</formula>
    </cfRule>
    <cfRule type="containsText" dxfId="4212" priority="274" operator="containsText" text="Not Yet Due">
      <formula>NOT(ISERROR(SEARCH("Not Yet Due",M122)))</formula>
    </cfRule>
    <cfRule type="containsText" dxfId="4211" priority="275" operator="containsText" text="Deleted">
      <formula>NOT(ISERROR(SEARCH("Deleted",M122)))</formula>
    </cfRule>
    <cfRule type="containsText" dxfId="4210" priority="276" operator="containsText" text="Completed Behind Schedule">
      <formula>NOT(ISERROR(SEARCH("Completed Behind Schedule",M122)))</formula>
    </cfRule>
    <cfRule type="containsText" dxfId="4209" priority="277" operator="containsText" text="Off Target">
      <formula>NOT(ISERROR(SEARCH("Off Target",M122)))</formula>
    </cfRule>
    <cfRule type="containsText" dxfId="4208" priority="278" operator="containsText" text="In Danger of Falling Behind Target">
      <formula>NOT(ISERROR(SEARCH("In Danger of Falling Behind Target",M122)))</formula>
    </cfRule>
    <cfRule type="containsText" dxfId="4207" priority="279" operator="containsText" text="Fully Achieved">
      <formula>NOT(ISERROR(SEARCH("Fully Achieved",M122)))</formula>
    </cfRule>
    <cfRule type="containsText" dxfId="4206" priority="280" operator="containsText" text="On track to be achieved">
      <formula>NOT(ISERROR(SEARCH("On track to be achieved",M122)))</formula>
    </cfRule>
  </conditionalFormatting>
  <conditionalFormatting sqref="V122">
    <cfRule type="containsText" dxfId="4205" priority="253" operator="containsText" text="Deleted">
      <formula>NOT(ISERROR(SEARCH("Deleted",V122)))</formula>
    </cfRule>
    <cfRule type="containsText" dxfId="4204" priority="254" operator="containsText" text="Deferred">
      <formula>NOT(ISERROR(SEARCH("Deferred",V122)))</formula>
    </cfRule>
    <cfRule type="containsText" dxfId="4203" priority="255" operator="containsText" text="Completion date within reasonable tolerance">
      <formula>NOT(ISERROR(SEARCH("Completion date within reasonable tolerance",V122)))</formula>
    </cfRule>
    <cfRule type="containsText" dxfId="4202" priority="256" operator="containsText" text="completed significantly after target deadline">
      <formula>NOT(ISERROR(SEARCH("completed significantly after target deadline",V122)))</formula>
    </cfRule>
    <cfRule type="containsText" dxfId="4201" priority="257" operator="containsText" text="Off target">
      <formula>NOT(ISERROR(SEARCH("Off target",V122)))</formula>
    </cfRule>
    <cfRule type="containsText" dxfId="4200" priority="258" operator="containsText" text="Target partially met">
      <formula>NOT(ISERROR(SEARCH("Target partially met",V122)))</formula>
    </cfRule>
    <cfRule type="containsText" dxfId="4199" priority="259" operator="containsText" text="Numerical outturn within 10% tolerance">
      <formula>NOT(ISERROR(SEARCH("Numerical outturn within 10% tolerance",V122)))</formula>
    </cfRule>
    <cfRule type="containsText" dxfId="4198" priority="260" operator="containsText" text="Numerical outturn within 5% Tolerance">
      <formula>NOT(ISERROR(SEARCH("Numerical outturn within 5% Tolerance",V122)))</formula>
    </cfRule>
    <cfRule type="containsText" dxfId="4197" priority="261" operator="containsText" text="Fully Achieved">
      <formula>NOT(ISERROR(SEARCH("Fully Achieved",V122)))</formula>
    </cfRule>
    <cfRule type="containsText" dxfId="4196" priority="262" operator="containsText" text="Update Not Provided">
      <formula>NOT(ISERROR(SEARCH("Update Not Provided",V122)))</formula>
    </cfRule>
    <cfRule type="containsText" dxfId="4195" priority="263" operator="containsText" text="Deferred">
      <formula>NOT(ISERROR(SEARCH("Deferred",V122)))</formula>
    </cfRule>
    <cfRule type="containsText" dxfId="4194" priority="264" operator="containsText" text="Update Not Provided">
      <formula>NOT(ISERROR(SEARCH("Update Not Provided",V122)))</formula>
    </cfRule>
    <cfRule type="containsText" dxfId="4193" priority="265" operator="containsText" text="Not Yet Due">
      <formula>NOT(ISERROR(SEARCH("Not Yet Due",V122)))</formula>
    </cfRule>
    <cfRule type="containsText" dxfId="4192" priority="266" operator="containsText" text="Deleted">
      <formula>NOT(ISERROR(SEARCH("Deleted",V122)))</formula>
    </cfRule>
    <cfRule type="containsText" dxfId="4191" priority="267" operator="containsText" text="Completed Behind Schedule">
      <formula>NOT(ISERROR(SEARCH("Completed Behind Schedule",V122)))</formula>
    </cfRule>
    <cfRule type="containsText" dxfId="4190" priority="268" operator="containsText" text="Off Target">
      <formula>NOT(ISERROR(SEARCH("Off Target",V122)))</formula>
    </cfRule>
    <cfRule type="containsText" dxfId="4189" priority="269" operator="containsText" text="In Danger of Falling Behind Target">
      <formula>NOT(ISERROR(SEARCH("In Danger of Falling Behind Target",V122)))</formula>
    </cfRule>
    <cfRule type="containsText" dxfId="4188" priority="270" operator="containsText" text="Fully Achieved">
      <formula>NOT(ISERROR(SEARCH("Fully Achieved",V122)))</formula>
    </cfRule>
    <cfRule type="containsText" dxfId="4187" priority="271" operator="containsText" text="On track to be achieved">
      <formula>NOT(ISERROR(SEARCH("On track to be achieved",V122)))</formula>
    </cfRule>
  </conditionalFormatting>
  <conditionalFormatting sqref="R121 M121">
    <cfRule type="containsText" dxfId="4186" priority="244" operator="containsText" text="Deferred">
      <formula>NOT(ISERROR(SEARCH("Deferred",M121)))</formula>
    </cfRule>
    <cfRule type="containsText" dxfId="4185" priority="245" operator="containsText" text="Update Not Provided">
      <formula>NOT(ISERROR(SEARCH("Update Not Provided",M121)))</formula>
    </cfRule>
    <cfRule type="containsText" dxfId="4184" priority="246" operator="containsText" text="Not Yet Due">
      <formula>NOT(ISERROR(SEARCH("Not Yet Due",M121)))</formula>
    </cfRule>
    <cfRule type="containsText" dxfId="4183" priority="247" operator="containsText" text="Deleted">
      <formula>NOT(ISERROR(SEARCH("Deleted",M121)))</formula>
    </cfRule>
    <cfRule type="containsText" dxfId="4182" priority="248" operator="containsText" text="Completed Behind Schedule">
      <formula>NOT(ISERROR(SEARCH("Completed Behind Schedule",M121)))</formula>
    </cfRule>
    <cfRule type="containsText" dxfId="4181" priority="249" operator="containsText" text="Off Target">
      <formula>NOT(ISERROR(SEARCH("Off Target",M121)))</formula>
    </cfRule>
    <cfRule type="containsText" dxfId="4180" priority="250" operator="containsText" text="In Danger of Falling Behind Target">
      <formula>NOT(ISERROR(SEARCH("In Danger of Falling Behind Target",M121)))</formula>
    </cfRule>
    <cfRule type="containsText" dxfId="4179" priority="251" operator="containsText" text="Fully Achieved">
      <formula>NOT(ISERROR(SEARCH("Fully Achieved",M121)))</formula>
    </cfRule>
    <cfRule type="containsText" dxfId="4178" priority="252" operator="containsText" text="On track to be achieved">
      <formula>NOT(ISERROR(SEARCH("On track to be achieved",M121)))</formula>
    </cfRule>
  </conditionalFormatting>
  <conditionalFormatting sqref="V121">
    <cfRule type="containsText" dxfId="4177" priority="225" operator="containsText" text="Deleted">
      <formula>NOT(ISERROR(SEARCH("Deleted",V121)))</formula>
    </cfRule>
    <cfRule type="containsText" dxfId="4176" priority="226" operator="containsText" text="Deferred">
      <formula>NOT(ISERROR(SEARCH("Deferred",V121)))</formula>
    </cfRule>
    <cfRule type="containsText" dxfId="4175" priority="227" operator="containsText" text="Completion date within reasonable tolerance">
      <formula>NOT(ISERROR(SEARCH("Completion date within reasonable tolerance",V121)))</formula>
    </cfRule>
    <cfRule type="containsText" dxfId="4174" priority="228" operator="containsText" text="completed significantly after target deadline">
      <formula>NOT(ISERROR(SEARCH("completed significantly after target deadline",V121)))</formula>
    </cfRule>
    <cfRule type="containsText" dxfId="4173" priority="229" operator="containsText" text="Off target">
      <formula>NOT(ISERROR(SEARCH("Off target",V121)))</formula>
    </cfRule>
    <cfRule type="containsText" dxfId="4172" priority="230" operator="containsText" text="Target partially met">
      <formula>NOT(ISERROR(SEARCH("Target partially met",V121)))</formula>
    </cfRule>
    <cfRule type="containsText" dxfId="4171" priority="231" operator="containsText" text="Numerical outturn within 10% tolerance">
      <formula>NOT(ISERROR(SEARCH("Numerical outturn within 10% tolerance",V121)))</formula>
    </cfRule>
    <cfRule type="containsText" dxfId="4170" priority="232" operator="containsText" text="Numerical outturn within 5% Tolerance">
      <formula>NOT(ISERROR(SEARCH("Numerical outturn within 5% Tolerance",V121)))</formula>
    </cfRule>
    <cfRule type="containsText" dxfId="4169" priority="233" operator="containsText" text="Fully Achieved">
      <formula>NOT(ISERROR(SEARCH("Fully Achieved",V121)))</formula>
    </cfRule>
    <cfRule type="containsText" dxfId="4168" priority="234" operator="containsText" text="Update Not Provided">
      <formula>NOT(ISERROR(SEARCH("Update Not Provided",V121)))</formula>
    </cfRule>
    <cfRule type="containsText" dxfId="4167" priority="235" operator="containsText" text="Deferred">
      <formula>NOT(ISERROR(SEARCH("Deferred",V121)))</formula>
    </cfRule>
    <cfRule type="containsText" dxfId="4166" priority="236" operator="containsText" text="Update Not Provided">
      <formula>NOT(ISERROR(SEARCH("Update Not Provided",V121)))</formula>
    </cfRule>
    <cfRule type="containsText" dxfId="4165" priority="237" operator="containsText" text="Not Yet Due">
      <formula>NOT(ISERROR(SEARCH("Not Yet Due",V121)))</formula>
    </cfRule>
    <cfRule type="containsText" dxfId="4164" priority="238" operator="containsText" text="Deleted">
      <formula>NOT(ISERROR(SEARCH("Deleted",V121)))</formula>
    </cfRule>
    <cfRule type="containsText" dxfId="4163" priority="239" operator="containsText" text="Completed Behind Schedule">
      <formula>NOT(ISERROR(SEARCH("Completed Behind Schedule",V121)))</formula>
    </cfRule>
    <cfRule type="containsText" dxfId="4162" priority="240" operator="containsText" text="Off Target">
      <formula>NOT(ISERROR(SEARCH("Off Target",V121)))</formula>
    </cfRule>
    <cfRule type="containsText" dxfId="4161" priority="241" operator="containsText" text="In Danger of Falling Behind Target">
      <formula>NOT(ISERROR(SEARCH("In Danger of Falling Behind Target",V121)))</formula>
    </cfRule>
    <cfRule type="containsText" dxfId="4160" priority="242" operator="containsText" text="Fully Achieved">
      <formula>NOT(ISERROR(SEARCH("Fully Achieved",V121)))</formula>
    </cfRule>
    <cfRule type="containsText" dxfId="4159" priority="243" operator="containsText" text="On track to be achieved">
      <formula>NOT(ISERROR(SEARCH("On track to be achieved",V121)))</formula>
    </cfRule>
  </conditionalFormatting>
  <conditionalFormatting sqref="R118 M118">
    <cfRule type="containsText" dxfId="4158" priority="216" operator="containsText" text="Deferred">
      <formula>NOT(ISERROR(SEARCH("Deferred",M118)))</formula>
    </cfRule>
    <cfRule type="containsText" dxfId="4157" priority="217" operator="containsText" text="Update Not Provided">
      <formula>NOT(ISERROR(SEARCH("Update Not Provided",M118)))</formula>
    </cfRule>
    <cfRule type="containsText" dxfId="4156" priority="218" operator="containsText" text="Not Yet Due">
      <formula>NOT(ISERROR(SEARCH("Not Yet Due",M118)))</formula>
    </cfRule>
    <cfRule type="containsText" dxfId="4155" priority="219" operator="containsText" text="Deleted">
      <formula>NOT(ISERROR(SEARCH("Deleted",M118)))</formula>
    </cfRule>
    <cfRule type="containsText" dxfId="4154" priority="220" operator="containsText" text="Completed Behind Schedule">
      <formula>NOT(ISERROR(SEARCH("Completed Behind Schedule",M118)))</formula>
    </cfRule>
    <cfRule type="containsText" dxfId="4153" priority="221" operator="containsText" text="Off Target">
      <formula>NOT(ISERROR(SEARCH("Off Target",M118)))</formula>
    </cfRule>
    <cfRule type="containsText" dxfId="4152" priority="222" operator="containsText" text="In Danger of Falling Behind Target">
      <formula>NOT(ISERROR(SEARCH("In Danger of Falling Behind Target",M118)))</formula>
    </cfRule>
    <cfRule type="containsText" dxfId="4151" priority="223" operator="containsText" text="Fully Achieved">
      <formula>NOT(ISERROR(SEARCH("Fully Achieved",M118)))</formula>
    </cfRule>
    <cfRule type="containsText" dxfId="4150" priority="224" operator="containsText" text="On track to be achieved">
      <formula>NOT(ISERROR(SEARCH("On track to be achieved",M118)))</formula>
    </cfRule>
  </conditionalFormatting>
  <conditionalFormatting sqref="V118">
    <cfRule type="containsText" dxfId="4149" priority="197" operator="containsText" text="Deleted">
      <formula>NOT(ISERROR(SEARCH("Deleted",V118)))</formula>
    </cfRule>
    <cfRule type="containsText" dxfId="4148" priority="198" operator="containsText" text="Deferred">
      <formula>NOT(ISERROR(SEARCH("Deferred",V118)))</formula>
    </cfRule>
    <cfRule type="containsText" dxfId="4147" priority="199" operator="containsText" text="Completion date within reasonable tolerance">
      <formula>NOT(ISERROR(SEARCH("Completion date within reasonable tolerance",V118)))</formula>
    </cfRule>
    <cfRule type="containsText" dxfId="4146" priority="200" operator="containsText" text="completed significantly after target deadline">
      <formula>NOT(ISERROR(SEARCH("completed significantly after target deadline",V118)))</formula>
    </cfRule>
    <cfRule type="containsText" dxfId="4145" priority="201" operator="containsText" text="Off target">
      <formula>NOT(ISERROR(SEARCH("Off target",V118)))</formula>
    </cfRule>
    <cfRule type="containsText" dxfId="4144" priority="202" operator="containsText" text="Target partially met">
      <formula>NOT(ISERROR(SEARCH("Target partially met",V118)))</formula>
    </cfRule>
    <cfRule type="containsText" dxfId="4143" priority="203" operator="containsText" text="Numerical outturn within 10% tolerance">
      <formula>NOT(ISERROR(SEARCH("Numerical outturn within 10% tolerance",V118)))</formula>
    </cfRule>
    <cfRule type="containsText" dxfId="4142" priority="204" operator="containsText" text="Numerical outturn within 5% Tolerance">
      <formula>NOT(ISERROR(SEARCH("Numerical outturn within 5% Tolerance",V118)))</formula>
    </cfRule>
    <cfRule type="containsText" dxfId="4141" priority="205" operator="containsText" text="Fully Achieved">
      <formula>NOT(ISERROR(SEARCH("Fully Achieved",V118)))</formula>
    </cfRule>
    <cfRule type="containsText" dxfId="4140" priority="206" operator="containsText" text="Update Not Provided">
      <formula>NOT(ISERROR(SEARCH("Update Not Provided",V118)))</formula>
    </cfRule>
    <cfRule type="containsText" dxfId="4139" priority="207" operator="containsText" text="Deferred">
      <formula>NOT(ISERROR(SEARCH("Deferred",V118)))</formula>
    </cfRule>
    <cfRule type="containsText" dxfId="4138" priority="208" operator="containsText" text="Update Not Provided">
      <formula>NOT(ISERROR(SEARCH("Update Not Provided",V118)))</formula>
    </cfRule>
    <cfRule type="containsText" dxfId="4137" priority="209" operator="containsText" text="Not Yet Due">
      <formula>NOT(ISERROR(SEARCH("Not Yet Due",V118)))</formula>
    </cfRule>
    <cfRule type="containsText" dxfId="4136" priority="210" operator="containsText" text="Deleted">
      <formula>NOT(ISERROR(SEARCH("Deleted",V118)))</formula>
    </cfRule>
    <cfRule type="containsText" dxfId="4135" priority="211" operator="containsText" text="Completed Behind Schedule">
      <formula>NOT(ISERROR(SEARCH("Completed Behind Schedule",V118)))</formula>
    </cfRule>
    <cfRule type="containsText" dxfId="4134" priority="212" operator="containsText" text="Off Target">
      <formula>NOT(ISERROR(SEARCH("Off Target",V118)))</formula>
    </cfRule>
    <cfRule type="containsText" dxfId="4133" priority="213" operator="containsText" text="In Danger of Falling Behind Target">
      <formula>NOT(ISERROR(SEARCH("In Danger of Falling Behind Target",V118)))</formula>
    </cfRule>
    <cfRule type="containsText" dxfId="4132" priority="214" operator="containsText" text="Fully Achieved">
      <formula>NOT(ISERROR(SEARCH("Fully Achieved",V118)))</formula>
    </cfRule>
    <cfRule type="containsText" dxfId="4131" priority="215" operator="containsText" text="On track to be achieved">
      <formula>NOT(ISERROR(SEARCH("On track to be achieved",V118)))</formula>
    </cfRule>
  </conditionalFormatting>
  <conditionalFormatting sqref="R119 M119">
    <cfRule type="containsText" dxfId="4130" priority="188" operator="containsText" text="Deferred">
      <formula>NOT(ISERROR(SEARCH("Deferred",M119)))</formula>
    </cfRule>
    <cfRule type="containsText" dxfId="4129" priority="189" operator="containsText" text="Update Not Provided">
      <formula>NOT(ISERROR(SEARCH("Update Not Provided",M119)))</formula>
    </cfRule>
    <cfRule type="containsText" dxfId="4128" priority="190" operator="containsText" text="Not Yet Due">
      <formula>NOT(ISERROR(SEARCH("Not Yet Due",M119)))</formula>
    </cfRule>
    <cfRule type="containsText" dxfId="4127" priority="191" operator="containsText" text="Deleted">
      <formula>NOT(ISERROR(SEARCH("Deleted",M119)))</formula>
    </cfRule>
    <cfRule type="containsText" dxfId="4126" priority="192" operator="containsText" text="Completed Behind Schedule">
      <formula>NOT(ISERROR(SEARCH("Completed Behind Schedule",M119)))</formula>
    </cfRule>
    <cfRule type="containsText" dxfId="4125" priority="193" operator="containsText" text="Off Target">
      <formula>NOT(ISERROR(SEARCH("Off Target",M119)))</formula>
    </cfRule>
    <cfRule type="containsText" dxfId="4124" priority="194" operator="containsText" text="In Danger of Falling Behind Target">
      <formula>NOT(ISERROR(SEARCH("In Danger of Falling Behind Target",M119)))</formula>
    </cfRule>
    <cfRule type="containsText" dxfId="4123" priority="195" operator="containsText" text="Fully Achieved">
      <formula>NOT(ISERROR(SEARCH("Fully Achieved",M119)))</formula>
    </cfRule>
    <cfRule type="containsText" dxfId="4122" priority="196" operator="containsText" text="On track to be achieved">
      <formula>NOT(ISERROR(SEARCH("On track to be achieved",M119)))</formula>
    </cfRule>
  </conditionalFormatting>
  <conditionalFormatting sqref="V119">
    <cfRule type="containsText" dxfId="4121" priority="169" operator="containsText" text="Deleted">
      <formula>NOT(ISERROR(SEARCH("Deleted",V119)))</formula>
    </cfRule>
    <cfRule type="containsText" dxfId="4120" priority="170" operator="containsText" text="Deferred">
      <formula>NOT(ISERROR(SEARCH("Deferred",V119)))</formula>
    </cfRule>
    <cfRule type="containsText" dxfId="4119" priority="171" operator="containsText" text="Completion date within reasonable tolerance">
      <formula>NOT(ISERROR(SEARCH("Completion date within reasonable tolerance",V119)))</formula>
    </cfRule>
    <cfRule type="containsText" dxfId="4118" priority="172" operator="containsText" text="completed significantly after target deadline">
      <formula>NOT(ISERROR(SEARCH("completed significantly after target deadline",V119)))</formula>
    </cfRule>
    <cfRule type="containsText" dxfId="4117" priority="173" operator="containsText" text="Off target">
      <formula>NOT(ISERROR(SEARCH("Off target",V119)))</formula>
    </cfRule>
    <cfRule type="containsText" dxfId="4116" priority="174" operator="containsText" text="Target partially met">
      <formula>NOT(ISERROR(SEARCH("Target partially met",V119)))</formula>
    </cfRule>
    <cfRule type="containsText" dxfId="4115" priority="175" operator="containsText" text="Numerical outturn within 10% tolerance">
      <formula>NOT(ISERROR(SEARCH("Numerical outturn within 10% tolerance",V119)))</formula>
    </cfRule>
    <cfRule type="containsText" dxfId="4114" priority="176" operator="containsText" text="Numerical outturn within 5% Tolerance">
      <formula>NOT(ISERROR(SEARCH("Numerical outturn within 5% Tolerance",V119)))</formula>
    </cfRule>
    <cfRule type="containsText" dxfId="4113" priority="177" operator="containsText" text="Fully Achieved">
      <formula>NOT(ISERROR(SEARCH("Fully Achieved",V119)))</formula>
    </cfRule>
    <cfRule type="containsText" dxfId="4112" priority="178" operator="containsText" text="Update Not Provided">
      <formula>NOT(ISERROR(SEARCH("Update Not Provided",V119)))</formula>
    </cfRule>
    <cfRule type="containsText" dxfId="4111" priority="179" operator="containsText" text="Deferred">
      <formula>NOT(ISERROR(SEARCH("Deferred",V119)))</formula>
    </cfRule>
    <cfRule type="containsText" dxfId="4110" priority="180" operator="containsText" text="Update Not Provided">
      <formula>NOT(ISERROR(SEARCH("Update Not Provided",V119)))</formula>
    </cfRule>
    <cfRule type="containsText" dxfId="4109" priority="181" operator="containsText" text="Not Yet Due">
      <formula>NOT(ISERROR(SEARCH("Not Yet Due",V119)))</formula>
    </cfRule>
    <cfRule type="containsText" dxfId="4108" priority="182" operator="containsText" text="Deleted">
      <formula>NOT(ISERROR(SEARCH("Deleted",V119)))</formula>
    </cfRule>
    <cfRule type="containsText" dxfId="4107" priority="183" operator="containsText" text="Completed Behind Schedule">
      <formula>NOT(ISERROR(SEARCH("Completed Behind Schedule",V119)))</formula>
    </cfRule>
    <cfRule type="containsText" dxfId="4106" priority="184" operator="containsText" text="Off Target">
      <formula>NOT(ISERROR(SEARCH("Off Target",V119)))</formula>
    </cfRule>
    <cfRule type="containsText" dxfId="4105" priority="185" operator="containsText" text="In Danger of Falling Behind Target">
      <formula>NOT(ISERROR(SEARCH("In Danger of Falling Behind Target",V119)))</formula>
    </cfRule>
    <cfRule type="containsText" dxfId="4104" priority="186" operator="containsText" text="Fully Achieved">
      <formula>NOT(ISERROR(SEARCH("Fully Achieved",V119)))</formula>
    </cfRule>
    <cfRule type="containsText" dxfId="4103" priority="187" operator="containsText" text="On track to be achieved">
      <formula>NOT(ISERROR(SEARCH("On track to be achieved",V119)))</formula>
    </cfRule>
  </conditionalFormatting>
  <conditionalFormatting sqref="R113 M113">
    <cfRule type="containsText" dxfId="4102" priority="160" operator="containsText" text="Deferred">
      <formula>NOT(ISERROR(SEARCH("Deferred",M113)))</formula>
    </cfRule>
    <cfRule type="containsText" dxfId="4101" priority="161" operator="containsText" text="Update Not Provided">
      <formula>NOT(ISERROR(SEARCH("Update Not Provided",M113)))</formula>
    </cfRule>
    <cfRule type="containsText" dxfId="4100" priority="162" operator="containsText" text="Not Yet Due">
      <formula>NOT(ISERROR(SEARCH("Not Yet Due",M113)))</formula>
    </cfRule>
    <cfRule type="containsText" dxfId="4099" priority="163" operator="containsText" text="Deleted">
      <formula>NOT(ISERROR(SEARCH("Deleted",M113)))</formula>
    </cfRule>
    <cfRule type="containsText" dxfId="4098" priority="164" operator="containsText" text="Completed Behind Schedule">
      <formula>NOT(ISERROR(SEARCH("Completed Behind Schedule",M113)))</formula>
    </cfRule>
    <cfRule type="containsText" dxfId="4097" priority="165" operator="containsText" text="Off Target">
      <formula>NOT(ISERROR(SEARCH("Off Target",M113)))</formula>
    </cfRule>
    <cfRule type="containsText" dxfId="4096" priority="166" operator="containsText" text="In Danger of Falling Behind Target">
      <formula>NOT(ISERROR(SEARCH("In Danger of Falling Behind Target",M113)))</formula>
    </cfRule>
    <cfRule type="containsText" dxfId="4095" priority="167" operator="containsText" text="Fully Achieved">
      <formula>NOT(ISERROR(SEARCH("Fully Achieved",M113)))</formula>
    </cfRule>
    <cfRule type="containsText" dxfId="4094" priority="168" operator="containsText" text="On track to be achieved">
      <formula>NOT(ISERROR(SEARCH("On track to be achieved",M113)))</formula>
    </cfRule>
  </conditionalFormatting>
  <conditionalFormatting sqref="V113">
    <cfRule type="containsText" dxfId="4093" priority="141" operator="containsText" text="Deleted">
      <formula>NOT(ISERROR(SEARCH("Deleted",V113)))</formula>
    </cfRule>
    <cfRule type="containsText" dxfId="4092" priority="142" operator="containsText" text="Deferred">
      <formula>NOT(ISERROR(SEARCH("Deferred",V113)))</formula>
    </cfRule>
    <cfRule type="containsText" dxfId="4091" priority="143" operator="containsText" text="Completion date within reasonable tolerance">
      <formula>NOT(ISERROR(SEARCH("Completion date within reasonable tolerance",V113)))</formula>
    </cfRule>
    <cfRule type="containsText" dxfId="4090" priority="144" operator="containsText" text="completed significantly after target deadline">
      <formula>NOT(ISERROR(SEARCH("completed significantly after target deadline",V113)))</formula>
    </cfRule>
    <cfRule type="containsText" dxfId="4089" priority="145" operator="containsText" text="Off target">
      <formula>NOT(ISERROR(SEARCH("Off target",V113)))</formula>
    </cfRule>
    <cfRule type="containsText" dxfId="4088" priority="146" operator="containsText" text="Target partially met">
      <formula>NOT(ISERROR(SEARCH("Target partially met",V113)))</formula>
    </cfRule>
    <cfRule type="containsText" dxfId="4087" priority="147" operator="containsText" text="Numerical outturn within 10% tolerance">
      <formula>NOT(ISERROR(SEARCH("Numerical outturn within 10% tolerance",V113)))</formula>
    </cfRule>
    <cfRule type="containsText" dxfId="4086" priority="148" operator="containsText" text="Numerical outturn within 5% Tolerance">
      <formula>NOT(ISERROR(SEARCH("Numerical outturn within 5% Tolerance",V113)))</formula>
    </cfRule>
    <cfRule type="containsText" dxfId="4085" priority="149" operator="containsText" text="Fully Achieved">
      <formula>NOT(ISERROR(SEARCH("Fully Achieved",V113)))</formula>
    </cfRule>
    <cfRule type="containsText" dxfId="4084" priority="150" operator="containsText" text="Update Not Provided">
      <formula>NOT(ISERROR(SEARCH("Update Not Provided",V113)))</formula>
    </cfRule>
    <cfRule type="containsText" dxfId="4083" priority="151" operator="containsText" text="Deferred">
      <formula>NOT(ISERROR(SEARCH("Deferred",V113)))</formula>
    </cfRule>
    <cfRule type="containsText" dxfId="4082" priority="152" operator="containsText" text="Update Not Provided">
      <formula>NOT(ISERROR(SEARCH("Update Not Provided",V113)))</formula>
    </cfRule>
    <cfRule type="containsText" dxfId="4081" priority="153" operator="containsText" text="Not Yet Due">
      <formula>NOT(ISERROR(SEARCH("Not Yet Due",V113)))</formula>
    </cfRule>
    <cfRule type="containsText" dxfId="4080" priority="154" operator="containsText" text="Deleted">
      <formula>NOT(ISERROR(SEARCH("Deleted",V113)))</formula>
    </cfRule>
    <cfRule type="containsText" dxfId="4079" priority="155" operator="containsText" text="Completed Behind Schedule">
      <formula>NOT(ISERROR(SEARCH("Completed Behind Schedule",V113)))</formula>
    </cfRule>
    <cfRule type="containsText" dxfId="4078" priority="156" operator="containsText" text="Off Target">
      <formula>NOT(ISERROR(SEARCH("Off Target",V113)))</formula>
    </cfRule>
    <cfRule type="containsText" dxfId="4077" priority="157" operator="containsText" text="In Danger of Falling Behind Target">
      <formula>NOT(ISERROR(SEARCH("In Danger of Falling Behind Target",V113)))</formula>
    </cfRule>
    <cfRule type="containsText" dxfId="4076" priority="158" operator="containsText" text="Fully Achieved">
      <formula>NOT(ISERROR(SEARCH("Fully Achieved",V113)))</formula>
    </cfRule>
    <cfRule type="containsText" dxfId="4075" priority="159" operator="containsText" text="On track to be achieved">
      <formula>NOT(ISERROR(SEARCH("On track to be achieved",V113)))</formula>
    </cfRule>
  </conditionalFormatting>
  <conditionalFormatting sqref="R66 M66">
    <cfRule type="containsText" dxfId="4074" priority="132" operator="containsText" text="Deferred">
      <formula>NOT(ISERROR(SEARCH("Deferred",M66)))</formula>
    </cfRule>
    <cfRule type="containsText" dxfId="4073" priority="133" operator="containsText" text="Update Not Provided">
      <formula>NOT(ISERROR(SEARCH("Update Not Provided",M66)))</formula>
    </cfRule>
    <cfRule type="containsText" dxfId="4072" priority="134" operator="containsText" text="Not Yet Due">
      <formula>NOT(ISERROR(SEARCH("Not Yet Due",M66)))</formula>
    </cfRule>
    <cfRule type="containsText" dxfId="4071" priority="135" operator="containsText" text="Deleted">
      <formula>NOT(ISERROR(SEARCH("Deleted",M66)))</formula>
    </cfRule>
    <cfRule type="containsText" dxfId="4070" priority="136" operator="containsText" text="Completed Behind Schedule">
      <formula>NOT(ISERROR(SEARCH("Completed Behind Schedule",M66)))</formula>
    </cfRule>
    <cfRule type="containsText" dxfId="4069" priority="137" operator="containsText" text="Off Target">
      <formula>NOT(ISERROR(SEARCH("Off Target",M66)))</formula>
    </cfRule>
    <cfRule type="containsText" dxfId="4068" priority="138" operator="containsText" text="In Danger of Falling Behind Target">
      <formula>NOT(ISERROR(SEARCH("In Danger of Falling Behind Target",M66)))</formula>
    </cfRule>
    <cfRule type="containsText" dxfId="4067" priority="139" operator="containsText" text="Fully Achieved">
      <formula>NOT(ISERROR(SEARCH("Fully Achieved",M66)))</formula>
    </cfRule>
    <cfRule type="containsText" dxfId="4066" priority="140" operator="containsText" text="On track to be achieved">
      <formula>NOT(ISERROR(SEARCH("On track to be achieved",M66)))</formula>
    </cfRule>
  </conditionalFormatting>
  <conditionalFormatting sqref="V66">
    <cfRule type="containsText" dxfId="4065" priority="113" operator="containsText" text="Deleted">
      <formula>NOT(ISERROR(SEARCH("Deleted",V66)))</formula>
    </cfRule>
    <cfRule type="containsText" dxfId="4064" priority="114" operator="containsText" text="Deferred">
      <formula>NOT(ISERROR(SEARCH("Deferred",V66)))</formula>
    </cfRule>
    <cfRule type="containsText" dxfId="4063" priority="115" operator="containsText" text="Completion date within reasonable tolerance">
      <formula>NOT(ISERROR(SEARCH("Completion date within reasonable tolerance",V66)))</formula>
    </cfRule>
    <cfRule type="containsText" dxfId="4062" priority="116" operator="containsText" text="completed significantly after target deadline">
      <formula>NOT(ISERROR(SEARCH("completed significantly after target deadline",V66)))</formula>
    </cfRule>
    <cfRule type="containsText" dxfId="4061" priority="117" operator="containsText" text="Off target">
      <formula>NOT(ISERROR(SEARCH("Off target",V66)))</formula>
    </cfRule>
    <cfRule type="containsText" dxfId="4060" priority="118" operator="containsText" text="Target partially met">
      <formula>NOT(ISERROR(SEARCH("Target partially met",V66)))</formula>
    </cfRule>
    <cfRule type="containsText" dxfId="4059" priority="119" operator="containsText" text="Numerical outturn within 10% tolerance">
      <formula>NOT(ISERROR(SEARCH("Numerical outturn within 10% tolerance",V66)))</formula>
    </cfRule>
    <cfRule type="containsText" dxfId="4058" priority="120" operator="containsText" text="Numerical outturn within 5% Tolerance">
      <formula>NOT(ISERROR(SEARCH("Numerical outturn within 5% Tolerance",V66)))</formula>
    </cfRule>
    <cfRule type="containsText" dxfId="4057" priority="121" operator="containsText" text="Fully Achieved">
      <formula>NOT(ISERROR(SEARCH("Fully Achieved",V66)))</formula>
    </cfRule>
    <cfRule type="containsText" dxfId="4056" priority="122" operator="containsText" text="Update Not Provided">
      <formula>NOT(ISERROR(SEARCH("Update Not Provided",V66)))</formula>
    </cfRule>
    <cfRule type="containsText" dxfId="4055" priority="123" operator="containsText" text="Deferred">
      <formula>NOT(ISERROR(SEARCH("Deferred",V66)))</formula>
    </cfRule>
    <cfRule type="containsText" dxfId="4054" priority="124" operator="containsText" text="Update Not Provided">
      <formula>NOT(ISERROR(SEARCH("Update Not Provided",V66)))</formula>
    </cfRule>
    <cfRule type="containsText" dxfId="4053" priority="125" operator="containsText" text="Not Yet Due">
      <formula>NOT(ISERROR(SEARCH("Not Yet Due",V66)))</formula>
    </cfRule>
    <cfRule type="containsText" dxfId="4052" priority="126" operator="containsText" text="Deleted">
      <formula>NOT(ISERROR(SEARCH("Deleted",V66)))</formula>
    </cfRule>
    <cfRule type="containsText" dxfId="4051" priority="127" operator="containsText" text="Completed Behind Schedule">
      <formula>NOT(ISERROR(SEARCH("Completed Behind Schedule",V66)))</formula>
    </cfRule>
    <cfRule type="containsText" dxfId="4050" priority="128" operator="containsText" text="Off Target">
      <formula>NOT(ISERROR(SEARCH("Off Target",V66)))</formula>
    </cfRule>
    <cfRule type="containsText" dxfId="4049" priority="129" operator="containsText" text="In Danger of Falling Behind Target">
      <formula>NOT(ISERROR(SEARCH("In Danger of Falling Behind Target",V66)))</formula>
    </cfRule>
    <cfRule type="containsText" dxfId="4048" priority="130" operator="containsText" text="Fully Achieved">
      <formula>NOT(ISERROR(SEARCH("Fully Achieved",V66)))</formula>
    </cfRule>
    <cfRule type="containsText" dxfId="4047" priority="131" operator="containsText" text="On track to be achieved">
      <formula>NOT(ISERROR(SEARCH("On track to be achieved",V66)))</formula>
    </cfRule>
  </conditionalFormatting>
  <conditionalFormatting sqref="R67 M67">
    <cfRule type="containsText" dxfId="4046" priority="104" operator="containsText" text="Deferred">
      <formula>NOT(ISERROR(SEARCH("Deferred",M67)))</formula>
    </cfRule>
    <cfRule type="containsText" dxfId="4045" priority="105" operator="containsText" text="Update Not Provided">
      <formula>NOT(ISERROR(SEARCH("Update Not Provided",M67)))</formula>
    </cfRule>
    <cfRule type="containsText" dxfId="4044" priority="106" operator="containsText" text="Not Yet Due">
      <formula>NOT(ISERROR(SEARCH("Not Yet Due",M67)))</formula>
    </cfRule>
    <cfRule type="containsText" dxfId="4043" priority="107" operator="containsText" text="Deleted">
      <formula>NOT(ISERROR(SEARCH("Deleted",M67)))</formula>
    </cfRule>
    <cfRule type="containsText" dxfId="4042" priority="108" operator="containsText" text="Completed Behind Schedule">
      <formula>NOT(ISERROR(SEARCH("Completed Behind Schedule",M67)))</formula>
    </cfRule>
    <cfRule type="containsText" dxfId="4041" priority="109" operator="containsText" text="Off Target">
      <formula>NOT(ISERROR(SEARCH("Off Target",M67)))</formula>
    </cfRule>
    <cfRule type="containsText" dxfId="4040" priority="110" operator="containsText" text="In Danger of Falling Behind Target">
      <formula>NOT(ISERROR(SEARCH("In Danger of Falling Behind Target",M67)))</formula>
    </cfRule>
    <cfRule type="containsText" dxfId="4039" priority="111" operator="containsText" text="Fully Achieved">
      <formula>NOT(ISERROR(SEARCH("Fully Achieved",M67)))</formula>
    </cfRule>
    <cfRule type="containsText" dxfId="4038" priority="112" operator="containsText" text="On track to be achieved">
      <formula>NOT(ISERROR(SEARCH("On track to be achieved",M67)))</formula>
    </cfRule>
  </conditionalFormatting>
  <conditionalFormatting sqref="V67">
    <cfRule type="containsText" dxfId="4037" priority="85" operator="containsText" text="Deleted">
      <formula>NOT(ISERROR(SEARCH("Deleted",V67)))</formula>
    </cfRule>
    <cfRule type="containsText" dxfId="4036" priority="86" operator="containsText" text="Deferred">
      <formula>NOT(ISERROR(SEARCH("Deferred",V67)))</formula>
    </cfRule>
    <cfRule type="containsText" dxfId="4035" priority="87" operator="containsText" text="Completion date within reasonable tolerance">
      <formula>NOT(ISERROR(SEARCH("Completion date within reasonable tolerance",V67)))</formula>
    </cfRule>
    <cfRule type="containsText" dxfId="4034" priority="88" operator="containsText" text="completed significantly after target deadline">
      <formula>NOT(ISERROR(SEARCH("completed significantly after target deadline",V67)))</formula>
    </cfRule>
    <cfRule type="containsText" dxfId="4033" priority="89" operator="containsText" text="Off target">
      <formula>NOT(ISERROR(SEARCH("Off target",V67)))</formula>
    </cfRule>
    <cfRule type="containsText" dxfId="4032" priority="90" operator="containsText" text="Target partially met">
      <formula>NOT(ISERROR(SEARCH("Target partially met",V67)))</formula>
    </cfRule>
    <cfRule type="containsText" dxfId="4031" priority="91" operator="containsText" text="Numerical outturn within 10% tolerance">
      <formula>NOT(ISERROR(SEARCH("Numerical outturn within 10% tolerance",V67)))</formula>
    </cfRule>
    <cfRule type="containsText" dxfId="4030" priority="92" operator="containsText" text="Numerical outturn within 5% Tolerance">
      <formula>NOT(ISERROR(SEARCH("Numerical outturn within 5% Tolerance",V67)))</formula>
    </cfRule>
    <cfRule type="containsText" dxfId="4029" priority="93" operator="containsText" text="Fully Achieved">
      <formula>NOT(ISERROR(SEARCH("Fully Achieved",V67)))</formula>
    </cfRule>
    <cfRule type="containsText" dxfId="4028" priority="94" operator="containsText" text="Update Not Provided">
      <formula>NOT(ISERROR(SEARCH("Update Not Provided",V67)))</formula>
    </cfRule>
    <cfRule type="containsText" dxfId="4027" priority="95" operator="containsText" text="Deferred">
      <formula>NOT(ISERROR(SEARCH("Deferred",V67)))</formula>
    </cfRule>
    <cfRule type="containsText" dxfId="4026" priority="96" operator="containsText" text="Update Not Provided">
      <formula>NOT(ISERROR(SEARCH("Update Not Provided",V67)))</formula>
    </cfRule>
    <cfRule type="containsText" dxfId="4025" priority="97" operator="containsText" text="Not Yet Due">
      <formula>NOT(ISERROR(SEARCH("Not Yet Due",V67)))</formula>
    </cfRule>
    <cfRule type="containsText" dxfId="4024" priority="98" operator="containsText" text="Deleted">
      <formula>NOT(ISERROR(SEARCH("Deleted",V67)))</formula>
    </cfRule>
    <cfRule type="containsText" dxfId="4023" priority="99" operator="containsText" text="Completed Behind Schedule">
      <formula>NOT(ISERROR(SEARCH("Completed Behind Schedule",V67)))</formula>
    </cfRule>
    <cfRule type="containsText" dxfId="4022" priority="100" operator="containsText" text="Off Target">
      <formula>NOT(ISERROR(SEARCH("Off Target",V67)))</formula>
    </cfRule>
    <cfRule type="containsText" dxfId="4021" priority="101" operator="containsText" text="In Danger of Falling Behind Target">
      <formula>NOT(ISERROR(SEARCH("In Danger of Falling Behind Target",V67)))</formula>
    </cfRule>
    <cfRule type="containsText" dxfId="4020" priority="102" operator="containsText" text="Fully Achieved">
      <formula>NOT(ISERROR(SEARCH("Fully Achieved",V67)))</formula>
    </cfRule>
    <cfRule type="containsText" dxfId="4019" priority="103" operator="containsText" text="On track to be achieved">
      <formula>NOT(ISERROR(SEARCH("On track to be achieved",V67)))</formula>
    </cfRule>
  </conditionalFormatting>
  <conditionalFormatting sqref="R68 M68">
    <cfRule type="containsText" dxfId="4018" priority="76" operator="containsText" text="Deferred">
      <formula>NOT(ISERROR(SEARCH("Deferred",M68)))</formula>
    </cfRule>
    <cfRule type="containsText" dxfId="4017" priority="77" operator="containsText" text="Update Not Provided">
      <formula>NOT(ISERROR(SEARCH("Update Not Provided",M68)))</formula>
    </cfRule>
    <cfRule type="containsText" dxfId="4016" priority="78" operator="containsText" text="Not Yet Due">
      <formula>NOT(ISERROR(SEARCH("Not Yet Due",M68)))</formula>
    </cfRule>
    <cfRule type="containsText" dxfId="4015" priority="79" operator="containsText" text="Deleted">
      <formula>NOT(ISERROR(SEARCH("Deleted",M68)))</formula>
    </cfRule>
    <cfRule type="containsText" dxfId="4014" priority="80" operator="containsText" text="Completed Behind Schedule">
      <formula>NOT(ISERROR(SEARCH("Completed Behind Schedule",M68)))</formula>
    </cfRule>
    <cfRule type="containsText" dxfId="4013" priority="81" operator="containsText" text="Off Target">
      <formula>NOT(ISERROR(SEARCH("Off Target",M68)))</formula>
    </cfRule>
    <cfRule type="containsText" dxfId="4012" priority="82" operator="containsText" text="In Danger of Falling Behind Target">
      <formula>NOT(ISERROR(SEARCH("In Danger of Falling Behind Target",M68)))</formula>
    </cfRule>
    <cfRule type="containsText" dxfId="4011" priority="83" operator="containsText" text="Fully Achieved">
      <formula>NOT(ISERROR(SEARCH("Fully Achieved",M68)))</formula>
    </cfRule>
    <cfRule type="containsText" dxfId="4010" priority="84" operator="containsText" text="On track to be achieved">
      <formula>NOT(ISERROR(SEARCH("On track to be achieved",M68)))</formula>
    </cfRule>
  </conditionalFormatting>
  <conditionalFormatting sqref="V68">
    <cfRule type="containsText" dxfId="4009" priority="57" operator="containsText" text="Deleted">
      <formula>NOT(ISERROR(SEARCH("Deleted",V68)))</formula>
    </cfRule>
    <cfRule type="containsText" dxfId="4008" priority="58" operator="containsText" text="Deferred">
      <formula>NOT(ISERROR(SEARCH("Deferred",V68)))</formula>
    </cfRule>
    <cfRule type="containsText" dxfId="4007" priority="59" operator="containsText" text="Completion date within reasonable tolerance">
      <formula>NOT(ISERROR(SEARCH("Completion date within reasonable tolerance",V68)))</formula>
    </cfRule>
    <cfRule type="containsText" dxfId="4006" priority="60" operator="containsText" text="completed significantly after target deadline">
      <formula>NOT(ISERROR(SEARCH("completed significantly after target deadline",V68)))</formula>
    </cfRule>
    <cfRule type="containsText" dxfId="4005" priority="61" operator="containsText" text="Off target">
      <formula>NOT(ISERROR(SEARCH("Off target",V68)))</formula>
    </cfRule>
    <cfRule type="containsText" dxfId="4004" priority="62" operator="containsText" text="Target partially met">
      <formula>NOT(ISERROR(SEARCH("Target partially met",V68)))</formula>
    </cfRule>
    <cfRule type="containsText" dxfId="4003" priority="63" operator="containsText" text="Numerical outturn within 10% tolerance">
      <formula>NOT(ISERROR(SEARCH("Numerical outturn within 10% tolerance",V68)))</formula>
    </cfRule>
    <cfRule type="containsText" dxfId="4002" priority="64" operator="containsText" text="Numerical outturn within 5% Tolerance">
      <formula>NOT(ISERROR(SEARCH("Numerical outturn within 5% Tolerance",V68)))</formula>
    </cfRule>
    <cfRule type="containsText" dxfId="4001" priority="65" operator="containsText" text="Fully Achieved">
      <formula>NOT(ISERROR(SEARCH("Fully Achieved",V68)))</formula>
    </cfRule>
    <cfRule type="containsText" dxfId="4000" priority="66" operator="containsText" text="Update Not Provided">
      <formula>NOT(ISERROR(SEARCH("Update Not Provided",V68)))</formula>
    </cfRule>
    <cfRule type="containsText" dxfId="3999" priority="67" operator="containsText" text="Deferred">
      <formula>NOT(ISERROR(SEARCH("Deferred",V68)))</formula>
    </cfRule>
    <cfRule type="containsText" dxfId="3998" priority="68" operator="containsText" text="Update Not Provided">
      <formula>NOT(ISERROR(SEARCH("Update Not Provided",V68)))</formula>
    </cfRule>
    <cfRule type="containsText" dxfId="3997" priority="69" operator="containsText" text="Not Yet Due">
      <formula>NOT(ISERROR(SEARCH("Not Yet Due",V68)))</formula>
    </cfRule>
    <cfRule type="containsText" dxfId="3996" priority="70" operator="containsText" text="Deleted">
      <formula>NOT(ISERROR(SEARCH("Deleted",V68)))</formula>
    </cfRule>
    <cfRule type="containsText" dxfId="3995" priority="71" operator="containsText" text="Completed Behind Schedule">
      <formula>NOT(ISERROR(SEARCH("Completed Behind Schedule",V68)))</formula>
    </cfRule>
    <cfRule type="containsText" dxfId="3994" priority="72" operator="containsText" text="Off Target">
      <formula>NOT(ISERROR(SEARCH("Off Target",V68)))</formula>
    </cfRule>
    <cfRule type="containsText" dxfId="3993" priority="73" operator="containsText" text="In Danger of Falling Behind Target">
      <formula>NOT(ISERROR(SEARCH("In Danger of Falling Behind Target",V68)))</formula>
    </cfRule>
    <cfRule type="containsText" dxfId="3992" priority="74" operator="containsText" text="Fully Achieved">
      <formula>NOT(ISERROR(SEARCH("Fully Achieved",V68)))</formula>
    </cfRule>
    <cfRule type="containsText" dxfId="3991" priority="75" operator="containsText" text="On track to be achieved">
      <formula>NOT(ISERROR(SEARCH("On track to be achieved",V68)))</formula>
    </cfRule>
  </conditionalFormatting>
  <conditionalFormatting sqref="R14 M14">
    <cfRule type="containsText" dxfId="3990" priority="48" operator="containsText" text="Deferred">
      <formula>NOT(ISERROR(SEARCH("Deferred",M14)))</formula>
    </cfRule>
    <cfRule type="containsText" dxfId="3989" priority="49" operator="containsText" text="Update Not Provided">
      <formula>NOT(ISERROR(SEARCH("Update Not Provided",M14)))</formula>
    </cfRule>
    <cfRule type="containsText" dxfId="3988" priority="50" operator="containsText" text="Not Yet Due">
      <formula>NOT(ISERROR(SEARCH("Not Yet Due",M14)))</formula>
    </cfRule>
    <cfRule type="containsText" dxfId="3987" priority="51" operator="containsText" text="Deleted">
      <formula>NOT(ISERROR(SEARCH("Deleted",M14)))</formula>
    </cfRule>
    <cfRule type="containsText" dxfId="3986" priority="52" operator="containsText" text="Completed Behind Schedule">
      <formula>NOT(ISERROR(SEARCH("Completed Behind Schedule",M14)))</formula>
    </cfRule>
    <cfRule type="containsText" dxfId="3985" priority="53" operator="containsText" text="Off Target">
      <formula>NOT(ISERROR(SEARCH("Off Target",M14)))</formula>
    </cfRule>
    <cfRule type="containsText" dxfId="3984" priority="54" operator="containsText" text="In Danger of Falling Behind Target">
      <formula>NOT(ISERROR(SEARCH("In Danger of Falling Behind Target",M14)))</formula>
    </cfRule>
    <cfRule type="containsText" dxfId="3983" priority="55" operator="containsText" text="Fully Achieved">
      <formula>NOT(ISERROR(SEARCH("Fully Achieved",M14)))</formula>
    </cfRule>
    <cfRule type="containsText" dxfId="3982" priority="56" operator="containsText" text="On track to be achieved">
      <formula>NOT(ISERROR(SEARCH("On track to be achieved",M14)))</formula>
    </cfRule>
  </conditionalFormatting>
  <conditionalFormatting sqref="V14">
    <cfRule type="containsText" dxfId="3981" priority="29" operator="containsText" text="Deleted">
      <formula>NOT(ISERROR(SEARCH("Deleted",V14)))</formula>
    </cfRule>
    <cfRule type="containsText" dxfId="3980" priority="30" operator="containsText" text="Deferred">
      <formula>NOT(ISERROR(SEARCH("Deferred",V14)))</formula>
    </cfRule>
    <cfRule type="containsText" dxfId="3979" priority="31" operator="containsText" text="Completion date within reasonable tolerance">
      <formula>NOT(ISERROR(SEARCH("Completion date within reasonable tolerance",V14)))</formula>
    </cfRule>
    <cfRule type="containsText" dxfId="3978" priority="32" operator="containsText" text="completed significantly after target deadline">
      <formula>NOT(ISERROR(SEARCH("completed significantly after target deadline",V14)))</formula>
    </cfRule>
    <cfRule type="containsText" dxfId="3977" priority="33" operator="containsText" text="Off target">
      <formula>NOT(ISERROR(SEARCH("Off target",V14)))</formula>
    </cfRule>
    <cfRule type="containsText" dxfId="3976" priority="34" operator="containsText" text="Target partially met">
      <formula>NOT(ISERROR(SEARCH("Target partially met",V14)))</formula>
    </cfRule>
    <cfRule type="containsText" dxfId="3975" priority="35" operator="containsText" text="Numerical outturn within 10% tolerance">
      <formula>NOT(ISERROR(SEARCH("Numerical outturn within 10% tolerance",V14)))</formula>
    </cfRule>
    <cfRule type="containsText" dxfId="3974" priority="36" operator="containsText" text="Numerical outturn within 5% Tolerance">
      <formula>NOT(ISERROR(SEARCH("Numerical outturn within 5% Tolerance",V14)))</formula>
    </cfRule>
    <cfRule type="containsText" dxfId="3973" priority="37" operator="containsText" text="Fully Achieved">
      <formula>NOT(ISERROR(SEARCH("Fully Achieved",V14)))</formula>
    </cfRule>
    <cfRule type="containsText" dxfId="3972" priority="38" operator="containsText" text="Update Not Provided">
      <formula>NOT(ISERROR(SEARCH("Update Not Provided",V14)))</formula>
    </cfRule>
    <cfRule type="containsText" dxfId="3971" priority="39" operator="containsText" text="Deferred">
      <formula>NOT(ISERROR(SEARCH("Deferred",V14)))</formula>
    </cfRule>
    <cfRule type="containsText" dxfId="3970" priority="40" operator="containsText" text="Update Not Provided">
      <formula>NOT(ISERROR(SEARCH("Update Not Provided",V14)))</formula>
    </cfRule>
    <cfRule type="containsText" dxfId="3969" priority="41" operator="containsText" text="Not Yet Due">
      <formula>NOT(ISERROR(SEARCH("Not Yet Due",V14)))</formula>
    </cfRule>
    <cfRule type="containsText" dxfId="3968" priority="42" operator="containsText" text="Deleted">
      <formula>NOT(ISERROR(SEARCH("Deleted",V14)))</formula>
    </cfRule>
    <cfRule type="containsText" dxfId="3967" priority="43" operator="containsText" text="Completed Behind Schedule">
      <formula>NOT(ISERROR(SEARCH("Completed Behind Schedule",V14)))</formula>
    </cfRule>
    <cfRule type="containsText" dxfId="3966" priority="44" operator="containsText" text="Off Target">
      <formula>NOT(ISERROR(SEARCH("Off Target",V14)))</formula>
    </cfRule>
    <cfRule type="containsText" dxfId="3965" priority="45" operator="containsText" text="In Danger of Falling Behind Target">
      <formula>NOT(ISERROR(SEARCH("In Danger of Falling Behind Target",V14)))</formula>
    </cfRule>
    <cfRule type="containsText" dxfId="3964" priority="46" operator="containsText" text="Fully Achieved">
      <formula>NOT(ISERROR(SEARCH("Fully Achieved",V14)))</formula>
    </cfRule>
    <cfRule type="containsText" dxfId="3963" priority="47" operator="containsText" text="On track to be achieved">
      <formula>NOT(ISERROR(SEARCH("On track to be achieved",V14)))</formula>
    </cfRule>
  </conditionalFormatting>
  <conditionalFormatting sqref="M88 R88">
    <cfRule type="containsText" dxfId="3962" priority="20" operator="containsText" text="Deferred">
      <formula>NOT(ISERROR(SEARCH("Deferred",M88)))</formula>
    </cfRule>
    <cfRule type="containsText" dxfId="3961" priority="21" operator="containsText" text="Update Not Provided">
      <formula>NOT(ISERROR(SEARCH("Update Not Provided",M88)))</formula>
    </cfRule>
    <cfRule type="containsText" dxfId="3960" priority="22" operator="containsText" text="Not Yet Due">
      <formula>NOT(ISERROR(SEARCH("Not Yet Due",M88)))</formula>
    </cfRule>
    <cfRule type="containsText" dxfId="3959" priority="23" operator="containsText" text="Deleted">
      <formula>NOT(ISERROR(SEARCH("Deleted",M88)))</formula>
    </cfRule>
    <cfRule type="containsText" dxfId="3958" priority="24" operator="containsText" text="Completed Behind Schedule">
      <formula>NOT(ISERROR(SEARCH("Completed Behind Schedule",M88)))</formula>
    </cfRule>
    <cfRule type="containsText" dxfId="3957" priority="25" operator="containsText" text="Off Target">
      <formula>NOT(ISERROR(SEARCH("Off Target",M88)))</formula>
    </cfRule>
    <cfRule type="containsText" dxfId="3956" priority="26" operator="containsText" text="In Danger of Falling Behind Target">
      <formula>NOT(ISERROR(SEARCH("In Danger of Falling Behind Target",M88)))</formula>
    </cfRule>
    <cfRule type="containsText" dxfId="3955" priority="27" operator="containsText" text="Fully Achieved">
      <formula>NOT(ISERROR(SEARCH("Fully Achieved",M88)))</formula>
    </cfRule>
    <cfRule type="containsText" dxfId="3954" priority="28" operator="containsText" text="On track to be achieved">
      <formula>NOT(ISERROR(SEARCH("On track to be achieved",M88)))</formula>
    </cfRule>
  </conditionalFormatting>
  <conditionalFormatting sqref="V88">
    <cfRule type="containsText" dxfId="3953" priority="1" operator="containsText" text="Deleted">
      <formula>NOT(ISERROR(SEARCH("Deleted",V88)))</formula>
    </cfRule>
    <cfRule type="containsText" dxfId="3952" priority="2" operator="containsText" text="Deferred">
      <formula>NOT(ISERROR(SEARCH("Deferred",V88)))</formula>
    </cfRule>
    <cfRule type="containsText" dxfId="3951" priority="3" operator="containsText" text="Completion date within reasonable tolerance">
      <formula>NOT(ISERROR(SEARCH("Completion date within reasonable tolerance",V88)))</formula>
    </cfRule>
    <cfRule type="containsText" dxfId="3950" priority="4" operator="containsText" text="completed significantly after target deadline">
      <formula>NOT(ISERROR(SEARCH("completed significantly after target deadline",V88)))</formula>
    </cfRule>
    <cfRule type="containsText" dxfId="3949" priority="5" operator="containsText" text="Off target">
      <formula>NOT(ISERROR(SEARCH("Off target",V88)))</formula>
    </cfRule>
    <cfRule type="containsText" dxfId="3948" priority="6" operator="containsText" text="Target partially met">
      <formula>NOT(ISERROR(SEARCH("Target partially met",V88)))</formula>
    </cfRule>
    <cfRule type="containsText" dxfId="3947" priority="7" operator="containsText" text="Numerical outturn within 10% tolerance">
      <formula>NOT(ISERROR(SEARCH("Numerical outturn within 10% tolerance",V88)))</formula>
    </cfRule>
    <cfRule type="containsText" dxfId="3946" priority="8" operator="containsText" text="Numerical outturn within 5% Tolerance">
      <formula>NOT(ISERROR(SEARCH("Numerical outturn within 5% Tolerance",V88)))</formula>
    </cfRule>
    <cfRule type="containsText" dxfId="3945" priority="9" operator="containsText" text="Fully Achieved">
      <formula>NOT(ISERROR(SEARCH("Fully Achieved",V88)))</formula>
    </cfRule>
    <cfRule type="containsText" dxfId="3944" priority="10" operator="containsText" text="Update Not Provided">
      <formula>NOT(ISERROR(SEARCH("Update Not Provided",V88)))</formula>
    </cfRule>
    <cfRule type="containsText" dxfId="3943" priority="11" operator="containsText" text="Deferred">
      <formula>NOT(ISERROR(SEARCH("Deferred",V88)))</formula>
    </cfRule>
    <cfRule type="containsText" dxfId="3942" priority="12" operator="containsText" text="Update Not Provided">
      <formula>NOT(ISERROR(SEARCH("Update Not Provided",V88)))</formula>
    </cfRule>
    <cfRule type="containsText" dxfId="3941" priority="13" operator="containsText" text="Not Yet Due">
      <formula>NOT(ISERROR(SEARCH("Not Yet Due",V88)))</formula>
    </cfRule>
    <cfRule type="containsText" dxfId="3940" priority="14" operator="containsText" text="Deleted">
      <formula>NOT(ISERROR(SEARCH("Deleted",V88)))</formula>
    </cfRule>
    <cfRule type="containsText" dxfId="3939" priority="15" operator="containsText" text="Completed Behind Schedule">
      <formula>NOT(ISERROR(SEARCH("Completed Behind Schedule",V88)))</formula>
    </cfRule>
    <cfRule type="containsText" dxfId="3938" priority="16" operator="containsText" text="Off Target">
      <formula>NOT(ISERROR(SEARCH("Off Target",V88)))</formula>
    </cfRule>
    <cfRule type="containsText" dxfId="3937" priority="17" operator="containsText" text="In Danger of Falling Behind Target">
      <formula>NOT(ISERROR(SEARCH("In Danger of Falling Behind Target",V88)))</formula>
    </cfRule>
    <cfRule type="containsText" dxfId="3936" priority="18" operator="containsText" text="Fully Achieved">
      <formula>NOT(ISERROR(SEARCH("Fully Achieved",V88)))</formula>
    </cfRule>
    <cfRule type="containsText" dxfId="3935" priority="19" operator="containsText" text="On track to be achieved">
      <formula>NOT(ISERROR(SEARCH("On track to be achieved",V88)))</formula>
    </cfRule>
  </conditionalFormatting>
  <dataValidations xWindow="1200" yWindow="839" count="2">
    <dataValidation type="list" allowBlank="1" showInputMessage="1" showErrorMessage="1" promptTitle="Is target on track?" prompt="Please choose an option from the drop down list that best describes the current situation for this target." sqref="V3:V134">
      <formula1>$A$153:$A$162</formula1>
    </dataValidation>
    <dataValidation type="list" allowBlank="1" showInputMessage="1" showErrorMessage="1" promptTitle="Is target on track?" prompt="Please choose an option from the drop down list that best describes the current situation for this target." sqref="R3:R134 M3:M134 H137 H3:H134">
      <formula1>$A$171:$A$179</formula1>
    </dataValidation>
  </dataValidations>
  <pageMargins left="0.25" right="0.25" top="0.75" bottom="0.75" header="0.3" footer="0.3"/>
  <pageSetup paperSize="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60" zoomScaleNormal="60" workbookViewId="0">
      <selection activeCell="C8" sqref="C8"/>
    </sheetView>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94" t="s">
        <v>394</v>
      </c>
      <c r="C2" s="396" t="s">
        <v>49</v>
      </c>
      <c r="D2" s="397"/>
      <c r="E2" s="398" t="s">
        <v>50</v>
      </c>
      <c r="F2" s="399"/>
      <c r="G2" s="400" t="s">
        <v>51</v>
      </c>
      <c r="H2" s="400"/>
    </row>
    <row r="3" spans="1:40" ht="50.25" customHeight="1" thickTop="1" thickBot="1">
      <c r="B3" s="395"/>
      <c r="C3" s="33" t="s">
        <v>52</v>
      </c>
      <c r="D3" s="34" t="s">
        <v>53</v>
      </c>
      <c r="E3" s="35" t="s">
        <v>52</v>
      </c>
      <c r="F3" s="36" t="s">
        <v>53</v>
      </c>
      <c r="G3" s="54" t="s">
        <v>52</v>
      </c>
      <c r="H3" s="55" t="s">
        <v>53</v>
      </c>
    </row>
    <row r="4" spans="1:40" s="41" customFormat="1" ht="22.2" thickTop="1" thickBot="1">
      <c r="A4" s="37"/>
      <c r="B4" s="38" t="s">
        <v>54</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55</v>
      </c>
      <c r="C5" s="60">
        <f>'2a. % By Priority'!C5+'2a. % By Priority'!C6</f>
        <v>75</v>
      </c>
      <c r="D5" s="45">
        <f>'2a. % By Priority'!G5</f>
        <v>0.94936708860759489</v>
      </c>
      <c r="E5" s="46">
        <f>'2a. % By Priority'!C7</f>
        <v>1</v>
      </c>
      <c r="F5" s="36">
        <f>'2a. % By Priority'!G7</f>
        <v>1.2658227848101266E-2</v>
      </c>
      <c r="G5" s="56">
        <f>'2a. % By Priority'!C10+'2a. % By Priority'!C11</f>
        <v>3</v>
      </c>
      <c r="H5" s="57">
        <f>'2a. % By Priority'!G10</f>
        <v>3.7974683544303799E-2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56</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383" t="s">
        <v>126</v>
      </c>
      <c r="C7" s="60">
        <f>'2a. % By Priority'!C23+'2a. % By Priority'!C24</f>
        <v>11</v>
      </c>
      <c r="D7" s="45">
        <f>'2a. % By Priority'!G23</f>
        <v>0.84615384615384615</v>
      </c>
      <c r="E7" s="52">
        <f>'2a. % By Priority'!C25</f>
        <v>0</v>
      </c>
      <c r="F7" s="36">
        <f>'2a. % By Priority'!G25</f>
        <v>0</v>
      </c>
      <c r="G7" s="56">
        <f>'2a. % By Priority'!C28+'2a. % By Priority'!C29</f>
        <v>2</v>
      </c>
      <c r="H7" s="57">
        <f>'2a. % By Priority'!G28</f>
        <v>0.15384615384615385</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122</v>
      </c>
      <c r="C8" s="44">
        <f>'2a. % By Priority'!C41+'2a. % By Priority'!C42</f>
        <v>17</v>
      </c>
      <c r="D8" s="45">
        <f>'2a. % By Priority'!G41</f>
        <v>0.94444444444444442</v>
      </c>
      <c r="E8" s="52">
        <f>'2a. % By Priority'!C43</f>
        <v>1</v>
      </c>
      <c r="F8" s="36">
        <f>'2a. % By Priority'!G43</f>
        <v>5.5555555555555552E-2</v>
      </c>
      <c r="G8" s="56">
        <f>'2a. % By Priority'!C46+'2a. % By Priority'!C47</f>
        <v>0</v>
      </c>
      <c r="H8" s="57">
        <f>'2a. % By Priority'!G46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123</v>
      </c>
      <c r="C9" s="44">
        <f>'2a. % By Priority'!C59+'2a. % By Priority'!C60</f>
        <v>15</v>
      </c>
      <c r="D9" s="45">
        <f>'2a. % By Priority'!G59</f>
        <v>1</v>
      </c>
      <c r="E9" s="52">
        <f>'2a. % By Priority'!C61</f>
        <v>0</v>
      </c>
      <c r="F9" s="36">
        <f>'2a. % By Priority'!G61</f>
        <v>0</v>
      </c>
      <c r="G9" s="56">
        <f>'2a. % By Priority'!C64+'2a. % By Priority'!C65</f>
        <v>0</v>
      </c>
      <c r="H9" s="57">
        <f>'2a. % By Priority'!G64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87" t="s">
        <v>124</v>
      </c>
      <c r="C10" s="44">
        <f>'2a. % By Priority'!C77+'2a. % By Priority'!C78</f>
        <v>9</v>
      </c>
      <c r="D10" s="45">
        <f>'2a. % By Priority'!G77</f>
        <v>0.9</v>
      </c>
      <c r="E10" s="52">
        <f>'2a. % By Priority'!C79</f>
        <v>0</v>
      </c>
      <c r="F10" s="36">
        <f>'2a. % By Priority'!G79</f>
        <v>0</v>
      </c>
      <c r="G10" s="56">
        <f>'2a. % By Priority'!C82+'2a. % By Priority'!C83</f>
        <v>1</v>
      </c>
      <c r="H10" s="57">
        <f>'2a. % By Priority'!G82</f>
        <v>0.1</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87" t="s">
        <v>125</v>
      </c>
      <c r="C11" s="44">
        <f>'2a. % By Priority'!C95+'2a. % By Priority'!C96</f>
        <v>23</v>
      </c>
      <c r="D11" s="45">
        <f>'2a. % By Priority'!G95</f>
        <v>1</v>
      </c>
      <c r="E11" s="52">
        <f>'2a. % By Priority'!C97</f>
        <v>0</v>
      </c>
      <c r="F11" s="36">
        <f>'2a. % By Priority'!G97</f>
        <v>0</v>
      </c>
      <c r="G11" s="56">
        <f>'2a. % By Priority'!C100+'2a. % By Priority'!C101</f>
        <v>0</v>
      </c>
      <c r="H11" s="57">
        <f>'2a. % By Priority'!G100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130</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117</v>
      </c>
      <c r="C13" s="60">
        <f>'3a. % by Portfolio'!C5+'3a. % by Portfolio'!C6</f>
        <v>9</v>
      </c>
      <c r="D13" s="61">
        <f>'3a. % by Portfolio'!G5</f>
        <v>1</v>
      </c>
      <c r="E13" s="62">
        <f>'3a. % by Portfolio'!C7</f>
        <v>0</v>
      </c>
      <c r="F13" s="63">
        <f>'3a. % by Portfolio'!G7</f>
        <v>0</v>
      </c>
      <c r="G13" s="64">
        <f>'3a. % by Portfolio'!C10+'3a. % by Portfolio'!C11</f>
        <v>0</v>
      </c>
      <c r="H13" s="65">
        <f>'3a. % by Portfolio'!G10</f>
        <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95</v>
      </c>
      <c r="C14" s="60">
        <f>'3a. % by Portfolio'!C24+'3a. % by Portfolio'!C25</f>
        <v>16</v>
      </c>
      <c r="D14" s="61">
        <f>'3a. % by Portfolio'!G24</f>
        <v>1</v>
      </c>
      <c r="E14" s="66">
        <f>'3a. % by Portfolio'!C26</f>
        <v>0</v>
      </c>
      <c r="F14" s="63">
        <f>'3a. % by Portfolio'!G26</f>
        <v>0</v>
      </c>
      <c r="G14" s="64">
        <f>'3a. % by Portfolio'!C29+'3a. % by Portfolio'!C30</f>
        <v>0</v>
      </c>
      <c r="H14" s="65">
        <f>'3a. % by Portfolio'!G29</f>
        <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118</v>
      </c>
      <c r="C15" s="60">
        <f>'3a. % by Portfolio'!C42+'3a. % by Portfolio'!C43</f>
        <v>8</v>
      </c>
      <c r="D15" s="61">
        <f>'3a. % by Portfolio'!G42</f>
        <v>0.88888888888888884</v>
      </c>
      <c r="E15" s="66">
        <f>'3a. % by Portfolio'!C44</f>
        <v>0</v>
      </c>
      <c r="F15" s="63">
        <f>'3a. % by Portfolio'!G44</f>
        <v>0</v>
      </c>
      <c r="G15" s="64">
        <f>'3a. % by Portfolio'!C47+'3a. % by Portfolio'!C48</f>
        <v>1</v>
      </c>
      <c r="H15" s="65">
        <f>'3a. % by Portfolio'!G47</f>
        <v>0.1111111111111111</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129</v>
      </c>
      <c r="C16" s="60">
        <f>'3a. % by Portfolio'!C60+'3a. % by Portfolio'!C61</f>
        <v>12</v>
      </c>
      <c r="D16" s="61">
        <f>'3a. % by Portfolio'!G60</f>
        <v>1</v>
      </c>
      <c r="E16" s="66">
        <f>'3a. % by Portfolio'!C62</f>
        <v>0</v>
      </c>
      <c r="F16" s="63">
        <f>'3a. % by Portfolio'!G62</f>
        <v>0</v>
      </c>
      <c r="G16" s="64">
        <f>'3a. % by Portfolio'!C65+'3a. % by Portfolio'!C66</f>
        <v>0</v>
      </c>
      <c r="H16" s="65">
        <f>'3a. % by Portfolio'!G65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116</v>
      </c>
      <c r="C17" s="60">
        <f>'3a. % by Portfolio'!C78+'3a. % by Portfolio'!C79</f>
        <v>17</v>
      </c>
      <c r="D17" s="61">
        <f>'3a. % by Portfolio'!G78</f>
        <v>0.89473684210526305</v>
      </c>
      <c r="E17" s="66">
        <f>'3a. % by Portfolio'!C80</f>
        <v>1</v>
      </c>
      <c r="F17" s="63">
        <f>'3a. % by Portfolio'!G80</f>
        <v>5.2631578947368418E-2</v>
      </c>
      <c r="G17" s="64">
        <f>'3a. % by Portfolio'!C83+'3a. % by Portfolio'!C84</f>
        <v>1</v>
      </c>
      <c r="H17" s="65">
        <f>'3a. % by Portfolio'!G83</f>
        <v>5.2631578947368418E-2</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94</v>
      </c>
      <c r="C18" s="60">
        <f>'3a. % by Portfolio'!C96+'3a. % by Portfolio'!C97</f>
        <v>13</v>
      </c>
      <c r="D18" s="61">
        <f>'3a. % by Portfolio'!G96</f>
        <v>0.92857142857142849</v>
      </c>
      <c r="E18" s="66">
        <f>'3a. % by Portfolio'!C98</f>
        <v>0</v>
      </c>
      <c r="F18" s="63">
        <f>'3a. % by Portfolio'!G98</f>
        <v>0</v>
      </c>
      <c r="G18" s="64">
        <f>'3a. % by Portfolio'!C101+'3a. % by Portfolio'!C102</f>
        <v>1</v>
      </c>
      <c r="H18" s="65">
        <f>'3a. % by Portfolio'!G101</f>
        <v>7.1428571428571425E-2</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c r="E19" s="311"/>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70" zoomScaleNormal="70" workbookViewId="0">
      <selection activeCell="G5" sqref="G5"/>
    </sheetView>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94" t="s">
        <v>395</v>
      </c>
      <c r="C2" s="396" t="s">
        <v>49</v>
      </c>
      <c r="D2" s="397"/>
      <c r="E2" s="398" t="s">
        <v>50</v>
      </c>
      <c r="F2" s="399"/>
      <c r="G2" s="400" t="s">
        <v>51</v>
      </c>
      <c r="H2" s="400"/>
    </row>
    <row r="3" spans="1:40" ht="50.25" customHeight="1" thickTop="1" thickBot="1">
      <c r="B3" s="395"/>
      <c r="C3" s="33" t="s">
        <v>52</v>
      </c>
      <c r="D3" s="34" t="s">
        <v>53</v>
      </c>
      <c r="E3" s="35" t="s">
        <v>52</v>
      </c>
      <c r="F3" s="36" t="s">
        <v>53</v>
      </c>
      <c r="G3" s="54" t="s">
        <v>52</v>
      </c>
      <c r="H3" s="55" t="s">
        <v>53</v>
      </c>
    </row>
    <row r="4" spans="1:40" s="41" customFormat="1" ht="22.2" thickTop="1" thickBot="1">
      <c r="A4" s="37"/>
      <c r="B4" s="38" t="s">
        <v>54</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55</v>
      </c>
      <c r="C5" s="44">
        <f>'2a. % By Priority'!J5+'2a. % By Priority'!J6</f>
        <v>0</v>
      </c>
      <c r="D5" s="45" t="e">
        <f>'2a. % By Priority'!N5</f>
        <v>#DIV/0!</v>
      </c>
      <c r="E5" s="46">
        <f>'2a. % By Priority'!J7</f>
        <v>0</v>
      </c>
      <c r="F5" s="36" t="e">
        <f>'2a. % By Priority'!N7</f>
        <v>#DIV/0!</v>
      </c>
      <c r="G5" s="56">
        <f>'2a. % By Priority'!J10+'2a. % By Priority'!J11</f>
        <v>0</v>
      </c>
      <c r="H5" s="57" t="e">
        <f>'2a. % By Priority'!N10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56</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126</v>
      </c>
      <c r="C7" s="44">
        <f>'2a. % By Priority'!J23+'2a. % By Priority'!J24</f>
        <v>0</v>
      </c>
      <c r="D7" s="45" t="e">
        <f>'2a. % By Priority'!N23</f>
        <v>#DIV/0!</v>
      </c>
      <c r="E7" s="52">
        <f>'2a. % By Priority'!J25</f>
        <v>0</v>
      </c>
      <c r="F7" s="36" t="e">
        <f>'2a. % By Priority'!N25</f>
        <v>#DIV/0!</v>
      </c>
      <c r="G7" s="56">
        <f>'2a. % By Priority'!J28+'2a. % By Priority'!J29</f>
        <v>0</v>
      </c>
      <c r="H7" s="57" t="e">
        <f>'2a. % By Priority'!N28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122</v>
      </c>
      <c r="C8" s="44">
        <f>'2a. % By Priority'!J41+'2a. % By Priority'!J42</f>
        <v>0</v>
      </c>
      <c r="D8" s="45" t="e">
        <f>'2a. % By Priority'!N41</f>
        <v>#DIV/0!</v>
      </c>
      <c r="E8" s="52">
        <f>'2a. % By Priority'!J43</f>
        <v>0</v>
      </c>
      <c r="F8" s="36" t="e">
        <f>'2a. % By Priority'!N43</f>
        <v>#DIV/0!</v>
      </c>
      <c r="G8" s="56">
        <f>'2a. % By Priority'!J46+'2a. % By Priority'!J47</f>
        <v>0</v>
      </c>
      <c r="H8" s="57" t="e">
        <f>'2a. % By Priority'!N46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123</v>
      </c>
      <c r="C9" s="44">
        <f>'2a. % By Priority'!J59+'2a. % By Priority'!J60</f>
        <v>0</v>
      </c>
      <c r="D9" s="45" t="e">
        <f>'2a. % By Priority'!N59</f>
        <v>#DIV/0!</v>
      </c>
      <c r="E9" s="52">
        <f>'2a. % By Priority'!J61</f>
        <v>0</v>
      </c>
      <c r="F9" s="36" t="e">
        <f>'2a. % By Priority'!N61</f>
        <v>#DIV/0!</v>
      </c>
      <c r="G9" s="56">
        <f>'2a. % By Priority'!J64+'2a. % By Priority'!J65</f>
        <v>0</v>
      </c>
      <c r="H9" s="57" t="e">
        <f>'2a. % By Priority'!N64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87" t="s">
        <v>124</v>
      </c>
      <c r="C10" s="44">
        <f>'2a. % By Priority'!J77+'2a. % By Priority'!J78</f>
        <v>0</v>
      </c>
      <c r="D10" s="45" t="e">
        <f>'2a. % By Priority'!N77</f>
        <v>#DIV/0!</v>
      </c>
      <c r="E10" s="52">
        <f>'2a. % By Priority'!J79</f>
        <v>0</v>
      </c>
      <c r="F10" s="36" t="e">
        <f>'2a. % By Priority'!N79</f>
        <v>#DIV/0!</v>
      </c>
      <c r="G10" s="56">
        <f>'2a. % By Priority'!J82+'2a. % By Priority'!J83</f>
        <v>0</v>
      </c>
      <c r="H10" s="57" t="e">
        <f>'2a. % By Priority'!N82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87" t="s">
        <v>125</v>
      </c>
      <c r="C11" s="44">
        <f>'2a. % By Priority'!J95+'2a. % By Priority'!J96</f>
        <v>0</v>
      </c>
      <c r="D11" s="45" t="e">
        <f>'2a. % By Priority'!N95</f>
        <v>#DIV/0!</v>
      </c>
      <c r="E11" s="52">
        <f>'2a. % By Priority'!J97</f>
        <v>0</v>
      </c>
      <c r="F11" s="36" t="e">
        <f>'2a. % By Priority'!N97</f>
        <v>#DIV/0!</v>
      </c>
      <c r="G11" s="56">
        <f>'2a. % By Priority'!J100+'2a. % By Priority'!J101</f>
        <v>0</v>
      </c>
      <c r="H11" s="57" t="e">
        <f>'2a. % By Priority'!N100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130</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117</v>
      </c>
      <c r="C13" s="60">
        <f>'3a. % by Portfolio'!J5+'3a. % by Portfolio'!J6</f>
        <v>0</v>
      </c>
      <c r="D13" s="61" t="e">
        <f>'3a. % by Portfolio'!N5</f>
        <v>#DIV/0!</v>
      </c>
      <c r="E13" s="62">
        <f>'3a. % by Portfolio'!J7</f>
        <v>0</v>
      </c>
      <c r="F13" s="63" t="e">
        <f>'3a. % by Portfolio'!N7</f>
        <v>#DIV/0!</v>
      </c>
      <c r="G13" s="64">
        <f>'3a. % by Portfolio'!J10+'3a. % by Portfolio'!J11</f>
        <v>0</v>
      </c>
      <c r="H13" s="65" t="e">
        <f>'3a. % by Portfolio'!N10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95</v>
      </c>
      <c r="C14" s="60">
        <f>'3a. % by Portfolio'!J24+'3a. % by Portfolio'!J25</f>
        <v>0</v>
      </c>
      <c r="D14" s="61" t="e">
        <f>'3a. % by Portfolio'!N24</f>
        <v>#DIV/0!</v>
      </c>
      <c r="E14" s="66">
        <f>'3a. % by Portfolio'!J26</f>
        <v>0</v>
      </c>
      <c r="F14" s="63" t="e">
        <f>'3a. % by Portfolio'!N26</f>
        <v>#DIV/0!</v>
      </c>
      <c r="G14" s="64">
        <f>'3a. % by Portfolio'!J29+'3a. % by Portfolio'!J30</f>
        <v>0</v>
      </c>
      <c r="H14" s="65" t="e">
        <f>'3a. % by Portfolio'!N29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118</v>
      </c>
      <c r="C15" s="60">
        <f>'3a. % by Portfolio'!J42+'3a. % by Portfolio'!J43</f>
        <v>0</v>
      </c>
      <c r="D15" s="61" t="e">
        <f>'3a. % by Portfolio'!N42</f>
        <v>#DIV/0!</v>
      </c>
      <c r="E15" s="66">
        <f>'3a. % by Portfolio'!J44</f>
        <v>0</v>
      </c>
      <c r="F15" s="63" t="e">
        <f>'3a. % by Portfolio'!N44</f>
        <v>#DIV/0!</v>
      </c>
      <c r="G15" s="64">
        <f>'3a. % by Portfolio'!J47+'3a. % by Portfolio'!J48</f>
        <v>0</v>
      </c>
      <c r="H15" s="65" t="e">
        <f>'3a. % by Portfolio'!N47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129</v>
      </c>
      <c r="C16" s="60">
        <f>'3a. % by Portfolio'!J60+'3a. % by Portfolio'!J61</f>
        <v>0</v>
      </c>
      <c r="D16" s="61" t="e">
        <f>'3a. % by Portfolio'!N60</f>
        <v>#DIV/0!</v>
      </c>
      <c r="E16" s="66">
        <f>'3a. % by Portfolio'!J62</f>
        <v>0</v>
      </c>
      <c r="F16" s="63" t="e">
        <f>'3a. % by Portfolio'!N62</f>
        <v>#DIV/0!</v>
      </c>
      <c r="G16" s="64">
        <f>'3a. % by Portfolio'!J65+'3a. % by Portfolio'!J66</f>
        <v>0</v>
      </c>
      <c r="H16" s="65" t="e">
        <f>'3a. % by Portfolio'!N65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116</v>
      </c>
      <c r="C17" s="60">
        <f>'3a. % by Portfolio'!J78+'3a. % by Portfolio'!J79</f>
        <v>0</v>
      </c>
      <c r="D17" s="61" t="e">
        <f>'3a. % by Portfolio'!N78</f>
        <v>#DIV/0!</v>
      </c>
      <c r="E17" s="66">
        <f>'3a. % by Portfolio'!J80</f>
        <v>0</v>
      </c>
      <c r="F17" s="63" t="e">
        <f>'3a. % by Portfolio'!N80</f>
        <v>#DIV/0!</v>
      </c>
      <c r="G17" s="64">
        <f>'3a. % by Portfolio'!J83+'3a. % by Portfolio'!J84</f>
        <v>0</v>
      </c>
      <c r="H17" s="65" t="e">
        <f>'3a. % by Portfolio'!N83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94</v>
      </c>
      <c r="C18" s="60">
        <f>'3a. % by Portfolio'!J96+'3a. % by Portfolio'!J97</f>
        <v>0</v>
      </c>
      <c r="D18" s="61" t="e">
        <f>'3a. % by Portfolio'!N96</f>
        <v>#DIV/0!</v>
      </c>
      <c r="E18" s="66">
        <f>'3a. % by Portfolio'!J98</f>
        <v>0</v>
      </c>
      <c r="F18" s="63" t="e">
        <f>'3a. % by Portfolio'!N98</f>
        <v>#DIV/0!</v>
      </c>
      <c r="G18" s="64">
        <f>'3a. % by Portfolio'!J101+'3a. % by Portfolio'!J102</f>
        <v>0</v>
      </c>
      <c r="H18" s="65" t="e">
        <f>'3a. % by Portfolio'!N101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70" zoomScaleNormal="70" workbookViewId="0">
      <selection activeCell="B2" sqref="B2:B3"/>
    </sheetView>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94" t="s">
        <v>396</v>
      </c>
      <c r="C2" s="396" t="s">
        <v>49</v>
      </c>
      <c r="D2" s="397"/>
      <c r="E2" s="398" t="s">
        <v>50</v>
      </c>
      <c r="F2" s="399"/>
      <c r="G2" s="400" t="s">
        <v>51</v>
      </c>
      <c r="H2" s="400"/>
    </row>
    <row r="3" spans="1:40" ht="50.25" customHeight="1" thickTop="1" thickBot="1">
      <c r="B3" s="395"/>
      <c r="C3" s="33" t="s">
        <v>52</v>
      </c>
      <c r="D3" s="34" t="s">
        <v>53</v>
      </c>
      <c r="E3" s="35" t="s">
        <v>52</v>
      </c>
      <c r="F3" s="36" t="s">
        <v>53</v>
      </c>
      <c r="G3" s="54" t="s">
        <v>52</v>
      </c>
      <c r="H3" s="55" t="s">
        <v>53</v>
      </c>
    </row>
    <row r="4" spans="1:40" s="41" customFormat="1" ht="22.2" thickTop="1" thickBot="1">
      <c r="A4" s="37"/>
      <c r="B4" s="38" t="s">
        <v>54</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55</v>
      </c>
      <c r="C5" s="44">
        <f>'2a. % By Priority'!Q5+'2a. % By Priority'!Q6</f>
        <v>0</v>
      </c>
      <c r="D5" s="45" t="e">
        <f>'2a. % By Priority'!U5</f>
        <v>#DIV/0!</v>
      </c>
      <c r="E5" s="46">
        <f>'2a. % By Priority'!Q7</f>
        <v>0</v>
      </c>
      <c r="F5" s="36" t="e">
        <f>'2a. % By Priority'!U7</f>
        <v>#DIV/0!</v>
      </c>
      <c r="G5" s="56">
        <f>'2a. % By Priority'!Q10+'2a. % By Priority'!Q11</f>
        <v>0</v>
      </c>
      <c r="H5" s="57" t="e">
        <f>'2a. % By Priority'!U10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56</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126</v>
      </c>
      <c r="C7" s="44">
        <f>'2a. % By Priority'!Q23+'2a. % By Priority'!Q24</f>
        <v>0</v>
      </c>
      <c r="D7" s="45" t="e">
        <f>'2a. % By Priority'!U23</f>
        <v>#DIV/0!</v>
      </c>
      <c r="E7" s="52">
        <f>'2a. % By Priority'!Q25</f>
        <v>0</v>
      </c>
      <c r="F7" s="36" t="e">
        <f>'2a. % By Priority'!U25</f>
        <v>#DIV/0!</v>
      </c>
      <c r="G7" s="56">
        <f>'2a. % By Priority'!Q28+'2a. % By Priority'!Q29</f>
        <v>0</v>
      </c>
      <c r="H7" s="57" t="e">
        <f>'2a. % By Priority'!U28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122</v>
      </c>
      <c r="C8" s="44">
        <f>'2a. % By Priority'!Q41+'2a. % By Priority'!Q42</f>
        <v>0</v>
      </c>
      <c r="D8" s="45" t="e">
        <f>'2a. % By Priority'!U41</f>
        <v>#DIV/0!</v>
      </c>
      <c r="E8" s="52">
        <f>'2a. % By Priority'!Q43</f>
        <v>0</v>
      </c>
      <c r="F8" s="36" t="e">
        <f>'2a. % By Priority'!U43</f>
        <v>#DIV/0!</v>
      </c>
      <c r="G8" s="56">
        <f>'2a. % By Priority'!Q46+'2a. % By Priority'!Q47</f>
        <v>0</v>
      </c>
      <c r="H8" s="57" t="e">
        <f>'2a. % By Priority'!U46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123</v>
      </c>
      <c r="C9" s="44">
        <f>'2a. % By Priority'!Q59+'2a. % By Priority'!Q60</f>
        <v>0</v>
      </c>
      <c r="D9" s="45" t="e">
        <f>'2a. % By Priority'!U59</f>
        <v>#DIV/0!</v>
      </c>
      <c r="E9" s="52">
        <f>'2a. % By Priority'!Q61</f>
        <v>0</v>
      </c>
      <c r="F9" s="36" t="e">
        <f>'2a. % By Priority'!U61</f>
        <v>#DIV/0!</v>
      </c>
      <c r="G9" s="56">
        <f>'2a. % By Priority'!Q64+'2a. % By Priority'!Q65</f>
        <v>0</v>
      </c>
      <c r="H9" s="57" t="e">
        <f>'2a. % By Priority'!U64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87" t="s">
        <v>124</v>
      </c>
      <c r="C10" s="44">
        <f>'2a. % By Priority'!Q77+'2a. % By Priority'!Q78</f>
        <v>0</v>
      </c>
      <c r="D10" s="45" t="e">
        <f>'2a. % By Priority'!U77</f>
        <v>#DIV/0!</v>
      </c>
      <c r="E10" s="52">
        <f>'2a. % By Priority'!Q79</f>
        <v>0</v>
      </c>
      <c r="F10" s="36" t="e">
        <f>'2a. % By Priority'!U79</f>
        <v>#DIV/0!</v>
      </c>
      <c r="G10" s="56">
        <f>'2a. % By Priority'!Q82+'2a. % By Priority'!Q83</f>
        <v>0</v>
      </c>
      <c r="H10" s="57" t="e">
        <f>'2a. % By Priority'!U82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87" t="s">
        <v>125</v>
      </c>
      <c r="C11" s="44">
        <f>'2a. % By Priority'!Q95+'2a. % By Priority'!Q96</f>
        <v>0</v>
      </c>
      <c r="D11" s="45" t="e">
        <f>'2a. % By Priority'!U95</f>
        <v>#DIV/0!</v>
      </c>
      <c r="E11" s="52">
        <f>'2a. % By Priority'!Q97</f>
        <v>0</v>
      </c>
      <c r="F11" s="36" t="e">
        <f>'2a. % By Priority'!U97</f>
        <v>#DIV/0!</v>
      </c>
      <c r="G11" s="56">
        <f>'2a. % By Priority'!Q100+'2a. % By Priority'!Q101</f>
        <v>0</v>
      </c>
      <c r="H11" s="57" t="e">
        <f>'2a. % By Priority'!U100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130</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117</v>
      </c>
      <c r="C13" s="60">
        <f>'3a. % by Portfolio'!Q5+'3a. % by Portfolio'!Q6</f>
        <v>0</v>
      </c>
      <c r="D13" s="61" t="e">
        <f>'3a. % by Portfolio'!U5</f>
        <v>#DIV/0!</v>
      </c>
      <c r="E13" s="62">
        <f>'3a. % by Portfolio'!Q7</f>
        <v>0</v>
      </c>
      <c r="F13" s="63" t="e">
        <f>'3a. % by Portfolio'!U7</f>
        <v>#DIV/0!</v>
      </c>
      <c r="G13" s="64">
        <f>'3a. % by Portfolio'!Q10+'3a. % by Portfolio'!Q11</f>
        <v>0</v>
      </c>
      <c r="H13" s="65" t="e">
        <f>'3a. % by Portfolio'!U10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95</v>
      </c>
      <c r="C14" s="60">
        <f>'3a. % by Portfolio'!Q24+'3a. % by Portfolio'!Q25</f>
        <v>0</v>
      </c>
      <c r="D14" s="61" t="e">
        <f>'3a. % by Portfolio'!U24</f>
        <v>#DIV/0!</v>
      </c>
      <c r="E14" s="66">
        <f>'3a. % by Portfolio'!Q26</f>
        <v>0</v>
      </c>
      <c r="F14" s="63" t="e">
        <f>'3a. % by Portfolio'!U26</f>
        <v>#DIV/0!</v>
      </c>
      <c r="G14" s="64">
        <f>'3a. % by Portfolio'!Q29+'3a. % by Portfolio'!Q30</f>
        <v>0</v>
      </c>
      <c r="H14" s="65" t="e">
        <f>'3a. % by Portfolio'!U29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118</v>
      </c>
      <c r="C15" s="60">
        <f>'3a. % by Portfolio'!Q42+'3a. % by Portfolio'!Q43</f>
        <v>0</v>
      </c>
      <c r="D15" s="61" t="e">
        <f>'3a. % by Portfolio'!U42</f>
        <v>#DIV/0!</v>
      </c>
      <c r="E15" s="66">
        <f>'3a. % by Portfolio'!Q44</f>
        <v>0</v>
      </c>
      <c r="F15" s="63" t="e">
        <f>'3a. % by Portfolio'!U44</f>
        <v>#DIV/0!</v>
      </c>
      <c r="G15" s="64">
        <f>'3a. % by Portfolio'!Q47+'3a. % by Portfolio'!Q48</f>
        <v>0</v>
      </c>
      <c r="H15" s="65" t="e">
        <f>'3a. % by Portfolio'!U47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129</v>
      </c>
      <c r="C16" s="60">
        <f>'3a. % by Portfolio'!Q60+'3a. % by Portfolio'!Q61</f>
        <v>0</v>
      </c>
      <c r="D16" s="61" t="e">
        <f>'3a. % by Portfolio'!U60</f>
        <v>#DIV/0!</v>
      </c>
      <c r="E16" s="66">
        <f>'3a. % by Portfolio'!Q62</f>
        <v>0</v>
      </c>
      <c r="F16" s="63" t="e">
        <f>'3a. % by Portfolio'!U62</f>
        <v>#DIV/0!</v>
      </c>
      <c r="G16" s="64">
        <f>'3a. % by Portfolio'!Q65+'3a. % by Portfolio'!Q66</f>
        <v>0</v>
      </c>
      <c r="H16" s="65" t="e">
        <f>'3a. % by Portfolio'!U65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116</v>
      </c>
      <c r="C17" s="60">
        <f>'3a. % by Portfolio'!Q78+'3a. % by Portfolio'!Q79</f>
        <v>0</v>
      </c>
      <c r="D17" s="61" t="e">
        <f>'3a. % by Portfolio'!U78</f>
        <v>#DIV/0!</v>
      </c>
      <c r="E17" s="66">
        <f>'3a. % by Portfolio'!Q80</f>
        <v>0</v>
      </c>
      <c r="F17" s="63" t="e">
        <f>'3a. % by Portfolio'!U80</f>
        <v>#DIV/0!</v>
      </c>
      <c r="G17" s="64">
        <f>'3a. % by Portfolio'!Q83+'3a. % by Portfolio'!Q84</f>
        <v>0</v>
      </c>
      <c r="H17" s="65" t="e">
        <f>'3a. % by Portfolio'!U83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94</v>
      </c>
      <c r="C18" s="60">
        <f>'3a. % by Portfolio'!Q96+'3a. % by Portfolio'!Q97</f>
        <v>0</v>
      </c>
      <c r="D18" s="61" t="e">
        <f>'3a. % by Portfolio'!U96</f>
        <v>#DIV/0!</v>
      </c>
      <c r="E18" s="66">
        <f>'3a. % by Portfolio'!Q98</f>
        <v>0</v>
      </c>
      <c r="F18" s="63" t="e">
        <f>'3a. % by Portfolio'!U98</f>
        <v>#DIV/0!</v>
      </c>
      <c r="G18" s="64">
        <f>'3a. % by Portfolio'!Q101+'3a. % by Portfolio'!Q102</f>
        <v>0</v>
      </c>
      <c r="H18" s="65" t="e">
        <f>'3a. % by Portfolio'!U101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workbookViewId="0"/>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94" t="s">
        <v>135</v>
      </c>
      <c r="C2" s="396" t="s">
        <v>49</v>
      </c>
      <c r="D2" s="397"/>
      <c r="E2" s="398" t="s">
        <v>50</v>
      </c>
      <c r="F2" s="399"/>
      <c r="G2" s="400" t="s">
        <v>51</v>
      </c>
      <c r="H2" s="400"/>
    </row>
    <row r="3" spans="1:40" ht="50.25" customHeight="1" thickTop="1" thickBot="1">
      <c r="B3" s="395"/>
      <c r="C3" s="33" t="s">
        <v>52</v>
      </c>
      <c r="D3" s="34" t="s">
        <v>53</v>
      </c>
      <c r="E3" s="35" t="s">
        <v>52</v>
      </c>
      <c r="F3" s="36" t="s">
        <v>53</v>
      </c>
      <c r="G3" s="54" t="s">
        <v>52</v>
      </c>
      <c r="H3" s="55" t="s">
        <v>53</v>
      </c>
    </row>
    <row r="4" spans="1:40" s="41" customFormat="1" ht="22.2" thickTop="1" thickBot="1">
      <c r="A4" s="37"/>
      <c r="B4" s="38" t="s">
        <v>54</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55</v>
      </c>
      <c r="C5" s="44">
        <f>'2a. % By Priority'!X5+'2a. % By Priority'!X6</f>
        <v>0</v>
      </c>
      <c r="D5" s="45" t="e">
        <f>'2a. % By Priority'!AB5</f>
        <v>#DIV/0!</v>
      </c>
      <c r="E5" s="46">
        <f>'2a. % By Priority'!X7+'2a. % By Priority'!X8+'2a. % By Priority'!X9</f>
        <v>0</v>
      </c>
      <c r="F5" s="36" t="e">
        <f>'2a. % By Priority'!AB7</f>
        <v>#DIV/0!</v>
      </c>
      <c r="G5" s="56">
        <f>'2a. % By Priority'!X10+'2a. % By Priority'!X11</f>
        <v>0</v>
      </c>
      <c r="H5" s="57" t="e">
        <f>'2a. % By Priority'!AB10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56</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126</v>
      </c>
      <c r="C7" s="44">
        <f>'2a. % By Priority'!X23+'2a. % By Priority'!X24</f>
        <v>0</v>
      </c>
      <c r="D7" s="45" t="e">
        <f>'2a. % By Priority'!AB23</f>
        <v>#DIV/0!</v>
      </c>
      <c r="E7" s="52">
        <f>'2a. % By Priority'!X25+'2a. % By Priority'!X26+'2a. % By Priority'!X27</f>
        <v>0</v>
      </c>
      <c r="F7" s="36" t="e">
        <f>'2a. % By Priority'!AB25</f>
        <v>#DIV/0!</v>
      </c>
      <c r="G7" s="56">
        <f>'2a. % By Priority'!X28+'2a. % By Priority'!X29</f>
        <v>0</v>
      </c>
      <c r="H7" s="57" t="e">
        <f>'2a. % By Priority'!AB28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122</v>
      </c>
      <c r="C8" s="44">
        <f>'2a. % By Priority'!X41+'2a. % By Priority'!X42</f>
        <v>0</v>
      </c>
      <c r="D8" s="45" t="e">
        <f>'2a. % By Priority'!AB41</f>
        <v>#DIV/0!</v>
      </c>
      <c r="E8" s="52">
        <f>'2a. % By Priority'!X43+'2a. % By Priority'!X44+'2a. % By Priority'!X45</f>
        <v>0</v>
      </c>
      <c r="F8" s="36" t="e">
        <f>'2a. % By Priority'!AB43</f>
        <v>#DIV/0!</v>
      </c>
      <c r="G8" s="56">
        <f>'2a. % By Priority'!X46+'2a. % By Priority'!X47</f>
        <v>0</v>
      </c>
      <c r="H8" s="57" t="e">
        <f>'2a. % By Priority'!AB46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123</v>
      </c>
      <c r="C9" s="44">
        <f>'2a. % By Priority'!X59+'2a. % By Priority'!X60</f>
        <v>0</v>
      </c>
      <c r="D9" s="45" t="e">
        <f>'2a. % By Priority'!AB59</f>
        <v>#DIV/0!</v>
      </c>
      <c r="E9" s="52">
        <f>'2a. % By Priority'!X61+'2a. % By Priority'!X62+'2a. % By Priority'!X63</f>
        <v>0</v>
      </c>
      <c r="F9" s="36" t="e">
        <f>'2a. % By Priority'!AB61</f>
        <v>#DIV/0!</v>
      </c>
      <c r="G9" s="56">
        <f>'2a. % By Priority'!X64+'2a. % By Priority'!X65</f>
        <v>0</v>
      </c>
      <c r="H9" s="57" t="e">
        <f>'2a. % By Priority'!AB64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87" t="s">
        <v>124</v>
      </c>
      <c r="C10" s="44">
        <f>'2a. % By Priority'!X77+'2a. % By Priority'!X78</f>
        <v>0</v>
      </c>
      <c r="D10" s="45" t="e">
        <f>'2a. % By Priority'!AB77</f>
        <v>#DIV/0!</v>
      </c>
      <c r="E10" s="52">
        <f>'2a. % By Priority'!X79+'2a. % By Priority'!X80+'2a. % By Priority'!X81</f>
        <v>0</v>
      </c>
      <c r="F10" s="36" t="e">
        <f>'2a. % By Priority'!AB79</f>
        <v>#DIV/0!</v>
      </c>
      <c r="G10" s="56">
        <f>'2a. % By Priority'!X82+'2a. % By Priority'!X83</f>
        <v>0</v>
      </c>
      <c r="H10" s="57" t="e">
        <f>'2a. % By Priority'!AB82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87" t="s">
        <v>125</v>
      </c>
      <c r="C11" s="44">
        <f>'2a. % By Priority'!X95+'2a. % By Priority'!X96</f>
        <v>0</v>
      </c>
      <c r="D11" s="45" t="e">
        <f>'2a. % By Priority'!AB95</f>
        <v>#DIV/0!</v>
      </c>
      <c r="E11" s="52">
        <f>'2a. % By Priority'!X97+'2a. % By Priority'!X98+'2a. % By Priority'!X99</f>
        <v>0</v>
      </c>
      <c r="F11" s="36" t="e">
        <f>'2a. % By Priority'!AB97</f>
        <v>#DIV/0!</v>
      </c>
      <c r="G11" s="56">
        <f>'2a. % By Priority'!X100+'2a. % By Priority'!X101</f>
        <v>0</v>
      </c>
      <c r="H11" s="57" t="e">
        <f>'2a. % By Priority'!AB100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130</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117</v>
      </c>
      <c r="C13" s="60">
        <f>'3a. % by Portfolio'!X5+'3a. % by Portfolio'!X6</f>
        <v>0</v>
      </c>
      <c r="D13" s="61" t="e">
        <f>'3a. % by Portfolio'!AB5</f>
        <v>#DIV/0!</v>
      </c>
      <c r="E13" s="62">
        <f>'3a. % by Portfolio'!X7+'3a. % by Portfolio'!X8+'3a. % by Portfolio'!X9</f>
        <v>0</v>
      </c>
      <c r="F13" s="63" t="e">
        <f>'3a. % by Portfolio'!AB7</f>
        <v>#DIV/0!</v>
      </c>
      <c r="G13" s="64">
        <f>'3a. % by Portfolio'!X10+'3a. % by Portfolio'!X11</f>
        <v>0</v>
      </c>
      <c r="H13" s="65" t="e">
        <f>'3a. % by Portfolio'!AB10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95</v>
      </c>
      <c r="C14" s="60">
        <f>'3a. % by Portfolio'!X24+'3a. % by Portfolio'!X25</f>
        <v>0</v>
      </c>
      <c r="D14" s="61" t="e">
        <f>'3a. % by Portfolio'!AB24</f>
        <v>#DIV/0!</v>
      </c>
      <c r="E14" s="66">
        <f>'3a. % by Portfolio'!X26+'3a. % by Portfolio'!X27+'3a. % by Portfolio'!X28</f>
        <v>0</v>
      </c>
      <c r="F14" s="63" t="e">
        <f>'3a. % by Portfolio'!AB26</f>
        <v>#DIV/0!</v>
      </c>
      <c r="G14" s="64">
        <f>'3a. % by Portfolio'!X29+'3a. % by Portfolio'!X30</f>
        <v>0</v>
      </c>
      <c r="H14" s="65" t="e">
        <f>'3a. % by Portfolio'!AB29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118</v>
      </c>
      <c r="C15" s="60">
        <f>'3a. % by Portfolio'!X42+'3a. % by Portfolio'!X43</f>
        <v>0</v>
      </c>
      <c r="D15" s="61" t="e">
        <f>'3a. % by Portfolio'!AB42</f>
        <v>#DIV/0!</v>
      </c>
      <c r="E15" s="66">
        <f>'3a. % by Portfolio'!X44+'3a. % by Portfolio'!X45+'3a. % by Portfolio'!X46</f>
        <v>0</v>
      </c>
      <c r="F15" s="63" t="e">
        <f>'3a. % by Portfolio'!AB44</f>
        <v>#DIV/0!</v>
      </c>
      <c r="G15" s="64">
        <f>'3a. % by Portfolio'!X47+'3a. % by Portfolio'!X48</f>
        <v>0</v>
      </c>
      <c r="H15" s="65" t="e">
        <f>'3a. % by Portfolio'!AB47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129</v>
      </c>
      <c r="C16" s="60">
        <f>'3a. % by Portfolio'!X60+'3a. % by Portfolio'!X61</f>
        <v>0</v>
      </c>
      <c r="D16" s="61" t="e">
        <f>'3a. % by Portfolio'!AB60</f>
        <v>#DIV/0!</v>
      </c>
      <c r="E16" s="66">
        <f>'3a. % by Portfolio'!X62+'3a. % by Portfolio'!X63+'3a. % by Portfolio'!X64</f>
        <v>0</v>
      </c>
      <c r="F16" s="63" t="e">
        <f>'3a. % by Portfolio'!AB62</f>
        <v>#DIV/0!</v>
      </c>
      <c r="G16" s="64">
        <f>'3a. % by Portfolio'!X65+'3a. % by Portfolio'!X66</f>
        <v>0</v>
      </c>
      <c r="H16" s="65" t="e">
        <f>'3a. % by Portfolio'!AB65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116</v>
      </c>
      <c r="C17" s="60">
        <f>'3a. % by Portfolio'!X78+'3a. % by Portfolio'!X79</f>
        <v>0</v>
      </c>
      <c r="D17" s="61" t="e">
        <f>'3a. % by Portfolio'!AB78</f>
        <v>#DIV/0!</v>
      </c>
      <c r="E17" s="66">
        <f>'3a. % by Portfolio'!X80+'3a. % by Portfolio'!X81+'3a. % by Portfolio'!X82</f>
        <v>0</v>
      </c>
      <c r="F17" s="63" t="e">
        <f>'3a. % by Portfolio'!AB80</f>
        <v>#DIV/0!</v>
      </c>
      <c r="G17" s="64">
        <f>'3a. % by Portfolio'!X83+'3a. % by Portfolio'!X84</f>
        <v>0</v>
      </c>
      <c r="H17" s="65" t="e">
        <f>'3a. % by Portfolio'!AB83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94</v>
      </c>
      <c r="C18" s="60">
        <f>'3a. % by Portfolio'!X96+'3a. % by Portfolio'!X97</f>
        <v>0</v>
      </c>
      <c r="D18" s="61" t="e">
        <f>'3a. % by Portfolio'!AB96</f>
        <v>#DIV/0!</v>
      </c>
      <c r="E18" s="66">
        <f>'3a. % by Portfolio'!X98+'3a. % by Portfolio'!X99+'3a. % by Portfolio'!X100</f>
        <v>0</v>
      </c>
      <c r="F18" s="63" t="e">
        <f>'3a. % by Portfolio'!AB98</f>
        <v>#DIV/0!</v>
      </c>
      <c r="G18" s="64">
        <f>'3a. % by Portfolio'!X101+'3a. % by Portfolio'!X102</f>
        <v>0</v>
      </c>
      <c r="H18" s="65" t="e">
        <f>'3a. % by Portfolio'!AB101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5"/>
  <sheetViews>
    <sheetView zoomScale="70" zoomScaleNormal="70" workbookViewId="0">
      <pane xSplit="1" ySplit="1" topLeftCell="B9" activePane="bottomRight" state="frozen"/>
      <selection pane="topRight" activeCell="B1" sqref="B1"/>
      <selection pane="bottomLeft" activeCell="A2" sqref="A2"/>
      <selection pane="bottomRight" activeCell="B5" sqref="B5"/>
    </sheetView>
  </sheetViews>
  <sheetFormatPr defaultColWidth="9.33203125" defaultRowHeight="13.8"/>
  <cols>
    <col min="1" max="1" width="2.33203125" style="157" customWidth="1"/>
    <col min="2" max="2" width="38.6640625" style="157" customWidth="1"/>
    <col min="3" max="3" width="13.5546875" style="154" customWidth="1"/>
    <col min="4" max="4" width="13.6640625" style="154" customWidth="1"/>
    <col min="5" max="5" width="16.44140625" style="154" customWidth="1"/>
    <col min="6" max="6" width="14.33203125" style="154" customWidth="1"/>
    <col min="7" max="7" width="17.33203125" style="154" customWidth="1"/>
    <col min="8" max="8" width="4.5546875" style="154" customWidth="1"/>
    <col min="9" max="9" width="38.6640625" style="157" hidden="1" customWidth="1"/>
    <col min="10" max="10" width="13.5546875" style="154" hidden="1" customWidth="1"/>
    <col min="11" max="11" width="13.6640625" style="154" hidden="1" customWidth="1"/>
    <col min="12" max="12" width="16.44140625" style="154" hidden="1" customWidth="1"/>
    <col min="13" max="13" width="14.33203125" style="154" hidden="1" customWidth="1"/>
    <col min="14" max="14" width="17.33203125" style="154" hidden="1" customWidth="1"/>
    <col min="15" max="15" width="4.5546875" style="154" hidden="1" customWidth="1"/>
    <col min="16" max="16" width="38.6640625" style="157" hidden="1" customWidth="1"/>
    <col min="17" max="17" width="13.5546875" style="154" hidden="1" customWidth="1"/>
    <col min="18" max="18" width="13.6640625" style="154" hidden="1" customWidth="1"/>
    <col min="19" max="19" width="16.44140625" style="154" hidden="1" customWidth="1"/>
    <col min="20" max="20" width="14.33203125" style="154" hidden="1" customWidth="1"/>
    <col min="21" max="21" width="17.33203125" style="154" hidden="1" customWidth="1"/>
    <col min="22" max="22" width="4.5546875" style="154" hidden="1" customWidth="1"/>
    <col min="23" max="23" width="55.44140625" style="154" hidden="1" customWidth="1"/>
    <col min="24" max="24" width="14.5546875" style="154" hidden="1" customWidth="1"/>
    <col min="25" max="27" width="17.33203125" style="154" hidden="1" customWidth="1"/>
    <col min="28" max="28" width="17.33203125" style="181" hidden="1" customWidth="1"/>
    <col min="29" max="29" width="1.6640625" style="157" hidden="1" customWidth="1"/>
    <col min="30" max="30" width="12" style="157" hidden="1" customWidth="1"/>
    <col min="31" max="32" width="9.33203125" style="157" customWidth="1"/>
    <col min="33" max="16384" width="9.33203125" style="157"/>
  </cols>
  <sheetData>
    <row r="1" spans="2:31" s="151" customFormat="1" ht="21">
      <c r="B1" s="143" t="s">
        <v>398</v>
      </c>
      <c r="C1" s="144"/>
      <c r="D1" s="145"/>
      <c r="E1" s="145"/>
      <c r="F1" s="145"/>
      <c r="G1" s="145"/>
      <c r="H1" s="146"/>
      <c r="I1" s="143" t="s">
        <v>132</v>
      </c>
      <c r="J1" s="144"/>
      <c r="K1" s="145"/>
      <c r="L1" s="145"/>
      <c r="M1" s="145"/>
      <c r="N1" s="145"/>
      <c r="O1" s="146"/>
      <c r="P1" s="147" t="s">
        <v>133</v>
      </c>
      <c r="Q1" s="144"/>
      <c r="R1" s="145"/>
      <c r="S1" s="145"/>
      <c r="T1" s="145"/>
      <c r="U1" s="145"/>
      <c r="V1" s="146"/>
      <c r="W1" s="148" t="s">
        <v>134</v>
      </c>
      <c r="X1" s="149"/>
      <c r="Y1" s="149"/>
      <c r="Z1" s="149"/>
      <c r="AA1" s="149"/>
      <c r="AB1" s="150"/>
    </row>
    <row r="2" spans="2:31" ht="15.6">
      <c r="B2" s="152"/>
      <c r="C2" s="153"/>
      <c r="D2" s="153"/>
      <c r="E2" s="153"/>
      <c r="F2" s="153"/>
      <c r="G2" s="153"/>
      <c r="I2" s="152"/>
      <c r="J2" s="153"/>
      <c r="K2" s="153"/>
      <c r="L2" s="153"/>
      <c r="M2" s="153"/>
      <c r="N2" s="153"/>
      <c r="P2" s="152"/>
      <c r="Q2" s="153"/>
      <c r="R2" s="153"/>
      <c r="S2" s="153"/>
      <c r="T2" s="153"/>
      <c r="U2" s="153"/>
      <c r="W2" s="155"/>
      <c r="X2" s="155"/>
      <c r="Y2" s="155"/>
      <c r="Z2" s="155"/>
      <c r="AA2" s="155"/>
      <c r="AB2" s="156"/>
    </row>
    <row r="3" spans="2:31" ht="15.6">
      <c r="B3" s="158" t="s">
        <v>35</v>
      </c>
      <c r="C3" s="159"/>
      <c r="D3" s="159"/>
      <c r="E3" s="159"/>
      <c r="F3" s="159"/>
      <c r="G3" s="160"/>
      <c r="I3" s="158" t="s">
        <v>35</v>
      </c>
      <c r="J3" s="159"/>
      <c r="K3" s="159"/>
      <c r="L3" s="159"/>
      <c r="M3" s="159"/>
      <c r="N3" s="160"/>
      <c r="P3" s="158" t="s">
        <v>35</v>
      </c>
      <c r="Q3" s="159"/>
      <c r="R3" s="159"/>
      <c r="S3" s="159"/>
      <c r="T3" s="159"/>
      <c r="U3" s="160"/>
      <c r="W3" s="161" t="s">
        <v>35</v>
      </c>
      <c r="X3" s="162"/>
      <c r="Y3" s="162"/>
      <c r="Z3" s="162"/>
      <c r="AA3" s="162"/>
      <c r="AB3" s="163"/>
    </row>
    <row r="4" spans="2:31" s="154" customFormat="1" ht="39" customHeight="1">
      <c r="B4" s="164" t="s">
        <v>36</v>
      </c>
      <c r="C4" s="164" t="s">
        <v>37</v>
      </c>
      <c r="D4" s="164" t="s">
        <v>38</v>
      </c>
      <c r="E4" s="164" t="s">
        <v>39</v>
      </c>
      <c r="F4" s="164" t="s">
        <v>40</v>
      </c>
      <c r="G4" s="164" t="s">
        <v>41</v>
      </c>
      <c r="I4" s="164" t="s">
        <v>36</v>
      </c>
      <c r="J4" s="164" t="s">
        <v>37</v>
      </c>
      <c r="K4" s="164" t="s">
        <v>38</v>
      </c>
      <c r="L4" s="164" t="s">
        <v>39</v>
      </c>
      <c r="M4" s="164" t="s">
        <v>40</v>
      </c>
      <c r="N4" s="164" t="s">
        <v>41</v>
      </c>
      <c r="P4" s="164" t="s">
        <v>36</v>
      </c>
      <c r="Q4" s="164" t="s">
        <v>37</v>
      </c>
      <c r="R4" s="164" t="s">
        <v>38</v>
      </c>
      <c r="S4" s="164" t="s">
        <v>39</v>
      </c>
      <c r="T4" s="164" t="s">
        <v>40</v>
      </c>
      <c r="U4" s="164" t="s">
        <v>41</v>
      </c>
      <c r="W4" s="164" t="s">
        <v>36</v>
      </c>
      <c r="X4" s="164" t="s">
        <v>37</v>
      </c>
      <c r="Y4" s="164" t="s">
        <v>38</v>
      </c>
      <c r="Z4" s="164" t="s">
        <v>39</v>
      </c>
      <c r="AA4" s="164" t="s">
        <v>40</v>
      </c>
      <c r="AB4" s="164" t="s">
        <v>41</v>
      </c>
    </row>
    <row r="5" spans="2:31" ht="30.75" customHeight="1">
      <c r="B5" s="227" t="s">
        <v>42</v>
      </c>
      <c r="C5" s="167">
        <f>COUNTIF('1. All Data'!$H$3:$H$134,"Fully Achieved")</f>
        <v>6</v>
      </c>
      <c r="D5" s="168">
        <f>C5/C16</f>
        <v>5.8823529411764705E-2</v>
      </c>
      <c r="E5" s="401">
        <f>D5+D6</f>
        <v>0.73529411764705888</v>
      </c>
      <c r="F5" s="168">
        <f>C5/C17</f>
        <v>7.5949367088607597E-2</v>
      </c>
      <c r="G5" s="403">
        <f>F5+F6</f>
        <v>0.94936708860759489</v>
      </c>
      <c r="I5" s="227" t="s">
        <v>42</v>
      </c>
      <c r="J5" s="167">
        <f>COUNTIF('1. All Data'!$M$3:$M$136,"Fully Achieved")</f>
        <v>0</v>
      </c>
      <c r="K5" s="168" t="e">
        <f>J5/J16</f>
        <v>#DIV/0!</v>
      </c>
      <c r="L5" s="401" t="e">
        <f>K5+K6</f>
        <v>#DIV/0!</v>
      </c>
      <c r="M5" s="168" t="e">
        <f>J5/J17</f>
        <v>#DIV/0!</v>
      </c>
      <c r="N5" s="403" t="e">
        <f>M5+M6</f>
        <v>#DIV/0!</v>
      </c>
      <c r="P5" s="227" t="s">
        <v>42</v>
      </c>
      <c r="Q5" s="167">
        <f>COUNTIF('1. All Data'!$R$3:$R$134,"Fully Achieved")</f>
        <v>0</v>
      </c>
      <c r="R5" s="168" t="e">
        <f>Q5/Q16</f>
        <v>#DIV/0!</v>
      </c>
      <c r="S5" s="401" t="e">
        <f>R5+R6</f>
        <v>#DIV/0!</v>
      </c>
      <c r="T5" s="168" t="e">
        <f>Q5/Q17</f>
        <v>#DIV/0!</v>
      </c>
      <c r="U5" s="403" t="e">
        <f>T5+T6</f>
        <v>#DIV/0!</v>
      </c>
      <c r="W5" s="227" t="s">
        <v>42</v>
      </c>
      <c r="X5" s="167">
        <f>COUNTIF('1. All Data'!$V$3:$V$134,"Fully Achieved")</f>
        <v>0</v>
      </c>
      <c r="Y5" s="168" t="e">
        <f t="shared" ref="Y5:Y15" si="0">X5/$X$16</f>
        <v>#DIV/0!</v>
      </c>
      <c r="Z5" s="401" t="e">
        <f>SUM(Y5:Y6)</f>
        <v>#DIV/0!</v>
      </c>
      <c r="AA5" s="168" t="e">
        <f t="shared" ref="AA5:AA11" si="1">X5/$X$17</f>
        <v>#DIV/0!</v>
      </c>
      <c r="AB5" s="403" t="e">
        <f>AA5+AA6</f>
        <v>#DIV/0!</v>
      </c>
      <c r="AD5" s="403" t="e">
        <f>AB5</f>
        <v>#DIV/0!</v>
      </c>
    </row>
    <row r="6" spans="2:31" ht="30.75" customHeight="1">
      <c r="B6" s="227" t="s">
        <v>25</v>
      </c>
      <c r="C6" s="167">
        <f>COUNTIF('1. All Data'!$H$3:$H$134,"On Track to be Achieved")</f>
        <v>69</v>
      </c>
      <c r="D6" s="168">
        <f>C6/C16</f>
        <v>0.67647058823529416</v>
      </c>
      <c r="E6" s="401"/>
      <c r="F6" s="168">
        <f>C6/C17</f>
        <v>0.87341772151898733</v>
      </c>
      <c r="G6" s="403"/>
      <c r="I6" s="227" t="s">
        <v>25</v>
      </c>
      <c r="J6" s="167">
        <f>COUNTIF('1. All Data'!$M$3:$M$136,"On Track to be Achieved")</f>
        <v>0</v>
      </c>
      <c r="K6" s="168" t="e">
        <f>J6/J16</f>
        <v>#DIV/0!</v>
      </c>
      <c r="L6" s="401"/>
      <c r="M6" s="168" t="e">
        <f>J6/J17</f>
        <v>#DIV/0!</v>
      </c>
      <c r="N6" s="403"/>
      <c r="P6" s="227" t="s">
        <v>25</v>
      </c>
      <c r="Q6" s="167">
        <f>COUNTIF('1. All Data'!$R$3:$R$134,"On Track to be Achieved")</f>
        <v>0</v>
      </c>
      <c r="R6" s="168" t="e">
        <f>Q6/Q16</f>
        <v>#DIV/0!</v>
      </c>
      <c r="S6" s="401"/>
      <c r="T6" s="168" t="e">
        <f>Q6/Q17</f>
        <v>#DIV/0!</v>
      </c>
      <c r="U6" s="403"/>
      <c r="W6" s="227" t="s">
        <v>17</v>
      </c>
      <c r="X6" s="167">
        <f>COUNTIF('1. All Data'!$V$3:$V$134,"Numerical Outturn Within 5% Tolerance")</f>
        <v>0</v>
      </c>
      <c r="Y6" s="168" t="e">
        <f t="shared" si="0"/>
        <v>#DIV/0!</v>
      </c>
      <c r="Z6" s="401"/>
      <c r="AA6" s="168" t="e">
        <f t="shared" si="1"/>
        <v>#DIV/0!</v>
      </c>
      <c r="AB6" s="403"/>
      <c r="AD6" s="403"/>
    </row>
    <row r="7" spans="2:31" ht="18.75" customHeight="1">
      <c r="B7" s="411" t="s">
        <v>26</v>
      </c>
      <c r="C7" s="414">
        <f>COUNTIF('1. All Data'!$H$3:$H$134,"In Danger of Falling Behind Target")</f>
        <v>1</v>
      </c>
      <c r="D7" s="404">
        <f>C7/C16</f>
        <v>9.8039215686274508E-3</v>
      </c>
      <c r="E7" s="404">
        <f>D7</f>
        <v>9.8039215686274508E-3</v>
      </c>
      <c r="F7" s="404">
        <f>C7/C17</f>
        <v>1.2658227848101266E-2</v>
      </c>
      <c r="G7" s="407">
        <f>F7</f>
        <v>1.2658227848101266E-2</v>
      </c>
      <c r="I7" s="411" t="s">
        <v>26</v>
      </c>
      <c r="J7" s="414">
        <f>COUNTIF('1. All Data'!$M$3:$M$136,"In Danger of Falling Behind Target")</f>
        <v>0</v>
      </c>
      <c r="K7" s="404" t="e">
        <f>J7/J16</f>
        <v>#DIV/0!</v>
      </c>
      <c r="L7" s="404" t="e">
        <f>K7</f>
        <v>#DIV/0!</v>
      </c>
      <c r="M7" s="404" t="e">
        <f>J7/J17</f>
        <v>#DIV/0!</v>
      </c>
      <c r="N7" s="407" t="e">
        <f>M7</f>
        <v>#DIV/0!</v>
      </c>
      <c r="P7" s="411" t="s">
        <v>26</v>
      </c>
      <c r="Q7" s="414">
        <f>COUNTIF('1. All Data'!$R$3:$R$134,"In Danger of Falling Behind Target")</f>
        <v>0</v>
      </c>
      <c r="R7" s="404" t="e">
        <f>Q7/Q16</f>
        <v>#DIV/0!</v>
      </c>
      <c r="S7" s="404" t="e">
        <f>R7</f>
        <v>#DIV/0!</v>
      </c>
      <c r="T7" s="404" t="e">
        <f>Q7/Q17</f>
        <v>#DIV/0!</v>
      </c>
      <c r="U7" s="407" t="e">
        <f>T7</f>
        <v>#DIV/0!</v>
      </c>
      <c r="W7" s="169" t="s">
        <v>18</v>
      </c>
      <c r="X7" s="170">
        <f>COUNTIF('1. All Data'!$V$3:$V$134,"Numerical Outturn Within 10% Tolerance")</f>
        <v>0</v>
      </c>
      <c r="Y7" s="168" t="e">
        <f t="shared" si="0"/>
        <v>#DIV/0!</v>
      </c>
      <c r="Z7" s="401" t="e">
        <f>SUM(Y7:Y9)</f>
        <v>#DIV/0!</v>
      </c>
      <c r="AA7" s="168" t="e">
        <f t="shared" si="1"/>
        <v>#DIV/0!</v>
      </c>
      <c r="AB7" s="410" t="e">
        <f>SUM(AA7:AA9)</f>
        <v>#DIV/0!</v>
      </c>
      <c r="AD7" s="417" t="e">
        <f>SUM(AB7:AB11)</f>
        <v>#DIV/0!</v>
      </c>
    </row>
    <row r="8" spans="2:31" ht="19.5" customHeight="1">
      <c r="B8" s="412"/>
      <c r="C8" s="415"/>
      <c r="D8" s="405"/>
      <c r="E8" s="405"/>
      <c r="F8" s="405"/>
      <c r="G8" s="408"/>
      <c r="I8" s="412"/>
      <c r="J8" s="415"/>
      <c r="K8" s="405"/>
      <c r="L8" s="405"/>
      <c r="M8" s="405"/>
      <c r="N8" s="408"/>
      <c r="P8" s="412"/>
      <c r="Q8" s="415"/>
      <c r="R8" s="405"/>
      <c r="S8" s="405"/>
      <c r="T8" s="405"/>
      <c r="U8" s="408"/>
      <c r="W8" s="169" t="s">
        <v>19</v>
      </c>
      <c r="X8" s="170">
        <f>COUNTIF('1. All Data'!$V$3:$V$134,"Target Partially Met")</f>
        <v>0</v>
      </c>
      <c r="Y8" s="168" t="e">
        <f t="shared" si="0"/>
        <v>#DIV/0!</v>
      </c>
      <c r="Z8" s="401"/>
      <c r="AA8" s="168" t="e">
        <f t="shared" si="1"/>
        <v>#DIV/0!</v>
      </c>
      <c r="AB8" s="410"/>
      <c r="AD8" s="418"/>
    </row>
    <row r="9" spans="2:31" ht="19.5" customHeight="1">
      <c r="B9" s="413"/>
      <c r="C9" s="416"/>
      <c r="D9" s="406"/>
      <c r="E9" s="406"/>
      <c r="F9" s="406"/>
      <c r="G9" s="409"/>
      <c r="I9" s="413"/>
      <c r="J9" s="416"/>
      <c r="K9" s="406"/>
      <c r="L9" s="406"/>
      <c r="M9" s="406"/>
      <c r="N9" s="409"/>
      <c r="P9" s="413"/>
      <c r="Q9" s="416"/>
      <c r="R9" s="406"/>
      <c r="S9" s="406"/>
      <c r="T9" s="406"/>
      <c r="U9" s="409"/>
      <c r="W9" s="169" t="s">
        <v>22</v>
      </c>
      <c r="X9" s="170">
        <f>COUNTIF('1. All Data'!$V$3:$V$134,"Completion Date Within Reasonable Tolerance")</f>
        <v>0</v>
      </c>
      <c r="Y9" s="168" t="e">
        <f t="shared" si="0"/>
        <v>#DIV/0!</v>
      </c>
      <c r="Z9" s="401"/>
      <c r="AA9" s="168" t="e">
        <f t="shared" si="1"/>
        <v>#DIV/0!</v>
      </c>
      <c r="AB9" s="410"/>
      <c r="AD9" s="418"/>
    </row>
    <row r="10" spans="2:31" ht="29.25" customHeight="1">
      <c r="B10" s="171" t="s">
        <v>27</v>
      </c>
      <c r="C10" s="167">
        <f>COUNTIF('1. All Data'!H3:H134,"completed behind schedule")</f>
        <v>1</v>
      </c>
      <c r="D10" s="168">
        <f>C10/C16</f>
        <v>9.8039215686274508E-3</v>
      </c>
      <c r="E10" s="401">
        <f>D10+D11</f>
        <v>2.9411764705882353E-2</v>
      </c>
      <c r="F10" s="168">
        <f>C10/C17</f>
        <v>1.2658227848101266E-2</v>
      </c>
      <c r="G10" s="402">
        <f>F10+F11</f>
        <v>3.7974683544303799E-2</v>
      </c>
      <c r="I10" s="171" t="s">
        <v>27</v>
      </c>
      <c r="J10" s="167">
        <f>COUNTIF('1. All Data'!M3:M136,"Completed Behind Schedule")</f>
        <v>0</v>
      </c>
      <c r="K10" s="168" t="e">
        <f>J10/J16</f>
        <v>#DIV/0!</v>
      </c>
      <c r="L10" s="401" t="e">
        <f>K10+K11</f>
        <v>#DIV/0!</v>
      </c>
      <c r="M10" s="168" t="e">
        <f>J10/J17</f>
        <v>#DIV/0!</v>
      </c>
      <c r="N10" s="402" t="e">
        <f>M10+M11</f>
        <v>#DIV/0!</v>
      </c>
      <c r="P10" s="171" t="s">
        <v>27</v>
      </c>
      <c r="Q10" s="167">
        <f>COUNTIF('1. All Data'!R3:R134,"completed behind schedule")</f>
        <v>0</v>
      </c>
      <c r="R10" s="168" t="e">
        <f>Q10/Q16</f>
        <v>#DIV/0!</v>
      </c>
      <c r="S10" s="401" t="e">
        <f>R10+R11</f>
        <v>#DIV/0!</v>
      </c>
      <c r="T10" s="168" t="e">
        <f>Q10/Q17</f>
        <v>#DIV/0!</v>
      </c>
      <c r="U10" s="402" t="e">
        <f>T10+T11</f>
        <v>#DIV/0!</v>
      </c>
      <c r="W10" s="171" t="s">
        <v>21</v>
      </c>
      <c r="X10" s="167">
        <f>COUNTIF('1. All Data'!V3:V134,"Completed Significantly After Target Deadline")</f>
        <v>0</v>
      </c>
      <c r="Y10" s="168" t="e">
        <f t="shared" si="0"/>
        <v>#DIV/0!</v>
      </c>
      <c r="Z10" s="401" t="e">
        <f>SUM(Y10:Y11)</f>
        <v>#DIV/0!</v>
      </c>
      <c r="AA10" s="168" t="e">
        <f t="shared" si="1"/>
        <v>#DIV/0!</v>
      </c>
      <c r="AB10" s="402" t="e">
        <f>SUM(AA10:AA11)</f>
        <v>#DIV/0!</v>
      </c>
      <c r="AD10" s="418"/>
    </row>
    <row r="11" spans="2:31" ht="29.25" customHeight="1">
      <c r="B11" s="171" t="s">
        <v>20</v>
      </c>
      <c r="C11" s="167">
        <f>COUNTIF('1. All Data'!H3:H134,"off target")</f>
        <v>2</v>
      </c>
      <c r="D11" s="168">
        <f>C11/C16</f>
        <v>1.9607843137254902E-2</v>
      </c>
      <c r="E11" s="401"/>
      <c r="F11" s="168">
        <f>C11/C17</f>
        <v>2.5316455696202531E-2</v>
      </c>
      <c r="G11" s="402"/>
      <c r="I11" s="171" t="s">
        <v>20</v>
      </c>
      <c r="J11" s="167">
        <f>COUNTIF('1. All Data'!M3:M136,"Off Target")</f>
        <v>0</v>
      </c>
      <c r="K11" s="168" t="e">
        <f>J11/J16</f>
        <v>#DIV/0!</v>
      </c>
      <c r="L11" s="401"/>
      <c r="M11" s="168" t="e">
        <f>J11/J17</f>
        <v>#DIV/0!</v>
      </c>
      <c r="N11" s="402"/>
      <c r="P11" s="171" t="s">
        <v>20</v>
      </c>
      <c r="Q11" s="167">
        <f>COUNTIF('1. All Data'!R3:R134,"off target")</f>
        <v>0</v>
      </c>
      <c r="R11" s="168" t="e">
        <f>Q11/Q16</f>
        <v>#DIV/0!</v>
      </c>
      <c r="S11" s="401"/>
      <c r="T11" s="168" t="e">
        <f>Q11/Q17</f>
        <v>#DIV/0!</v>
      </c>
      <c r="U11" s="402"/>
      <c r="W11" s="171" t="s">
        <v>20</v>
      </c>
      <c r="X11" s="167">
        <f>COUNTIF('1. All Data'!V3:V134,"off target")</f>
        <v>0</v>
      </c>
      <c r="Y11" s="168" t="e">
        <f t="shared" si="0"/>
        <v>#DIV/0!</v>
      </c>
      <c r="Z11" s="401"/>
      <c r="AA11" s="168" t="e">
        <f t="shared" si="1"/>
        <v>#DIV/0!</v>
      </c>
      <c r="AB11" s="402"/>
      <c r="AD11" s="418"/>
    </row>
    <row r="12" spans="2:31" ht="20.25" customHeight="1">
      <c r="B12" s="172" t="s">
        <v>43</v>
      </c>
      <c r="C12" s="167">
        <f>COUNTIF('1. All Data'!H3:H134,"not yet due")</f>
        <v>23</v>
      </c>
      <c r="D12" s="173">
        <f>C12/C16</f>
        <v>0.22549019607843138</v>
      </c>
      <c r="E12" s="173">
        <f>D12</f>
        <v>0.22549019607843138</v>
      </c>
      <c r="F12" s="174"/>
      <c r="G12" s="58"/>
      <c r="I12" s="172" t="s">
        <v>43</v>
      </c>
      <c r="J12" s="167">
        <f>COUNTIF('1. All Data'!M3:M136,"not yet due")</f>
        <v>0</v>
      </c>
      <c r="K12" s="173" t="e">
        <f>J12/J16</f>
        <v>#DIV/0!</v>
      </c>
      <c r="L12" s="173" t="e">
        <f>K12</f>
        <v>#DIV/0!</v>
      </c>
      <c r="M12" s="174"/>
      <c r="N12" s="58"/>
      <c r="P12" s="172" t="s">
        <v>43</v>
      </c>
      <c r="Q12" s="167">
        <f>COUNTIF('1. All Data'!R3:R126,"not yet due")</f>
        <v>0</v>
      </c>
      <c r="R12" s="173" t="e">
        <f>Q12/Q16</f>
        <v>#DIV/0!</v>
      </c>
      <c r="S12" s="173" t="e">
        <f>R12</f>
        <v>#DIV/0!</v>
      </c>
      <c r="T12" s="174"/>
      <c r="U12" s="58"/>
      <c r="W12" s="172" t="s">
        <v>43</v>
      </c>
      <c r="X12" s="167">
        <f>COUNTIF('1. All Data'!V3:V134,"not yet due")</f>
        <v>0</v>
      </c>
      <c r="Y12" s="168" t="e">
        <f t="shared" si="0"/>
        <v>#DIV/0!</v>
      </c>
      <c r="Z12" s="173" t="e">
        <f>Y12</f>
        <v>#DIV/0!</v>
      </c>
      <c r="AA12" s="174"/>
      <c r="AB12" s="58"/>
    </row>
    <row r="13" spans="2:31" ht="20.25" customHeight="1">
      <c r="B13" s="172" t="s">
        <v>15</v>
      </c>
      <c r="C13" s="167">
        <f>COUNTIF('1. All Data'!H3:H134,"update not provided")</f>
        <v>0</v>
      </c>
      <c r="D13" s="173">
        <f>C13/C16</f>
        <v>0</v>
      </c>
      <c r="E13" s="173">
        <f>D13</f>
        <v>0</v>
      </c>
      <c r="F13" s="174"/>
      <c r="G13" s="2"/>
      <c r="I13" s="172" t="s">
        <v>15</v>
      </c>
      <c r="J13" s="167">
        <f>COUNTIF('1. All Data'!M3:M136,"update not provided")</f>
        <v>0</v>
      </c>
      <c r="K13" s="173" t="e">
        <f>J13/J16</f>
        <v>#DIV/0!</v>
      </c>
      <c r="L13" s="173" t="e">
        <f>K13</f>
        <v>#DIV/0!</v>
      </c>
      <c r="M13" s="174"/>
      <c r="N13" s="2"/>
      <c r="P13" s="172" t="s">
        <v>15</v>
      </c>
      <c r="Q13" s="167">
        <f>COUNTIF('1. All Data'!R3:R126,"update not provided")</f>
        <v>0</v>
      </c>
      <c r="R13" s="173" t="e">
        <f>Q13/Q16</f>
        <v>#DIV/0!</v>
      </c>
      <c r="S13" s="173" t="e">
        <f>R13</f>
        <v>#DIV/0!</v>
      </c>
      <c r="T13" s="174"/>
      <c r="U13" s="2"/>
      <c r="W13" s="172" t="s">
        <v>15</v>
      </c>
      <c r="X13" s="167">
        <f>COUNTIF('1. All Data'!V3:V134,"update not provided")</f>
        <v>0</v>
      </c>
      <c r="Y13" s="168" t="e">
        <f t="shared" si="0"/>
        <v>#DIV/0!</v>
      </c>
      <c r="Z13" s="173" t="e">
        <f>Y13</f>
        <v>#DIV/0!</v>
      </c>
      <c r="AA13" s="174"/>
      <c r="AB13" s="2"/>
    </row>
    <row r="14" spans="2:31" ht="15.75" customHeight="1">
      <c r="B14" s="175" t="s">
        <v>23</v>
      </c>
      <c r="C14" s="167">
        <f>COUNTIF('1. All Data'!H3:H134,"deferred")</f>
        <v>0</v>
      </c>
      <c r="D14" s="176">
        <f>C14/C16</f>
        <v>0</v>
      </c>
      <c r="E14" s="176">
        <f>D14</f>
        <v>0</v>
      </c>
      <c r="F14" s="177"/>
      <c r="G14" s="58"/>
      <c r="I14" s="175" t="s">
        <v>23</v>
      </c>
      <c r="J14" s="167">
        <f>COUNTIF('1. All Data'!M3:M136,"deferred")</f>
        <v>0</v>
      </c>
      <c r="K14" s="176" t="e">
        <f>J14/J16</f>
        <v>#DIV/0!</v>
      </c>
      <c r="L14" s="176" t="e">
        <f>K14</f>
        <v>#DIV/0!</v>
      </c>
      <c r="M14" s="177"/>
      <c r="N14" s="58"/>
      <c r="P14" s="175" t="s">
        <v>23</v>
      </c>
      <c r="Q14" s="167">
        <f>COUNTIF('1. All Data'!R3:R126,"deferred")</f>
        <v>0</v>
      </c>
      <c r="R14" s="176" t="e">
        <f>Q14/Q16</f>
        <v>#DIV/0!</v>
      </c>
      <c r="S14" s="176" t="e">
        <f>R14</f>
        <v>#DIV/0!</v>
      </c>
      <c r="T14" s="177"/>
      <c r="U14" s="58"/>
      <c r="W14" s="175" t="s">
        <v>23</v>
      </c>
      <c r="X14" s="167">
        <f>COUNTIF('1. All Data'!V3:V134,"deferred")</f>
        <v>0</v>
      </c>
      <c r="Y14" s="168" t="e">
        <f t="shared" si="0"/>
        <v>#DIV/0!</v>
      </c>
      <c r="Z14" s="173" t="e">
        <f>Y14</f>
        <v>#DIV/0!</v>
      </c>
      <c r="AA14" s="177"/>
      <c r="AB14" s="58"/>
    </row>
    <row r="15" spans="2:31" ht="15.75" customHeight="1">
      <c r="B15" s="175" t="s">
        <v>24</v>
      </c>
      <c r="C15" s="167">
        <f>COUNTIF('1. All Data'!H3:H134,"deleted")</f>
        <v>0</v>
      </c>
      <c r="D15" s="176">
        <f>C15/C16</f>
        <v>0</v>
      </c>
      <c r="E15" s="176">
        <f>D15</f>
        <v>0</v>
      </c>
      <c r="F15" s="177"/>
      <c r="G15" s="3"/>
      <c r="I15" s="175" t="s">
        <v>24</v>
      </c>
      <c r="J15" s="167">
        <f>COUNTIF('1. All Data'!M3:M136,"deleted")</f>
        <v>0</v>
      </c>
      <c r="K15" s="176" t="e">
        <f>J15/J16</f>
        <v>#DIV/0!</v>
      </c>
      <c r="L15" s="176" t="e">
        <f>K15</f>
        <v>#DIV/0!</v>
      </c>
      <c r="M15" s="177"/>
      <c r="P15" s="175" t="s">
        <v>24</v>
      </c>
      <c r="Q15" s="167">
        <f>COUNTIF('1. All Data'!R3:R126,"deleted")</f>
        <v>0</v>
      </c>
      <c r="R15" s="176" t="e">
        <f>Q15/Q16</f>
        <v>#DIV/0!</v>
      </c>
      <c r="S15" s="176" t="e">
        <f>R15</f>
        <v>#DIV/0!</v>
      </c>
      <c r="T15" s="177"/>
      <c r="U15" s="3"/>
      <c r="W15" s="175" t="s">
        <v>24</v>
      </c>
      <c r="X15" s="167">
        <f>COUNTIF('1. All Data'!V3:V134,"deleted")</f>
        <v>0</v>
      </c>
      <c r="Y15" s="168" t="e">
        <f t="shared" si="0"/>
        <v>#DIV/0!</v>
      </c>
      <c r="Z15" s="173" t="e">
        <f>Y15</f>
        <v>#DIV/0!</v>
      </c>
      <c r="AA15" s="177"/>
      <c r="AB15" s="3"/>
      <c r="AE15" s="3"/>
    </row>
    <row r="16" spans="2:31" ht="15.75" customHeight="1">
      <c r="B16" s="178" t="s">
        <v>45</v>
      </c>
      <c r="C16" s="179">
        <f>SUM(C5:C15)</f>
        <v>102</v>
      </c>
      <c r="D16" s="177"/>
      <c r="E16" s="177"/>
      <c r="F16" s="58"/>
      <c r="G16" s="58"/>
      <c r="I16" s="178" t="s">
        <v>45</v>
      </c>
      <c r="J16" s="179">
        <f>SUM(J5:J15)</f>
        <v>0</v>
      </c>
      <c r="K16" s="177"/>
      <c r="L16" s="177"/>
      <c r="M16" s="58"/>
      <c r="N16" s="58"/>
      <c r="P16" s="178" t="s">
        <v>45</v>
      </c>
      <c r="Q16" s="179">
        <f>SUM(Q5:Q15)</f>
        <v>0</v>
      </c>
      <c r="R16" s="177"/>
      <c r="S16" s="177"/>
      <c r="T16" s="58"/>
      <c r="U16" s="58"/>
      <c r="W16" s="178" t="s">
        <v>45</v>
      </c>
      <c r="X16" s="179">
        <f>SUM(X5:X15)</f>
        <v>0</v>
      </c>
      <c r="Y16" s="177"/>
      <c r="Z16" s="177"/>
      <c r="AA16" s="58"/>
      <c r="AB16" s="58"/>
    </row>
    <row r="17" spans="2:28" ht="15.75" customHeight="1">
      <c r="B17" s="178" t="s">
        <v>46</v>
      </c>
      <c r="C17" s="179">
        <f>C16-C15-C14-C13-C12</f>
        <v>79</v>
      </c>
      <c r="D17" s="58"/>
      <c r="E17" s="58"/>
      <c r="F17" s="58"/>
      <c r="G17" s="58"/>
      <c r="I17" s="178" t="s">
        <v>46</v>
      </c>
      <c r="J17" s="179">
        <f>J16-J15-J14-J13-J12</f>
        <v>0</v>
      </c>
      <c r="K17" s="58"/>
      <c r="L17" s="58"/>
      <c r="M17" s="58"/>
      <c r="N17" s="58"/>
      <c r="P17" s="178" t="s">
        <v>46</v>
      </c>
      <c r="Q17" s="179">
        <f>Q16-Q15-Q14-Q13-Q12</f>
        <v>0</v>
      </c>
      <c r="R17" s="58"/>
      <c r="S17" s="58"/>
      <c r="T17" s="58"/>
      <c r="U17" s="58"/>
      <c r="W17" s="178" t="s">
        <v>46</v>
      </c>
      <c r="X17" s="179">
        <f>X16-X15-X14-X13-X12</f>
        <v>0</v>
      </c>
      <c r="Y17" s="58"/>
      <c r="Z17" s="58"/>
      <c r="AA17" s="58"/>
      <c r="AB17" s="58"/>
    </row>
    <row r="18" spans="2:28" ht="15.75" customHeight="1">
      <c r="W18" s="180"/>
      <c r="AA18" s="2"/>
    </row>
    <row r="19" spans="2:28" ht="15.75" hidden="1" customHeight="1">
      <c r="AA19" s="2"/>
    </row>
    <row r="20" spans="2:28" ht="15" hidden="1" customHeight="1">
      <c r="AA20" s="2"/>
    </row>
    <row r="21" spans="2:28" ht="19.5" customHeight="1">
      <c r="B21" s="182" t="s">
        <v>126</v>
      </c>
      <c r="C21" s="183"/>
      <c r="D21" s="183"/>
      <c r="E21" s="183"/>
      <c r="F21" s="159"/>
      <c r="G21" s="184"/>
      <c r="I21" s="182" t="s">
        <v>126</v>
      </c>
      <c r="J21" s="183"/>
      <c r="K21" s="183"/>
      <c r="L21" s="183"/>
      <c r="M21" s="159"/>
      <c r="N21" s="184"/>
      <c r="P21" s="182" t="s">
        <v>126</v>
      </c>
      <c r="Q21" s="183"/>
      <c r="R21" s="183"/>
      <c r="S21" s="183"/>
      <c r="T21" s="159"/>
      <c r="U21" s="184"/>
      <c r="W21" s="182" t="s">
        <v>126</v>
      </c>
      <c r="X21" s="162"/>
      <c r="Y21" s="162"/>
      <c r="Z21" s="162"/>
      <c r="AA21" s="162"/>
      <c r="AB21" s="163"/>
    </row>
    <row r="22" spans="2:28" ht="42" customHeight="1">
      <c r="B22" s="164" t="s">
        <v>36</v>
      </c>
      <c r="C22" s="164" t="s">
        <v>37</v>
      </c>
      <c r="D22" s="164" t="s">
        <v>38</v>
      </c>
      <c r="E22" s="164" t="s">
        <v>39</v>
      </c>
      <c r="F22" s="164" t="s">
        <v>40</v>
      </c>
      <c r="G22" s="164" t="s">
        <v>41</v>
      </c>
      <c r="I22" s="164" t="s">
        <v>36</v>
      </c>
      <c r="J22" s="164" t="s">
        <v>37</v>
      </c>
      <c r="K22" s="164" t="s">
        <v>38</v>
      </c>
      <c r="L22" s="164" t="s">
        <v>39</v>
      </c>
      <c r="M22" s="164" t="s">
        <v>40</v>
      </c>
      <c r="N22" s="164" t="s">
        <v>41</v>
      </c>
      <c r="P22" s="164" t="s">
        <v>36</v>
      </c>
      <c r="Q22" s="164" t="s">
        <v>37</v>
      </c>
      <c r="R22" s="164" t="s">
        <v>38</v>
      </c>
      <c r="S22" s="164" t="s">
        <v>39</v>
      </c>
      <c r="T22" s="164" t="s">
        <v>40</v>
      </c>
      <c r="U22" s="164" t="s">
        <v>41</v>
      </c>
      <c r="W22" s="164" t="s">
        <v>36</v>
      </c>
      <c r="X22" s="164" t="s">
        <v>37</v>
      </c>
      <c r="Y22" s="164" t="s">
        <v>38</v>
      </c>
      <c r="Z22" s="164" t="s">
        <v>39</v>
      </c>
      <c r="AA22" s="164" t="s">
        <v>40</v>
      </c>
      <c r="AB22" s="164" t="s">
        <v>41</v>
      </c>
    </row>
    <row r="23" spans="2:28" ht="21.75" customHeight="1">
      <c r="B23" s="227" t="s">
        <v>42</v>
      </c>
      <c r="C23" s="167">
        <f>COUNTIFS('1. All Data'!$AA$3:$AA$134,"Improving Local Democracy",'1. All Data'!$H$3:$H$134,"Fully Achieved")</f>
        <v>2</v>
      </c>
      <c r="D23" s="168">
        <f>C23/C34</f>
        <v>0.10526315789473684</v>
      </c>
      <c r="E23" s="401">
        <f>D23+D24</f>
        <v>0.57894736842105265</v>
      </c>
      <c r="F23" s="168">
        <f>C23/C35</f>
        <v>0.15384615384615385</v>
      </c>
      <c r="G23" s="419">
        <f>F23+F24</f>
        <v>0.84615384615384615</v>
      </c>
      <c r="I23" s="227" t="s">
        <v>42</v>
      </c>
      <c r="J23" s="167">
        <f>COUNTIFS('1. All Data'!$AA$3:$AA$134,"Improving Local Democracy council",'1. All Data'!$M$3:$M$134,"Fully Achieved")</f>
        <v>0</v>
      </c>
      <c r="K23" s="168" t="e">
        <f>J23/J34</f>
        <v>#DIV/0!</v>
      </c>
      <c r="L23" s="401" t="e">
        <f>K23+K24</f>
        <v>#DIV/0!</v>
      </c>
      <c r="M23" s="168" t="e">
        <f>J23/J35</f>
        <v>#DIV/0!</v>
      </c>
      <c r="N23" s="403" t="e">
        <f>M23+M24</f>
        <v>#DIV/0!</v>
      </c>
      <c r="P23" s="227" t="s">
        <v>42</v>
      </c>
      <c r="Q23" s="167">
        <f>COUNTIFS('1. All Data'!$AA$3:$AA$134,"Improving Local Democracy council",'1. All Data'!$R$3:$R$134,"Fully Achieved")</f>
        <v>0</v>
      </c>
      <c r="R23" s="168" t="e">
        <f>Q23/Q34</f>
        <v>#DIV/0!</v>
      </c>
      <c r="S23" s="401" t="e">
        <f>R23+R24</f>
        <v>#DIV/0!</v>
      </c>
      <c r="T23" s="168" t="e">
        <f>Q23/Q35</f>
        <v>#DIV/0!</v>
      </c>
      <c r="U23" s="403" t="e">
        <f>T23+T24</f>
        <v>#DIV/0!</v>
      </c>
      <c r="W23" s="227" t="s">
        <v>42</v>
      </c>
      <c r="X23" s="167">
        <f>COUNTIFS('1. All Data'!$AA$3:$AA$134,"Improving Local Democracy council",'1. All Data'!$V$3:$V$134,"Fully Achieved")</f>
        <v>0</v>
      </c>
      <c r="Y23" s="168" t="e">
        <f>X23/X34</f>
        <v>#DIV/0!</v>
      </c>
      <c r="Z23" s="401" t="e">
        <f>Y23+Y24</f>
        <v>#DIV/0!</v>
      </c>
      <c r="AA23" s="168" t="e">
        <f>X23/X35</f>
        <v>#DIV/0!</v>
      </c>
      <c r="AB23" s="403" t="e">
        <f>AA23+AA24</f>
        <v>#DIV/0!</v>
      </c>
    </row>
    <row r="24" spans="2:28" ht="18.75" customHeight="1">
      <c r="B24" s="227" t="s">
        <v>25</v>
      </c>
      <c r="C24" s="167">
        <f>COUNTIFS('1. All Data'!$AA$3:$AA$134,"Improving Local Democracy",'1. All Data'!$H$3:$H$134,"On Track to be achieved")</f>
        <v>9</v>
      </c>
      <c r="D24" s="168">
        <f>C24/C34</f>
        <v>0.47368421052631576</v>
      </c>
      <c r="E24" s="401"/>
      <c r="F24" s="168">
        <f>C24/C35</f>
        <v>0.69230769230769229</v>
      </c>
      <c r="G24" s="420"/>
      <c r="I24" s="227" t="s">
        <v>25</v>
      </c>
      <c r="J24" s="167">
        <f>COUNTIFS('1. All Data'!$AA$3:$AA$134,"Improving Local Democracy council",'1. All Data'!$M$3:$M$134,"On Track to be achieved")</f>
        <v>0</v>
      </c>
      <c r="K24" s="168" t="e">
        <f>J24/J34</f>
        <v>#DIV/0!</v>
      </c>
      <c r="L24" s="401"/>
      <c r="M24" s="168" t="e">
        <f>J24/J35</f>
        <v>#DIV/0!</v>
      </c>
      <c r="N24" s="403"/>
      <c r="P24" s="227" t="s">
        <v>25</v>
      </c>
      <c r="Q24" s="167">
        <f>COUNTIFS('1. All Data'!$AA$3:$AA$134,"Improving Local Democracy council",'1. All Data'!$R$3:$R$134,"On Track to be achieved")</f>
        <v>0</v>
      </c>
      <c r="R24" s="168" t="e">
        <f>Q24/Q34</f>
        <v>#DIV/0!</v>
      </c>
      <c r="S24" s="401"/>
      <c r="T24" s="168" t="e">
        <f>Q24/Q35</f>
        <v>#DIV/0!</v>
      </c>
      <c r="U24" s="403"/>
      <c r="W24" s="227" t="s">
        <v>17</v>
      </c>
      <c r="X24" s="167">
        <f>COUNTIFS('1. All Data'!$AA$3:$AA$134,"Improving Local Democracy council",'1. All Data'!$V$3:$V$134,"Numerical Outturn Within 5% Tolerance")</f>
        <v>0</v>
      </c>
      <c r="Y24" s="168" t="e">
        <f>X24/X34</f>
        <v>#DIV/0!</v>
      </c>
      <c r="Z24" s="401"/>
      <c r="AA24" s="168" t="e">
        <f t="shared" ref="AA24:AA29" si="2">X24/$X$35</f>
        <v>#DIV/0!</v>
      </c>
      <c r="AB24" s="403"/>
    </row>
    <row r="25" spans="2:28" ht="21" customHeight="1">
      <c r="B25" s="411" t="s">
        <v>26</v>
      </c>
      <c r="C25" s="414">
        <f>COUNTIFS('1. All Data'!$AA$3:$AA$134,"Improving Local Democracy",'1. All Data'!$H$3:$H$134,"In Danger of Falling Behind Target")</f>
        <v>0</v>
      </c>
      <c r="D25" s="404">
        <f>C25/C34</f>
        <v>0</v>
      </c>
      <c r="E25" s="404">
        <f>D25</f>
        <v>0</v>
      </c>
      <c r="F25" s="404">
        <f>C25/C35</f>
        <v>0</v>
      </c>
      <c r="G25" s="407">
        <f>F25</f>
        <v>0</v>
      </c>
      <c r="I25" s="411" t="s">
        <v>26</v>
      </c>
      <c r="J25" s="414">
        <f>COUNTIFS('1. All Data'!$AA$3:$AA$134,"Improving Local Democracy council",'1. All Data'!$M$3:$M$134,"In Danger of Falling Behind Target")</f>
        <v>0</v>
      </c>
      <c r="K25" s="404" t="e">
        <f>J25/J34</f>
        <v>#DIV/0!</v>
      </c>
      <c r="L25" s="404" t="e">
        <f>K25</f>
        <v>#DIV/0!</v>
      </c>
      <c r="M25" s="404" t="e">
        <f>J25/J35</f>
        <v>#DIV/0!</v>
      </c>
      <c r="N25" s="407" t="e">
        <f>M25</f>
        <v>#DIV/0!</v>
      </c>
      <c r="P25" s="411" t="s">
        <v>26</v>
      </c>
      <c r="Q25" s="414">
        <f>COUNTIFS('1. All Data'!$AA$3:$AA$134,"Improving Local Democracy council",'1. All Data'!$R$3:$R$134,"In Danger of Falling Behind Target")</f>
        <v>0</v>
      </c>
      <c r="R25" s="404" t="e">
        <f>Q25/Q34</f>
        <v>#DIV/0!</v>
      </c>
      <c r="S25" s="404" t="e">
        <f>R25</f>
        <v>#DIV/0!</v>
      </c>
      <c r="T25" s="404" t="e">
        <f>Q25/Q35</f>
        <v>#DIV/0!</v>
      </c>
      <c r="U25" s="407" t="e">
        <f>T25</f>
        <v>#DIV/0!</v>
      </c>
      <c r="W25" s="169" t="s">
        <v>18</v>
      </c>
      <c r="X25" s="170">
        <f>COUNTIFS('1. All Data'!$AA$3:$AA$134,"Improving Local Democracy council",'1. All Data'!$V$3:$V$134,"Numerical Outturn Within 10% Tolerance")</f>
        <v>0</v>
      </c>
      <c r="Y25" s="168" t="e">
        <f t="shared" ref="Y25:Y33" si="3">X25/$X$34</f>
        <v>#DIV/0!</v>
      </c>
      <c r="Z25" s="401" t="e">
        <f>SUM(Y25:Y27)</f>
        <v>#DIV/0!</v>
      </c>
      <c r="AA25" s="168" t="e">
        <f t="shared" si="2"/>
        <v>#DIV/0!</v>
      </c>
      <c r="AB25" s="410" t="e">
        <f>SUM(AA25:AA27)</f>
        <v>#DIV/0!</v>
      </c>
    </row>
    <row r="26" spans="2:28" ht="20.25" customHeight="1">
      <c r="B26" s="412"/>
      <c r="C26" s="415"/>
      <c r="D26" s="405"/>
      <c r="E26" s="405"/>
      <c r="F26" s="405"/>
      <c r="G26" s="408"/>
      <c r="I26" s="412"/>
      <c r="J26" s="415"/>
      <c r="K26" s="405"/>
      <c r="L26" s="405"/>
      <c r="M26" s="405"/>
      <c r="N26" s="408"/>
      <c r="P26" s="412"/>
      <c r="Q26" s="415"/>
      <c r="R26" s="405"/>
      <c r="S26" s="405"/>
      <c r="T26" s="405"/>
      <c r="U26" s="408"/>
      <c r="W26" s="169" t="s">
        <v>19</v>
      </c>
      <c r="X26" s="170">
        <f>COUNTIFS('1. All Data'!$AA$3:$AA$134,"Improving Local Democracy council",'1. All Data'!$V$3:$V$134,"Target Partially Met")</f>
        <v>0</v>
      </c>
      <c r="Y26" s="168" t="e">
        <f t="shared" si="3"/>
        <v>#DIV/0!</v>
      </c>
      <c r="Z26" s="401"/>
      <c r="AA26" s="168" t="e">
        <f t="shared" si="2"/>
        <v>#DIV/0!</v>
      </c>
      <c r="AB26" s="410"/>
    </row>
    <row r="27" spans="2:28" ht="18.75" customHeight="1">
      <c r="B27" s="413"/>
      <c r="C27" s="416"/>
      <c r="D27" s="406"/>
      <c r="E27" s="406"/>
      <c r="F27" s="406"/>
      <c r="G27" s="409"/>
      <c r="I27" s="413"/>
      <c r="J27" s="416"/>
      <c r="K27" s="406"/>
      <c r="L27" s="406"/>
      <c r="M27" s="406"/>
      <c r="N27" s="409"/>
      <c r="P27" s="413"/>
      <c r="Q27" s="416"/>
      <c r="R27" s="406"/>
      <c r="S27" s="406"/>
      <c r="T27" s="406"/>
      <c r="U27" s="409"/>
      <c r="W27" s="169" t="s">
        <v>22</v>
      </c>
      <c r="X27" s="170">
        <f>COUNTIFS('1. All Data'!$AA$3:$AA$134,"Improving Local Democracy council",'1. All Data'!$V$3:$V$134,"Completion Date Within Reasonable Tolerance")</f>
        <v>0</v>
      </c>
      <c r="Y27" s="168" t="e">
        <f t="shared" si="3"/>
        <v>#DIV/0!</v>
      </c>
      <c r="Z27" s="401"/>
      <c r="AA27" s="168" t="e">
        <f t="shared" si="2"/>
        <v>#DIV/0!</v>
      </c>
      <c r="AB27" s="410"/>
    </row>
    <row r="28" spans="2:28" ht="20.25" customHeight="1">
      <c r="B28" s="171" t="s">
        <v>27</v>
      </c>
      <c r="C28" s="167">
        <f>COUNTIFS('1. All Data'!$AA$3:$AA$134,"Improving Local Democracy",'1. All Data'!$H$3:$H$134,"Completed Behind Schedule")</f>
        <v>1</v>
      </c>
      <c r="D28" s="168">
        <f>C28/C34</f>
        <v>5.2631578947368418E-2</v>
      </c>
      <c r="E28" s="401">
        <f>D28+D29</f>
        <v>0.10526315789473684</v>
      </c>
      <c r="F28" s="168">
        <f>C28/C35</f>
        <v>7.6923076923076927E-2</v>
      </c>
      <c r="G28" s="402">
        <f>F28+F29</f>
        <v>0.15384615384615385</v>
      </c>
      <c r="I28" s="171" t="s">
        <v>27</v>
      </c>
      <c r="J28" s="167">
        <f>COUNTIFS('1. All Data'!$AA$3:$AA$134,"Improving Local Democracy council",'1. All Data'!$M$3:$M$134,"Completed Behind Schedule")</f>
        <v>0</v>
      </c>
      <c r="K28" s="168" t="e">
        <f>J28/J34</f>
        <v>#DIV/0!</v>
      </c>
      <c r="L28" s="401" t="e">
        <f>K28+K29</f>
        <v>#DIV/0!</v>
      </c>
      <c r="M28" s="168" t="e">
        <f>J28/J35</f>
        <v>#DIV/0!</v>
      </c>
      <c r="N28" s="402" t="e">
        <f>M28+M29</f>
        <v>#DIV/0!</v>
      </c>
      <c r="P28" s="171" t="s">
        <v>27</v>
      </c>
      <c r="Q28" s="167">
        <f>COUNTIFS('1. All Data'!$AA$3:$AA$134,"Improving Local Democracy council",'1. All Data'!$R$3:$R$134,"Completed Behind Schedule")</f>
        <v>0</v>
      </c>
      <c r="R28" s="168" t="e">
        <f>Q28/Q34</f>
        <v>#DIV/0!</v>
      </c>
      <c r="S28" s="401" t="e">
        <f>R28+R29</f>
        <v>#DIV/0!</v>
      </c>
      <c r="T28" s="168" t="e">
        <f>Q28/Q35</f>
        <v>#DIV/0!</v>
      </c>
      <c r="U28" s="402" t="e">
        <f>T28+T29</f>
        <v>#DIV/0!</v>
      </c>
      <c r="W28" s="171" t="s">
        <v>21</v>
      </c>
      <c r="X28" s="167">
        <f>COUNTIFS('1. All Data'!$AA$3:$AA$134,"Improving Local Democracy council",'1. All Data'!$V$3:$V$134,"Completed Significantly After Target Deadline")</f>
        <v>0</v>
      </c>
      <c r="Y28" s="168" t="e">
        <f t="shared" si="3"/>
        <v>#DIV/0!</v>
      </c>
      <c r="Z28" s="401" t="e">
        <f>SUM(Y28:Y29)</f>
        <v>#DIV/0!</v>
      </c>
      <c r="AA28" s="168" t="e">
        <f t="shared" si="2"/>
        <v>#DIV/0!</v>
      </c>
      <c r="AB28" s="402" t="e">
        <f>AA28+AA29</f>
        <v>#DIV/0!</v>
      </c>
    </row>
    <row r="29" spans="2:28" ht="20.25" customHeight="1">
      <c r="B29" s="171" t="s">
        <v>20</v>
      </c>
      <c r="C29" s="167">
        <f>COUNTIFS('1. All Data'!$AA$3:$AA$134,"Improving Local Democracy",'1. All Data'!$H$3:$H$134,"Off Target")</f>
        <v>1</v>
      </c>
      <c r="D29" s="168">
        <f>C29/C34</f>
        <v>5.2631578947368418E-2</v>
      </c>
      <c r="E29" s="401"/>
      <c r="F29" s="168">
        <f>C29/C35</f>
        <v>7.6923076923076927E-2</v>
      </c>
      <c r="G29" s="402"/>
      <c r="I29" s="171" t="s">
        <v>20</v>
      </c>
      <c r="J29" s="167">
        <f>COUNTIFS('1. All Data'!$AA$3:$AA$134,"Improving Local Democracy council",'1. All Data'!$M$3:$M$134,"Off Target")</f>
        <v>0</v>
      </c>
      <c r="K29" s="168" t="e">
        <f>J29/J34</f>
        <v>#DIV/0!</v>
      </c>
      <c r="L29" s="401"/>
      <c r="M29" s="168" t="e">
        <f>J29/J35</f>
        <v>#DIV/0!</v>
      </c>
      <c r="N29" s="402"/>
      <c r="P29" s="171" t="s">
        <v>20</v>
      </c>
      <c r="Q29" s="167">
        <f>COUNTIFS('1. All Data'!$AA$3:$AA$134,"Improving Local Democracy council",'1. All Data'!$R$3:$R$134,"Off Target")</f>
        <v>0</v>
      </c>
      <c r="R29" s="168" t="e">
        <f>Q29/Q34</f>
        <v>#DIV/0!</v>
      </c>
      <c r="S29" s="401"/>
      <c r="T29" s="168" t="e">
        <f>Q29/Q35</f>
        <v>#DIV/0!</v>
      </c>
      <c r="U29" s="402"/>
      <c r="W29" s="171" t="s">
        <v>20</v>
      </c>
      <c r="X29" s="167">
        <f>COUNTIFS('1. All Data'!$AA$3:$AA$134,"Improving Local Democracy council",'1. All Data'!$V$3:$V$134,"Off Target")</f>
        <v>0</v>
      </c>
      <c r="Y29" s="168" t="e">
        <f t="shared" si="3"/>
        <v>#DIV/0!</v>
      </c>
      <c r="Z29" s="401"/>
      <c r="AA29" s="168" t="e">
        <f t="shared" si="2"/>
        <v>#DIV/0!</v>
      </c>
      <c r="AB29" s="402"/>
    </row>
    <row r="30" spans="2:28" ht="15" customHeight="1">
      <c r="B30" s="172" t="s">
        <v>43</v>
      </c>
      <c r="C30" s="167">
        <f>COUNTIFS('1. All Data'!$AA$3:$AA$134,"Improving Local Democracy",'1. All Data'!$H$3:$H$134,"Not yet due")</f>
        <v>6</v>
      </c>
      <c r="D30" s="173">
        <f>C30/C34</f>
        <v>0.31578947368421051</v>
      </c>
      <c r="E30" s="173">
        <f>D30</f>
        <v>0.31578947368421051</v>
      </c>
      <c r="F30" s="174"/>
      <c r="G30" s="58"/>
      <c r="I30" s="172" t="s">
        <v>43</v>
      </c>
      <c r="J30" s="167">
        <f>COUNTIFS('1. All Data'!$AA$3:$AA$134,"Improving Local Democracy council",'1. All Data'!$M$3:$M$134,"Not yet due")</f>
        <v>0</v>
      </c>
      <c r="K30" s="173" t="e">
        <f>J30/J34</f>
        <v>#DIV/0!</v>
      </c>
      <c r="L30" s="173" t="e">
        <f>K30</f>
        <v>#DIV/0!</v>
      </c>
      <c r="M30" s="174"/>
      <c r="N30" s="58"/>
      <c r="P30" s="172" t="s">
        <v>43</v>
      </c>
      <c r="Q30" s="167">
        <f>COUNTIFS('1. All Data'!$AA$3:$AA$134,"Improving Local Democracy council",'1. All Data'!$R$3:$R$134,"Not yet due")</f>
        <v>0</v>
      </c>
      <c r="R30" s="173" t="e">
        <f>Q30/Q34</f>
        <v>#DIV/0!</v>
      </c>
      <c r="S30" s="173" t="e">
        <f>R30</f>
        <v>#DIV/0!</v>
      </c>
      <c r="T30" s="174"/>
      <c r="U30" s="58"/>
      <c r="W30" s="172" t="s">
        <v>43</v>
      </c>
      <c r="X30" s="167">
        <f>COUNTIFS('1. All Data'!$AA$3:$AA$134,"Improving Local Democracy council",'1. All Data'!$V$3:$V$134,"Not yet due")</f>
        <v>0</v>
      </c>
      <c r="Y30" s="168" t="e">
        <f t="shared" si="3"/>
        <v>#DIV/0!</v>
      </c>
      <c r="Z30" s="168" t="e">
        <f>Y30</f>
        <v>#DIV/0!</v>
      </c>
      <c r="AA30" s="174"/>
      <c r="AB30" s="58"/>
    </row>
    <row r="31" spans="2:28" ht="15" customHeight="1">
      <c r="B31" s="172" t="s">
        <v>15</v>
      </c>
      <c r="C31" s="167">
        <f>COUNTIFS('1. All Data'!$AA$3:$AA$134,"Improving Local Democracy",'1. All Data'!$H$3:$H$134,"update not provided")</f>
        <v>0</v>
      </c>
      <c r="D31" s="173">
        <f>C31/C34</f>
        <v>0</v>
      </c>
      <c r="E31" s="173">
        <f>D31</f>
        <v>0</v>
      </c>
      <c r="F31" s="174"/>
      <c r="G31" s="2"/>
      <c r="I31" s="172" t="s">
        <v>15</v>
      </c>
      <c r="J31" s="167">
        <f>COUNTIFS('1. All Data'!$AA$3:$AA$134,"Improving Local Democracy council",'1. All Data'!$M$3:$M$134,"update not provided")</f>
        <v>0</v>
      </c>
      <c r="K31" s="173" t="e">
        <f>J31/J34</f>
        <v>#DIV/0!</v>
      </c>
      <c r="L31" s="173" t="e">
        <f>K31</f>
        <v>#DIV/0!</v>
      </c>
      <c r="M31" s="174"/>
      <c r="N31" s="2"/>
      <c r="P31" s="172" t="s">
        <v>15</v>
      </c>
      <c r="Q31" s="167">
        <f>COUNTIFS('1. All Data'!$AA$3:$AA$134,"Improving Local Democracy council",'1. All Data'!$R$3:$R$134,"update not provided")</f>
        <v>0</v>
      </c>
      <c r="R31" s="173" t="e">
        <f>Q31/Q34</f>
        <v>#DIV/0!</v>
      </c>
      <c r="S31" s="173" t="e">
        <f>R31</f>
        <v>#DIV/0!</v>
      </c>
      <c r="T31" s="174"/>
      <c r="U31" s="2"/>
      <c r="W31" s="172" t="s">
        <v>15</v>
      </c>
      <c r="X31" s="167">
        <f>COUNTIFS('1. All Data'!$AA$3:$AA$134,"Improving Local Democracy council",'1. All Data'!$V$3:$V$134,"update not provided")</f>
        <v>0</v>
      </c>
      <c r="Y31" s="168" t="e">
        <f t="shared" si="3"/>
        <v>#DIV/0!</v>
      </c>
      <c r="Z31" s="168" t="e">
        <f>Y31</f>
        <v>#DIV/0!</v>
      </c>
      <c r="AA31" s="174"/>
      <c r="AB31" s="2"/>
    </row>
    <row r="32" spans="2:28" ht="15.75" customHeight="1">
      <c r="B32" s="175" t="s">
        <v>23</v>
      </c>
      <c r="C32" s="167">
        <f>COUNTIFS('1. All Data'!$AA$3:$AA$134,"Improving Local Democracy",'1. All Data'!$H$3:$H$134,"Deferred")</f>
        <v>0</v>
      </c>
      <c r="D32" s="176">
        <f>C32/C34</f>
        <v>0</v>
      </c>
      <c r="E32" s="176">
        <f>D32</f>
        <v>0</v>
      </c>
      <c r="F32" s="177"/>
      <c r="G32" s="58"/>
      <c r="I32" s="175" t="s">
        <v>23</v>
      </c>
      <c r="J32" s="167">
        <f>COUNTIFS('1. All Data'!$AA$3:$AA$134,"Improving Local Democracy council",'1. All Data'!$M$3:$M$134,"Deferred")</f>
        <v>0</v>
      </c>
      <c r="K32" s="176" t="e">
        <f>J32/J34</f>
        <v>#DIV/0!</v>
      </c>
      <c r="L32" s="176" t="e">
        <f>K32</f>
        <v>#DIV/0!</v>
      </c>
      <c r="M32" s="177"/>
      <c r="N32" s="58"/>
      <c r="P32" s="175" t="s">
        <v>23</v>
      </c>
      <c r="Q32" s="167">
        <f>COUNTIFS('1. All Data'!$AA$3:$AA$134,"Improving Local Democracy council",'1. All Data'!$R$3:$R$134,"Deferred")</f>
        <v>0</v>
      </c>
      <c r="R32" s="176" t="e">
        <f>Q32/Q34</f>
        <v>#DIV/0!</v>
      </c>
      <c r="S32" s="176" t="e">
        <f>R32</f>
        <v>#DIV/0!</v>
      </c>
      <c r="T32" s="177"/>
      <c r="U32" s="58"/>
      <c r="W32" s="175" t="s">
        <v>23</v>
      </c>
      <c r="X32" s="167">
        <f>COUNTIFS('1. All Data'!$AA$3:$AA$134,"Improving Local Democracy8 council",'1. All Data'!$V$3:$V$134,"Deferred")</f>
        <v>0</v>
      </c>
      <c r="Y32" s="168" t="e">
        <f t="shared" si="3"/>
        <v>#DIV/0!</v>
      </c>
      <c r="Z32" s="168" t="e">
        <f>Y32</f>
        <v>#DIV/0!</v>
      </c>
      <c r="AA32" s="177"/>
      <c r="AB32" s="58"/>
    </row>
    <row r="33" spans="2:30" ht="15.75" customHeight="1">
      <c r="B33" s="175" t="s">
        <v>24</v>
      </c>
      <c r="C33" s="167">
        <f>COUNTIFS('1. All Data'!$AA$3:$AA$134,"Improving Local Democracy",'1. All Data'!$H$3:$H$134,"Deleted")</f>
        <v>0</v>
      </c>
      <c r="D33" s="176">
        <f>C33/C34</f>
        <v>0</v>
      </c>
      <c r="E33" s="176">
        <f>D33</f>
        <v>0</v>
      </c>
      <c r="F33" s="177"/>
      <c r="G33" s="3"/>
      <c r="I33" s="175" t="s">
        <v>24</v>
      </c>
      <c r="J33" s="167">
        <f>COUNTIFS('1. All Data'!$AA$3:$AA$134,"Improving Local Democracy council",'1. All Data'!$M$3:$M$134,"Deleted")</f>
        <v>0</v>
      </c>
      <c r="K33" s="176" t="e">
        <f>J33/J34</f>
        <v>#DIV/0!</v>
      </c>
      <c r="L33" s="176" t="e">
        <f>K33</f>
        <v>#DIV/0!</v>
      </c>
      <c r="M33" s="177"/>
      <c r="N33" s="3"/>
      <c r="P33" s="175" t="s">
        <v>24</v>
      </c>
      <c r="Q33" s="167">
        <f>COUNTIFS('1. All Data'!$AA$3:$AA$134,"Improving Local Democracy council",'1. All Data'!$R$3:$R$134,"Deleted")</f>
        <v>0</v>
      </c>
      <c r="R33" s="176" t="e">
        <f>Q33/Q34</f>
        <v>#DIV/0!</v>
      </c>
      <c r="S33" s="176" t="e">
        <f>R33</f>
        <v>#DIV/0!</v>
      </c>
      <c r="T33" s="177"/>
      <c r="U33" s="3"/>
      <c r="W33" s="175" t="s">
        <v>24</v>
      </c>
      <c r="X33" s="167">
        <f>COUNTIFS('1. All Data'!$AA$3:$AA$134,"Improving Local Democracy council",'1. All Data'!$V$3:$V$134,"Deleted")</f>
        <v>0</v>
      </c>
      <c r="Y33" s="168" t="e">
        <f t="shared" si="3"/>
        <v>#DIV/0!</v>
      </c>
      <c r="Z33" s="168" t="e">
        <f>Y33</f>
        <v>#DIV/0!</v>
      </c>
      <c r="AA33" s="177"/>
      <c r="AD33" s="3"/>
    </row>
    <row r="34" spans="2:30" ht="15.75" customHeight="1">
      <c r="B34" s="178" t="s">
        <v>45</v>
      </c>
      <c r="C34" s="179">
        <f>SUM(C23:C33)</f>
        <v>19</v>
      </c>
      <c r="D34" s="177"/>
      <c r="E34" s="177"/>
      <c r="F34" s="58"/>
      <c r="G34" s="58"/>
      <c r="I34" s="178" t="s">
        <v>45</v>
      </c>
      <c r="J34" s="179">
        <f>SUM(J23:J33)</f>
        <v>0</v>
      </c>
      <c r="K34" s="177"/>
      <c r="L34" s="177"/>
      <c r="M34" s="58"/>
      <c r="N34" s="58"/>
      <c r="P34" s="178" t="s">
        <v>45</v>
      </c>
      <c r="Q34" s="179">
        <f>SUM(Q23:Q33)</f>
        <v>0</v>
      </c>
      <c r="R34" s="177"/>
      <c r="S34" s="177"/>
      <c r="T34" s="58"/>
      <c r="U34" s="58"/>
      <c r="W34" s="178" t="s">
        <v>45</v>
      </c>
      <c r="X34" s="179">
        <f>SUM(X23:X33)</f>
        <v>0</v>
      </c>
      <c r="Y34" s="177"/>
      <c r="Z34" s="177"/>
      <c r="AA34" s="58"/>
      <c r="AB34" s="58"/>
    </row>
    <row r="35" spans="2:30" ht="15.75" customHeight="1">
      <c r="B35" s="178" t="s">
        <v>46</v>
      </c>
      <c r="C35" s="179">
        <f>C34-C33-C32-C31-C30</f>
        <v>13</v>
      </c>
      <c r="D35" s="58"/>
      <c r="E35" s="58"/>
      <c r="F35" s="58"/>
      <c r="G35" s="58"/>
      <c r="I35" s="178" t="s">
        <v>46</v>
      </c>
      <c r="J35" s="179">
        <f>J34-J33-J32-J31-J30</f>
        <v>0</v>
      </c>
      <c r="K35" s="58"/>
      <c r="L35" s="58"/>
      <c r="M35" s="58"/>
      <c r="N35" s="58"/>
      <c r="P35" s="178" t="s">
        <v>46</v>
      </c>
      <c r="Q35" s="179">
        <f>Q34-Q33-Q32-Q31-Q30</f>
        <v>0</v>
      </c>
      <c r="R35" s="58"/>
      <c r="S35" s="58"/>
      <c r="T35" s="58"/>
      <c r="U35" s="58"/>
      <c r="W35" s="178" t="s">
        <v>46</v>
      </c>
      <c r="X35" s="179">
        <f>X34-X33-X32-X31-X30</f>
        <v>0</v>
      </c>
      <c r="Y35" s="58"/>
      <c r="Z35" s="58"/>
      <c r="AA35" s="58"/>
      <c r="AB35" s="58"/>
    </row>
    <row r="36" spans="2:30" ht="15.75" hidden="1" customHeight="1">
      <c r="W36" s="185"/>
      <c r="X36" s="165"/>
      <c r="Y36" s="165"/>
      <c r="Z36" s="165"/>
      <c r="AA36" s="58"/>
      <c r="AB36" s="186"/>
    </row>
    <row r="37" spans="2:30" ht="15.75" hidden="1" customHeight="1"/>
    <row r="38" spans="2:30" s="166" customFormat="1" ht="15.75" customHeight="1">
      <c r="B38" s="187"/>
      <c r="C38" s="165"/>
      <c r="D38" s="165"/>
      <c r="E38" s="165"/>
      <c r="F38" s="58"/>
      <c r="G38" s="165"/>
      <c r="H38" s="165"/>
      <c r="I38" s="187"/>
      <c r="J38" s="165"/>
      <c r="K38" s="165"/>
      <c r="L38" s="165"/>
      <c r="M38" s="58"/>
      <c r="N38" s="165"/>
      <c r="O38" s="165"/>
      <c r="P38" s="187"/>
      <c r="Q38" s="165"/>
      <c r="R38" s="165"/>
      <c r="S38" s="165"/>
      <c r="T38" s="58"/>
      <c r="U38" s="165"/>
      <c r="V38" s="165"/>
      <c r="W38" s="165"/>
      <c r="X38" s="165"/>
      <c r="Y38" s="165"/>
      <c r="Z38" s="165"/>
      <c r="AA38" s="165"/>
      <c r="AB38" s="186"/>
    </row>
    <row r="39" spans="2:30" ht="15.75" customHeight="1">
      <c r="B39" s="188" t="s">
        <v>122</v>
      </c>
      <c r="C39" s="189"/>
      <c r="D39" s="189"/>
      <c r="E39" s="189"/>
      <c r="F39" s="190"/>
      <c r="G39" s="191"/>
      <c r="I39" s="188" t="s">
        <v>122</v>
      </c>
      <c r="J39" s="189"/>
      <c r="K39" s="189"/>
      <c r="L39" s="189"/>
      <c r="M39" s="190"/>
      <c r="N39" s="191"/>
      <c r="P39" s="188" t="s">
        <v>122</v>
      </c>
      <c r="Q39" s="189"/>
      <c r="R39" s="189"/>
      <c r="S39" s="189"/>
      <c r="T39" s="190"/>
      <c r="U39" s="191"/>
      <c r="W39" s="188" t="s">
        <v>122</v>
      </c>
      <c r="X39" s="162"/>
      <c r="Y39" s="162"/>
      <c r="Z39" s="162"/>
      <c r="AA39" s="162"/>
      <c r="AB39" s="163"/>
    </row>
    <row r="40" spans="2:30" ht="36" customHeight="1">
      <c r="B40" s="164" t="s">
        <v>36</v>
      </c>
      <c r="C40" s="164" t="s">
        <v>37</v>
      </c>
      <c r="D40" s="164" t="s">
        <v>38</v>
      </c>
      <c r="E40" s="164" t="s">
        <v>39</v>
      </c>
      <c r="F40" s="164" t="s">
        <v>40</v>
      </c>
      <c r="G40" s="164" t="s">
        <v>41</v>
      </c>
      <c r="I40" s="164" t="s">
        <v>36</v>
      </c>
      <c r="J40" s="164" t="s">
        <v>37</v>
      </c>
      <c r="K40" s="164" t="s">
        <v>38</v>
      </c>
      <c r="L40" s="164" t="s">
        <v>39</v>
      </c>
      <c r="M40" s="164" t="s">
        <v>40</v>
      </c>
      <c r="N40" s="164" t="s">
        <v>41</v>
      </c>
      <c r="P40" s="164" t="s">
        <v>36</v>
      </c>
      <c r="Q40" s="164" t="s">
        <v>37</v>
      </c>
      <c r="R40" s="164" t="s">
        <v>38</v>
      </c>
      <c r="S40" s="164" t="s">
        <v>39</v>
      </c>
      <c r="T40" s="164" t="s">
        <v>40</v>
      </c>
      <c r="U40" s="164" t="s">
        <v>41</v>
      </c>
      <c r="W40" s="164" t="s">
        <v>36</v>
      </c>
      <c r="X40" s="164" t="s">
        <v>37</v>
      </c>
      <c r="Y40" s="164" t="s">
        <v>38</v>
      </c>
      <c r="Z40" s="164" t="s">
        <v>39</v>
      </c>
      <c r="AA40" s="164" t="s">
        <v>40</v>
      </c>
      <c r="AB40" s="164" t="s">
        <v>41</v>
      </c>
    </row>
    <row r="41" spans="2:30" ht="18.75" customHeight="1">
      <c r="B41" s="227" t="s">
        <v>42</v>
      </c>
      <c r="C41" s="167">
        <f>COUNTIFS('1. All Data'!$AA$3:$AA$134,"Creating a prosperous East Staffordshire",'1. All Data'!$H$3:$H$134,"Fully Achieved")</f>
        <v>1</v>
      </c>
      <c r="D41" s="168">
        <f>C41/C52</f>
        <v>4.5454545454545456E-2</v>
      </c>
      <c r="E41" s="401">
        <f>D41+D42</f>
        <v>0.77272727272727271</v>
      </c>
      <c r="F41" s="168">
        <f>C41/C53</f>
        <v>5.5555555555555552E-2</v>
      </c>
      <c r="G41" s="403">
        <f>F41+F42</f>
        <v>0.94444444444444442</v>
      </c>
      <c r="I41" s="227" t="s">
        <v>42</v>
      </c>
      <c r="J41" s="167">
        <f>COUNTIFS('1. All Data'!$AA$3:$AA$134,"Creating a prosperous East Staffordshire",'1. All Data'!$M$3:$M$134,"Fully Achieved")</f>
        <v>0</v>
      </c>
      <c r="K41" s="168" t="e">
        <f>J41/J52</f>
        <v>#DIV/0!</v>
      </c>
      <c r="L41" s="401" t="e">
        <f>K41+K42</f>
        <v>#DIV/0!</v>
      </c>
      <c r="M41" s="168" t="e">
        <f>J41/J53</f>
        <v>#DIV/0!</v>
      </c>
      <c r="N41" s="403" t="e">
        <f>M41+M42</f>
        <v>#DIV/0!</v>
      </c>
      <c r="P41" s="227" t="s">
        <v>42</v>
      </c>
      <c r="Q41" s="167">
        <f>COUNTIFS('1. All Data'!$AA$3:$AA$134,"Creating a prosperous East Staffordshire",'1. All Data'!$R$3:$R$134,"Fully Achieved")</f>
        <v>0</v>
      </c>
      <c r="R41" s="168" t="e">
        <f>Q41/Q52</f>
        <v>#DIV/0!</v>
      </c>
      <c r="S41" s="401" t="e">
        <f>R41+R42</f>
        <v>#DIV/0!</v>
      </c>
      <c r="T41" s="168" t="e">
        <f>Q41/Q53</f>
        <v>#DIV/0!</v>
      </c>
      <c r="U41" s="403" t="e">
        <f>T41+T42</f>
        <v>#DIV/0!</v>
      </c>
      <c r="W41" s="227" t="s">
        <v>42</v>
      </c>
      <c r="X41" s="167">
        <f>COUNTIFS('1. All Data'!$AA$3:$AA$134,"Creating a prosperous East Staffordshire",'1. All Data'!$V$3:$V$134,"Fully Achieved")</f>
        <v>0</v>
      </c>
      <c r="Y41" s="168" t="e">
        <f>X41/X52</f>
        <v>#DIV/0!</v>
      </c>
      <c r="Z41" s="401" t="e">
        <f>Y41+Y42</f>
        <v>#DIV/0!</v>
      </c>
      <c r="AA41" s="168" t="e">
        <f>X41/X53</f>
        <v>#DIV/0!</v>
      </c>
      <c r="AB41" s="403" t="e">
        <f>AA41+AA42</f>
        <v>#DIV/0!</v>
      </c>
    </row>
    <row r="42" spans="2:30" ht="18.75" customHeight="1">
      <c r="B42" s="227" t="s">
        <v>25</v>
      </c>
      <c r="C42" s="167">
        <f>COUNTIFS('1. All Data'!$AA$3:$AA$134,"Creating a prosperous East Staffordshire",'1. All Data'!$H$3:$H$134,"On Track to be achieved")</f>
        <v>16</v>
      </c>
      <c r="D42" s="168">
        <f>C42/C52</f>
        <v>0.72727272727272729</v>
      </c>
      <c r="E42" s="401"/>
      <c r="F42" s="168">
        <f>C42/C53</f>
        <v>0.88888888888888884</v>
      </c>
      <c r="G42" s="403"/>
      <c r="I42" s="227" t="s">
        <v>25</v>
      </c>
      <c r="J42" s="167">
        <f>COUNTIFS('1. All Data'!$AA$3:$AA$134,"Creating a prosperous East Staffordshire",'1. All Data'!$M$3:$M$134,"On Track to be achieved")</f>
        <v>0</v>
      </c>
      <c r="K42" s="168" t="e">
        <f>J42/J52</f>
        <v>#DIV/0!</v>
      </c>
      <c r="L42" s="401"/>
      <c r="M42" s="168" t="e">
        <f>J42/J53</f>
        <v>#DIV/0!</v>
      </c>
      <c r="N42" s="403"/>
      <c r="P42" s="227" t="s">
        <v>25</v>
      </c>
      <c r="Q42" s="167">
        <f>COUNTIFS('1. All Data'!$AA$3:$AA$134,"Creating a prosperous East Staffordshire",'1. All Data'!$R$3:$R$134,"On Track to be achieved")</f>
        <v>0</v>
      </c>
      <c r="R42" s="168" t="e">
        <f>Q42/Q52</f>
        <v>#DIV/0!</v>
      </c>
      <c r="S42" s="401"/>
      <c r="T42" s="168" t="e">
        <f>Q42/Q53</f>
        <v>#DIV/0!</v>
      </c>
      <c r="U42" s="403"/>
      <c r="W42" s="227" t="s">
        <v>17</v>
      </c>
      <c r="X42" s="167">
        <f>COUNTIFS('1. All Data'!$AA$3:$AA$134,"Creating a prosperous East Staffordshire",'1. All Data'!$V$3:$V$134,"Numerical Outturn Within 5% Tolerance")</f>
        <v>0</v>
      </c>
      <c r="Y42" s="168" t="e">
        <f>X42/X52</f>
        <v>#DIV/0!</v>
      </c>
      <c r="Z42" s="401"/>
      <c r="AA42" s="168" t="e">
        <f>X42/X53</f>
        <v>#DIV/0!</v>
      </c>
      <c r="AB42" s="403"/>
    </row>
    <row r="43" spans="2:30" ht="19.5" customHeight="1">
      <c r="B43" s="411" t="s">
        <v>26</v>
      </c>
      <c r="C43" s="414">
        <f>COUNTIFS('1. All Data'!$AA$3:$AA$134,"Creating a prosperous East Staffordshire",'1. All Data'!$H$3:$H$134,"In Danger of Falling Behind Target")</f>
        <v>1</v>
      </c>
      <c r="D43" s="404">
        <f>C43/C52</f>
        <v>4.5454545454545456E-2</v>
      </c>
      <c r="E43" s="404">
        <f>D43</f>
        <v>4.5454545454545456E-2</v>
      </c>
      <c r="F43" s="404">
        <f>C43/C53</f>
        <v>5.5555555555555552E-2</v>
      </c>
      <c r="G43" s="407">
        <f>F43</f>
        <v>5.5555555555555552E-2</v>
      </c>
      <c r="I43" s="411" t="s">
        <v>26</v>
      </c>
      <c r="J43" s="414">
        <f>COUNTIFS('1. All Data'!$AA$3:$AA$134,"Creating a prosperous East Staffordshire",'1. All Data'!$M$3:$M$134,"In Danger of Falling Behind Target")</f>
        <v>0</v>
      </c>
      <c r="K43" s="404" t="e">
        <f>J43/J52</f>
        <v>#DIV/0!</v>
      </c>
      <c r="L43" s="404" t="e">
        <f>K43</f>
        <v>#DIV/0!</v>
      </c>
      <c r="M43" s="404" t="e">
        <f>J43/J53</f>
        <v>#DIV/0!</v>
      </c>
      <c r="N43" s="407" t="e">
        <f>M43</f>
        <v>#DIV/0!</v>
      </c>
      <c r="P43" s="411" t="s">
        <v>26</v>
      </c>
      <c r="Q43" s="414">
        <f>COUNTIFS('1. All Data'!$AA$3:$AA$134,"Creating a prosperous East Staffordshire",'1. All Data'!$R$3:$R$134,"In Danger of Falling Behind Target")</f>
        <v>0</v>
      </c>
      <c r="R43" s="404" t="e">
        <f>Q43/Q52</f>
        <v>#DIV/0!</v>
      </c>
      <c r="S43" s="404" t="e">
        <f>R43</f>
        <v>#DIV/0!</v>
      </c>
      <c r="T43" s="404" t="e">
        <f>Q43/Q53</f>
        <v>#DIV/0!</v>
      </c>
      <c r="U43" s="407" t="e">
        <f>T43</f>
        <v>#DIV/0!</v>
      </c>
      <c r="W43" s="169" t="s">
        <v>18</v>
      </c>
      <c r="X43" s="170">
        <f>COUNTIFS('1. All Data'!$AA$3:$AA$134,"Creating a prosperous East Staffordshire",'1. All Data'!$V$3:$V$134,"Numerical Outturn Within 10% Tolerance")</f>
        <v>0</v>
      </c>
      <c r="Y43" s="168" t="e">
        <f>X43/X52</f>
        <v>#DIV/0!</v>
      </c>
      <c r="Z43" s="401" t="e">
        <f>SUM(Y43:Y45)</f>
        <v>#DIV/0!</v>
      </c>
      <c r="AA43" s="168" t="e">
        <f>X43/X53</f>
        <v>#DIV/0!</v>
      </c>
      <c r="AB43" s="410" t="e">
        <f>SUM(AA43:AA45)</f>
        <v>#DIV/0!</v>
      </c>
    </row>
    <row r="44" spans="2:30" ht="19.5" customHeight="1">
      <c r="B44" s="412"/>
      <c r="C44" s="415"/>
      <c r="D44" s="405"/>
      <c r="E44" s="405"/>
      <c r="F44" s="405"/>
      <c r="G44" s="408"/>
      <c r="I44" s="412"/>
      <c r="J44" s="415"/>
      <c r="K44" s="405"/>
      <c r="L44" s="405"/>
      <c r="M44" s="405"/>
      <c r="N44" s="408"/>
      <c r="P44" s="412"/>
      <c r="Q44" s="415"/>
      <c r="R44" s="405"/>
      <c r="S44" s="405"/>
      <c r="T44" s="405"/>
      <c r="U44" s="408"/>
      <c r="W44" s="169" t="s">
        <v>19</v>
      </c>
      <c r="X44" s="170">
        <f>COUNTIFS('1. All Data'!$AA$3:$AA$134,"Creating a prosperous East Staffordshire",'1. All Data'!$V$3:$V$134,"Target Partially Met")</f>
        <v>0</v>
      </c>
      <c r="Y44" s="168" t="e">
        <f>X44/X52</f>
        <v>#DIV/0!</v>
      </c>
      <c r="Z44" s="401"/>
      <c r="AA44" s="168" t="e">
        <f>X44/X53</f>
        <v>#DIV/0!</v>
      </c>
      <c r="AB44" s="410"/>
    </row>
    <row r="45" spans="2:30" ht="19.5" customHeight="1">
      <c r="B45" s="413"/>
      <c r="C45" s="416"/>
      <c r="D45" s="406"/>
      <c r="E45" s="406"/>
      <c r="F45" s="406"/>
      <c r="G45" s="409"/>
      <c r="I45" s="413"/>
      <c r="J45" s="416"/>
      <c r="K45" s="406"/>
      <c r="L45" s="406"/>
      <c r="M45" s="406"/>
      <c r="N45" s="409"/>
      <c r="P45" s="413"/>
      <c r="Q45" s="416"/>
      <c r="R45" s="406"/>
      <c r="S45" s="406"/>
      <c r="T45" s="406"/>
      <c r="U45" s="409"/>
      <c r="W45" s="169" t="s">
        <v>22</v>
      </c>
      <c r="X45" s="170">
        <f>COUNTIFS('1. All Data'!$AA$3:$AA$134,"Creating a prosperous East Staffordshire",'1. All Data'!$V$3:$V$134,"Completion Date Within Reasonable Tolerance")</f>
        <v>0</v>
      </c>
      <c r="Y45" s="168" t="e">
        <f>X45/X52</f>
        <v>#DIV/0!</v>
      </c>
      <c r="Z45" s="401"/>
      <c r="AA45" s="168" t="e">
        <f>X45/X53</f>
        <v>#DIV/0!</v>
      </c>
      <c r="AB45" s="410"/>
    </row>
    <row r="46" spans="2:30" ht="22.5" customHeight="1">
      <c r="B46" s="171" t="s">
        <v>27</v>
      </c>
      <c r="C46" s="167">
        <f>COUNTIFS('1. All Data'!$AA$3:$AA$134,"Creating a prosperous East Staffordshire",'1. All Data'!$H$3:$H$134,"Completed Behind Schedule")</f>
        <v>0</v>
      </c>
      <c r="D46" s="168">
        <f>C46/C52</f>
        <v>0</v>
      </c>
      <c r="E46" s="401">
        <f>D46+D47</f>
        <v>0</v>
      </c>
      <c r="F46" s="168">
        <f>C46/C53</f>
        <v>0</v>
      </c>
      <c r="G46" s="402">
        <f>F46+F47</f>
        <v>0</v>
      </c>
      <c r="I46" s="171" t="s">
        <v>27</v>
      </c>
      <c r="J46" s="167">
        <f>COUNTIFS('1. All Data'!$AA$3:$AA$134,"Creating a prosperous East Staffordshire",'1. All Data'!$M$3:$M$134,"Completed Behind Schedule")</f>
        <v>0</v>
      </c>
      <c r="K46" s="168" t="e">
        <f>J46/J52</f>
        <v>#DIV/0!</v>
      </c>
      <c r="L46" s="401" t="e">
        <f>K46+K47</f>
        <v>#DIV/0!</v>
      </c>
      <c r="M46" s="168" t="e">
        <f>J46/J53</f>
        <v>#DIV/0!</v>
      </c>
      <c r="N46" s="402" t="e">
        <f>M46+M47</f>
        <v>#DIV/0!</v>
      </c>
      <c r="P46" s="171" t="s">
        <v>27</v>
      </c>
      <c r="Q46" s="167">
        <f>COUNTIFS('1. All Data'!$AA$3:$AA$134,"Creating a prosperous East Staffordshire",'1. All Data'!$R$3:$R$134,"Completed Behind Schedule")</f>
        <v>0</v>
      </c>
      <c r="R46" s="168" t="e">
        <f>Q46/Q52</f>
        <v>#DIV/0!</v>
      </c>
      <c r="S46" s="401" t="e">
        <f>R46+R47</f>
        <v>#DIV/0!</v>
      </c>
      <c r="T46" s="168" t="e">
        <f>Q46/Q53</f>
        <v>#DIV/0!</v>
      </c>
      <c r="U46" s="402" t="e">
        <f>T46+T47</f>
        <v>#DIV/0!</v>
      </c>
      <c r="W46" s="171" t="s">
        <v>21</v>
      </c>
      <c r="X46" s="167">
        <f>COUNTIFS('1. All Data'!$AA$3:$AA$134,"Creating a prosperous East Staffordshire",'1. All Data'!$V$3:$V$134,"Completed Significantly After Target Deadline")</f>
        <v>0</v>
      </c>
      <c r="Y46" s="168" t="e">
        <f>X46/X52</f>
        <v>#DIV/0!</v>
      </c>
      <c r="Z46" s="401" t="e">
        <f>SUM(Y46:Y47)</f>
        <v>#DIV/0!</v>
      </c>
      <c r="AA46" s="168" t="e">
        <f>X46/X53</f>
        <v>#DIV/0!</v>
      </c>
      <c r="AB46" s="402" t="e">
        <f>AA46+AA47</f>
        <v>#DIV/0!</v>
      </c>
    </row>
    <row r="47" spans="2:30" ht="22.5" customHeight="1">
      <c r="B47" s="171" t="s">
        <v>20</v>
      </c>
      <c r="C47" s="167">
        <f>COUNTIFS('1. All Data'!$AA$3:$AA$134,"Creating a prosperous East Staffordshire",'1. All Data'!$H$3:$H$134,"Off Target")</f>
        <v>0</v>
      </c>
      <c r="D47" s="168">
        <f>C47/C52</f>
        <v>0</v>
      </c>
      <c r="E47" s="401"/>
      <c r="F47" s="168">
        <f>C47/C53</f>
        <v>0</v>
      </c>
      <c r="G47" s="402"/>
      <c r="I47" s="171" t="s">
        <v>20</v>
      </c>
      <c r="J47" s="167">
        <f>COUNTIFS('1. All Data'!$AA$3:$AA$134,"Creating a prosperous East Staffordshire",'1. All Data'!$M$3:$M$134,"Off Target")</f>
        <v>0</v>
      </c>
      <c r="K47" s="168" t="e">
        <f>J47/J52</f>
        <v>#DIV/0!</v>
      </c>
      <c r="L47" s="401"/>
      <c r="M47" s="168" t="e">
        <f>J47/J53</f>
        <v>#DIV/0!</v>
      </c>
      <c r="N47" s="402"/>
      <c r="P47" s="171" t="s">
        <v>20</v>
      </c>
      <c r="Q47" s="167">
        <f>COUNTIFS('1. All Data'!$AA$3:$AA$134,"Creating a prosperous East Staffordshire",'1. All Data'!$R$3:$R$134,"Off Target")</f>
        <v>0</v>
      </c>
      <c r="R47" s="168" t="e">
        <f>Q47/Q52</f>
        <v>#DIV/0!</v>
      </c>
      <c r="S47" s="401"/>
      <c r="T47" s="168" t="e">
        <f>Q47/Q53</f>
        <v>#DIV/0!</v>
      </c>
      <c r="U47" s="402"/>
      <c r="W47" s="171" t="s">
        <v>20</v>
      </c>
      <c r="X47" s="167">
        <f>COUNTIFS('1. All Data'!$AA$3:$AA$134,"Creating a prosperous East Staffordshire",'1. All Data'!$V$3:$V$134,"Off Target")</f>
        <v>0</v>
      </c>
      <c r="Y47" s="168" t="e">
        <f>X47/X52</f>
        <v>#DIV/0!</v>
      </c>
      <c r="Z47" s="401"/>
      <c r="AA47" s="168" t="e">
        <f>X47/X53</f>
        <v>#DIV/0!</v>
      </c>
      <c r="AB47" s="402"/>
    </row>
    <row r="48" spans="2:30" ht="15.75" customHeight="1">
      <c r="B48" s="172" t="s">
        <v>43</v>
      </c>
      <c r="C48" s="167">
        <f>COUNTIFS('1. All Data'!$AA$3:$AA$134,"Creating a prosperous East Staffordshire",'1. All Data'!$H$3:$H$134,"Not yet due")</f>
        <v>4</v>
      </c>
      <c r="D48" s="173">
        <f>C48/C52</f>
        <v>0.18181818181818182</v>
      </c>
      <c r="E48" s="173">
        <f>D48</f>
        <v>0.18181818181818182</v>
      </c>
      <c r="F48" s="174"/>
      <c r="G48" s="58"/>
      <c r="I48" s="172" t="s">
        <v>43</v>
      </c>
      <c r="J48" s="167">
        <f>COUNTIFS('1. All Data'!$AA$3:$AA$134,"Creating a prosperous East Staffordshire",'1. All Data'!$M$3:$M$134,"Not yet due")</f>
        <v>0</v>
      </c>
      <c r="K48" s="173" t="e">
        <f>J48/J52</f>
        <v>#DIV/0!</v>
      </c>
      <c r="L48" s="173" t="e">
        <f>K48</f>
        <v>#DIV/0!</v>
      </c>
      <c r="M48" s="174"/>
      <c r="N48" s="58"/>
      <c r="P48" s="172" t="s">
        <v>43</v>
      </c>
      <c r="Q48" s="167">
        <f>COUNTIFS('1. All Data'!$AA$3:$AA$134,"Creating a prosperous East Staffordshire",'1. All Data'!$R$3:$R$134,"Not yet due")</f>
        <v>0</v>
      </c>
      <c r="R48" s="173" t="e">
        <f>Q48/Q52</f>
        <v>#DIV/0!</v>
      </c>
      <c r="S48" s="173" t="e">
        <f>R48</f>
        <v>#DIV/0!</v>
      </c>
      <c r="T48" s="174"/>
      <c r="U48" s="58"/>
      <c r="W48" s="172" t="s">
        <v>43</v>
      </c>
      <c r="X48" s="167">
        <f>COUNTIFS('1. All Data'!$AA$3:$AA$134,"Creating a prosperous East Staffordshire",'1. All Data'!$V$3:$V$134,"Not yet due")</f>
        <v>0</v>
      </c>
      <c r="Y48" s="168" t="e">
        <f>X48/X52</f>
        <v>#DIV/0!</v>
      </c>
      <c r="Z48" s="168" t="e">
        <f>Y48</f>
        <v>#DIV/0!</v>
      </c>
      <c r="AA48" s="174"/>
      <c r="AB48" s="58"/>
    </row>
    <row r="49" spans="2:30" ht="15.75" customHeight="1">
      <c r="B49" s="172" t="s">
        <v>15</v>
      </c>
      <c r="C49" s="167">
        <f>COUNTIFS('1. All Data'!$AA$3:$AA$134,"Creating a prosperous East Staffordshire",'1. All Data'!$H$3:$H$134,"update not provided")</f>
        <v>0</v>
      </c>
      <c r="D49" s="173">
        <f>C49/C52</f>
        <v>0</v>
      </c>
      <c r="E49" s="173">
        <f>D49</f>
        <v>0</v>
      </c>
      <c r="F49" s="174"/>
      <c r="G49" s="2"/>
      <c r="I49" s="172" t="s">
        <v>15</v>
      </c>
      <c r="J49" s="167">
        <f>COUNTIFS('1. All Data'!$AA$3:$AA$134,"Creating a prosperous East Staffordshire",'1. All Data'!$M$3:$M$134,"update not provided")</f>
        <v>0</v>
      </c>
      <c r="K49" s="173" t="e">
        <f>J49/J52</f>
        <v>#DIV/0!</v>
      </c>
      <c r="L49" s="173" t="e">
        <f>K49</f>
        <v>#DIV/0!</v>
      </c>
      <c r="M49" s="174"/>
      <c r="N49" s="2"/>
      <c r="P49" s="172" t="s">
        <v>15</v>
      </c>
      <c r="Q49" s="167">
        <f>COUNTIFS('1. All Data'!$AA$3:$AA$134,"Creating a prosperous East Staffordshire",'1. All Data'!$R$3:$R$134,"update not provided")</f>
        <v>0</v>
      </c>
      <c r="R49" s="173" t="e">
        <f>Q49/Q52</f>
        <v>#DIV/0!</v>
      </c>
      <c r="S49" s="173" t="e">
        <f>R49</f>
        <v>#DIV/0!</v>
      </c>
      <c r="T49" s="174"/>
      <c r="U49" s="2"/>
      <c r="W49" s="172" t="s">
        <v>15</v>
      </c>
      <c r="X49" s="167">
        <f>COUNTIFS('1. All Data'!$AA$3:$AA$134,"Creating a prosperous East Staffordshire",'1. All Data'!$V$3:$V$134,"update not provided")</f>
        <v>0</v>
      </c>
      <c r="Y49" s="168" t="e">
        <f>X49/X52</f>
        <v>#DIV/0!</v>
      </c>
      <c r="Z49" s="168" t="e">
        <f>Y49</f>
        <v>#DIV/0!</v>
      </c>
      <c r="AA49" s="174"/>
      <c r="AB49" s="2"/>
    </row>
    <row r="50" spans="2:30" ht="15.75" customHeight="1">
      <c r="B50" s="175" t="s">
        <v>23</v>
      </c>
      <c r="C50" s="167">
        <f>COUNTIFS('1. All Data'!$AA$3:$AA$134,"Creating a prosperous East Staffordshire",'1. All Data'!$H$3:$H$134,"Deferred")</f>
        <v>0</v>
      </c>
      <c r="D50" s="176">
        <f>C50/C52</f>
        <v>0</v>
      </c>
      <c r="E50" s="176">
        <f>D50</f>
        <v>0</v>
      </c>
      <c r="F50" s="177"/>
      <c r="G50" s="58"/>
      <c r="I50" s="175" t="s">
        <v>23</v>
      </c>
      <c r="J50" s="167">
        <f>COUNTIFS('1. All Data'!$AA$3:$AA$134,"Creating a prosperous East Staffordshire",'1. All Data'!$M$3:$M$134,"Deferred")</f>
        <v>0</v>
      </c>
      <c r="K50" s="176" t="e">
        <f>J50/J52</f>
        <v>#DIV/0!</v>
      </c>
      <c r="L50" s="176" t="e">
        <f>K50</f>
        <v>#DIV/0!</v>
      </c>
      <c r="M50" s="177"/>
      <c r="N50" s="58"/>
      <c r="P50" s="175" t="s">
        <v>23</v>
      </c>
      <c r="Q50" s="167">
        <f>COUNTIFS('1. All Data'!$AA$3:$AA$134,"Creating a prosperous East Staffordshire",'1. All Data'!$R$3:$R$134,"Deferred")</f>
        <v>0</v>
      </c>
      <c r="R50" s="176" t="e">
        <f>Q50/Q52</f>
        <v>#DIV/0!</v>
      </c>
      <c r="S50" s="176" t="e">
        <f>R50</f>
        <v>#DIV/0!</v>
      </c>
      <c r="T50" s="177"/>
      <c r="U50" s="58"/>
      <c r="W50" s="175" t="s">
        <v>23</v>
      </c>
      <c r="X50" s="167">
        <f>COUNTIFS('1. All Data'!$AA$3:$AA$134,"Creating a prosperous East Staffordshire",'1. All Data'!$V$3:$V$134,"Deferred")</f>
        <v>0</v>
      </c>
      <c r="Y50" s="168" t="e">
        <f>X50/X52</f>
        <v>#DIV/0!</v>
      </c>
      <c r="Z50" s="168" t="e">
        <f>Y50</f>
        <v>#DIV/0!</v>
      </c>
      <c r="AA50" s="177"/>
      <c r="AB50" s="58"/>
    </row>
    <row r="51" spans="2:30" ht="15.75" customHeight="1">
      <c r="B51" s="175" t="s">
        <v>24</v>
      </c>
      <c r="C51" s="192">
        <f>COUNTIFS('1. All Data'!$AA$3:$AA$134,"Creating a prosperous East Staffordshire",'1. All Data'!$H$3:$H$134,"Deleted")</f>
        <v>0</v>
      </c>
      <c r="D51" s="176">
        <f>C51/C52</f>
        <v>0</v>
      </c>
      <c r="E51" s="176">
        <f>D51</f>
        <v>0</v>
      </c>
      <c r="F51" s="177"/>
      <c r="G51" s="3"/>
      <c r="I51" s="175" t="s">
        <v>24</v>
      </c>
      <c r="J51" s="192">
        <f>COUNTIFS('1. All Data'!$AA$3:$AA$134,"Creating a prosperous East Staffordshire",'1. All Data'!$M$3:$M$134,"Deleted")</f>
        <v>0</v>
      </c>
      <c r="K51" s="176" t="e">
        <f>J51/J52</f>
        <v>#DIV/0!</v>
      </c>
      <c r="L51" s="176" t="e">
        <f>K51</f>
        <v>#DIV/0!</v>
      </c>
      <c r="M51" s="177"/>
      <c r="N51" s="3"/>
      <c r="P51" s="175" t="s">
        <v>24</v>
      </c>
      <c r="Q51" s="192">
        <f>COUNTIFS('1. All Data'!$AA$3:$AA$134,"Creating a prosperous East Staffordshire",'1. All Data'!$R$3:$R$134,"Deleted")</f>
        <v>0</v>
      </c>
      <c r="R51" s="176" t="e">
        <f>Q51/Q52</f>
        <v>#DIV/0!</v>
      </c>
      <c r="S51" s="176" t="e">
        <f>R51</f>
        <v>#DIV/0!</v>
      </c>
      <c r="T51" s="177"/>
      <c r="U51" s="3"/>
      <c r="W51" s="175" t="s">
        <v>24</v>
      </c>
      <c r="X51" s="167">
        <f>COUNTIFS('1. All Data'!$AA$3:$AA$134,"Creating a prosperous East Staffordshire",'1. All Data'!$V$3:$V$134,"Deleted")</f>
        <v>0</v>
      </c>
      <c r="Y51" s="168" t="e">
        <f>X51/X52</f>
        <v>#DIV/0!</v>
      </c>
      <c r="Z51" s="168" t="e">
        <f>Y51</f>
        <v>#DIV/0!</v>
      </c>
      <c r="AA51" s="177"/>
      <c r="AD51" s="3"/>
    </row>
    <row r="52" spans="2:30" ht="15.75" customHeight="1">
      <c r="B52" s="193" t="s">
        <v>45</v>
      </c>
      <c r="C52" s="179">
        <f>SUM(C41:C51)</f>
        <v>22</v>
      </c>
      <c r="D52" s="177"/>
      <c r="E52" s="177"/>
      <c r="F52" s="58"/>
      <c r="G52" s="58"/>
      <c r="I52" s="193" t="s">
        <v>45</v>
      </c>
      <c r="J52" s="179">
        <f>SUM(J41:J51)</f>
        <v>0</v>
      </c>
      <c r="K52" s="177"/>
      <c r="L52" s="177"/>
      <c r="M52" s="58"/>
      <c r="N52" s="58"/>
      <c r="P52" s="193" t="s">
        <v>45</v>
      </c>
      <c r="Q52" s="179">
        <f>SUM(Q41:Q51)</f>
        <v>0</v>
      </c>
      <c r="R52" s="177"/>
      <c r="S52" s="177"/>
      <c r="T52" s="58"/>
      <c r="U52" s="58"/>
      <c r="W52" s="178" t="s">
        <v>45</v>
      </c>
      <c r="X52" s="179">
        <f>SUM(X41:X51)</f>
        <v>0</v>
      </c>
      <c r="Y52" s="177"/>
      <c r="Z52" s="177"/>
      <c r="AA52" s="58"/>
      <c r="AB52" s="58"/>
    </row>
    <row r="53" spans="2:30" ht="15.75" customHeight="1">
      <c r="B53" s="193" t="s">
        <v>46</v>
      </c>
      <c r="C53" s="179">
        <f>C52-C51-C50-C49-C48</f>
        <v>18</v>
      </c>
      <c r="D53" s="58"/>
      <c r="E53" s="58"/>
      <c r="F53" s="58"/>
      <c r="G53" s="58"/>
      <c r="I53" s="193" t="s">
        <v>46</v>
      </c>
      <c r="J53" s="179">
        <f>J52-J51-J50-J49-J48</f>
        <v>0</v>
      </c>
      <c r="K53" s="58"/>
      <c r="L53" s="58"/>
      <c r="M53" s="58"/>
      <c r="N53" s="58"/>
      <c r="P53" s="193" t="s">
        <v>46</v>
      </c>
      <c r="Q53" s="179">
        <f>Q52-Q51-Q50-Q49-Q48</f>
        <v>0</v>
      </c>
      <c r="R53" s="58"/>
      <c r="S53" s="58"/>
      <c r="T53" s="58"/>
      <c r="U53" s="58"/>
      <c r="W53" s="178" t="s">
        <v>46</v>
      </c>
      <c r="X53" s="179">
        <f>X52-X51-X50-X49-X48</f>
        <v>0</v>
      </c>
      <c r="Y53" s="58"/>
      <c r="Z53" s="58"/>
      <c r="AA53" s="58"/>
      <c r="AB53" s="58"/>
    </row>
    <row r="54" spans="2:30" ht="15.75" hidden="1" customHeight="1">
      <c r="X54" s="194"/>
    </row>
    <row r="55" spans="2:30" ht="15.75" hidden="1" customHeight="1">
      <c r="X55" s="194"/>
    </row>
    <row r="56" spans="2:30" ht="15.75" customHeight="1">
      <c r="X56" s="194"/>
    </row>
    <row r="57" spans="2:30" ht="15.75" customHeight="1">
      <c r="B57" s="188" t="s">
        <v>123</v>
      </c>
      <c r="C57" s="189"/>
      <c r="D57" s="189"/>
      <c r="E57" s="189"/>
      <c r="F57" s="190"/>
      <c r="G57" s="191"/>
      <c r="I57" s="188" t="s">
        <v>123</v>
      </c>
      <c r="J57" s="189"/>
      <c r="K57" s="189"/>
      <c r="L57" s="189"/>
      <c r="M57" s="190"/>
      <c r="N57" s="191"/>
      <c r="P57" s="188" t="s">
        <v>123</v>
      </c>
      <c r="Q57" s="189"/>
      <c r="R57" s="189"/>
      <c r="S57" s="189"/>
      <c r="T57" s="190"/>
      <c r="U57" s="191"/>
      <c r="W57" s="188" t="s">
        <v>123</v>
      </c>
      <c r="X57" s="195"/>
      <c r="Y57" s="162"/>
      <c r="Z57" s="162"/>
      <c r="AA57" s="162"/>
      <c r="AB57" s="163"/>
    </row>
    <row r="58" spans="2:30" ht="41.25" customHeight="1">
      <c r="B58" s="164" t="s">
        <v>36</v>
      </c>
      <c r="C58" s="164" t="s">
        <v>37</v>
      </c>
      <c r="D58" s="164" t="s">
        <v>38</v>
      </c>
      <c r="E58" s="164" t="s">
        <v>39</v>
      </c>
      <c r="F58" s="164" t="s">
        <v>40</v>
      </c>
      <c r="G58" s="164" t="s">
        <v>41</v>
      </c>
      <c r="I58" s="164" t="s">
        <v>36</v>
      </c>
      <c r="J58" s="164" t="s">
        <v>37</v>
      </c>
      <c r="K58" s="164" t="s">
        <v>38</v>
      </c>
      <c r="L58" s="164" t="s">
        <v>39</v>
      </c>
      <c r="M58" s="164" t="s">
        <v>40</v>
      </c>
      <c r="N58" s="164" t="s">
        <v>41</v>
      </c>
      <c r="P58" s="164" t="s">
        <v>36</v>
      </c>
      <c r="Q58" s="164" t="s">
        <v>37</v>
      </c>
      <c r="R58" s="164" t="s">
        <v>38</v>
      </c>
      <c r="S58" s="164" t="s">
        <v>39</v>
      </c>
      <c r="T58" s="164" t="s">
        <v>40</v>
      </c>
      <c r="U58" s="164" t="s">
        <v>41</v>
      </c>
      <c r="W58" s="164" t="s">
        <v>36</v>
      </c>
      <c r="X58" s="164" t="s">
        <v>37</v>
      </c>
      <c r="Y58" s="164" t="s">
        <v>38</v>
      </c>
      <c r="Z58" s="164" t="s">
        <v>39</v>
      </c>
      <c r="AA58" s="164" t="s">
        <v>40</v>
      </c>
      <c r="AB58" s="164" t="s">
        <v>41</v>
      </c>
    </row>
    <row r="59" spans="2:30" ht="27.75" customHeight="1">
      <c r="B59" s="227" t="s">
        <v>42</v>
      </c>
      <c r="C59" s="167">
        <f>COUNTIFS('1. All Data'!$AA$3:$AA$134,"Developing a Green New Deal for East Staffordshire",'1. All Data'!$H$3:$H$134,"Fully Achieved")</f>
        <v>1</v>
      </c>
      <c r="D59" s="168">
        <f>C59/C70</f>
        <v>4.3478260869565216E-2</v>
      </c>
      <c r="E59" s="401">
        <f>D59+D60</f>
        <v>0.65217391304347827</v>
      </c>
      <c r="F59" s="168">
        <f>C59/C71</f>
        <v>6.6666666666666666E-2</v>
      </c>
      <c r="G59" s="403">
        <f>F59+F60</f>
        <v>1</v>
      </c>
      <c r="I59" s="227" t="s">
        <v>42</v>
      </c>
      <c r="J59" s="167">
        <f>COUNTIFS('1. All Data'!$AA$3:$AA$134,"Developing a Green New Deal for East Staffordshire",'1. All Data'!$M$3:$M$134,"Fully Achieved")</f>
        <v>0</v>
      </c>
      <c r="K59" s="168" t="e">
        <f>J59/J70</f>
        <v>#DIV/0!</v>
      </c>
      <c r="L59" s="401" t="e">
        <f>K59+K60</f>
        <v>#DIV/0!</v>
      </c>
      <c r="M59" s="168" t="e">
        <f>J59/J71</f>
        <v>#DIV/0!</v>
      </c>
      <c r="N59" s="403" t="e">
        <f>M59+M60</f>
        <v>#DIV/0!</v>
      </c>
      <c r="P59" s="227" t="s">
        <v>42</v>
      </c>
      <c r="Q59" s="167">
        <f>COUNTIFS('1. All Data'!$AA$3:$AA$134,"Developing a Green New Deal for East Staffordshire",'1. All Data'!$R$3:$R$134,"Fully Achieved")</f>
        <v>0</v>
      </c>
      <c r="R59" s="168" t="e">
        <f>Q59/Q70</f>
        <v>#DIV/0!</v>
      </c>
      <c r="S59" s="401" t="e">
        <f>R59+R60</f>
        <v>#DIV/0!</v>
      </c>
      <c r="T59" s="168" t="e">
        <f>Q59/Q71</f>
        <v>#DIV/0!</v>
      </c>
      <c r="U59" s="403" t="e">
        <f>T59+T60</f>
        <v>#DIV/0!</v>
      </c>
      <c r="W59" s="227" t="s">
        <v>42</v>
      </c>
      <c r="X59" s="167">
        <f>COUNTIFS('1. All Data'!$AA$3:$AA$134,"Developing a Green New Deal for East Staffordshire",'1. All Data'!$V$3:$V$134,"Fully Achieved")</f>
        <v>0</v>
      </c>
      <c r="Y59" s="168" t="e">
        <f>X59/X70</f>
        <v>#DIV/0!</v>
      </c>
      <c r="Z59" s="401" t="e">
        <f>Y59+Y60</f>
        <v>#DIV/0!</v>
      </c>
      <c r="AA59" s="168" t="e">
        <f>X59/X71</f>
        <v>#DIV/0!</v>
      </c>
      <c r="AB59" s="403" t="e">
        <f>AA59+AA60</f>
        <v>#DIV/0!</v>
      </c>
    </row>
    <row r="60" spans="2:30" ht="27.75" customHeight="1">
      <c r="B60" s="227" t="s">
        <v>25</v>
      </c>
      <c r="C60" s="167">
        <f>COUNTIFS('1. All Data'!$AA$3:$AA$134,"Developing a Green New Deal for East Staffordshire",'1. All Data'!$H$3:$H$134,"On Track to be achieved")</f>
        <v>14</v>
      </c>
      <c r="D60" s="168">
        <f>C60/C70</f>
        <v>0.60869565217391308</v>
      </c>
      <c r="E60" s="401"/>
      <c r="F60" s="168">
        <f>C60/C71</f>
        <v>0.93333333333333335</v>
      </c>
      <c r="G60" s="403"/>
      <c r="I60" s="227" t="s">
        <v>25</v>
      </c>
      <c r="J60" s="167">
        <f>COUNTIFS('1. All Data'!$AA$3:$AA$134,"Developing a Green New Deal for East Staffordshire",'1. All Data'!$M$3:$M$134,"On Track to be achieved")</f>
        <v>0</v>
      </c>
      <c r="K60" s="168" t="e">
        <f>J60/J70</f>
        <v>#DIV/0!</v>
      </c>
      <c r="L60" s="401"/>
      <c r="M60" s="168" t="e">
        <f>J60/J71</f>
        <v>#DIV/0!</v>
      </c>
      <c r="N60" s="403"/>
      <c r="P60" s="227" t="s">
        <v>25</v>
      </c>
      <c r="Q60" s="167">
        <f>COUNTIFS('1. All Data'!$AA$3:$AA$134,"Developing a Green New Deal for East Staffordshire",'1. All Data'!$R$3:$R$134,"On Track to be achieved")</f>
        <v>0</v>
      </c>
      <c r="R60" s="168" t="e">
        <f>Q60/Q70</f>
        <v>#DIV/0!</v>
      </c>
      <c r="S60" s="401"/>
      <c r="T60" s="168" t="e">
        <f>Q60/Q71</f>
        <v>#DIV/0!</v>
      </c>
      <c r="U60" s="403"/>
      <c r="W60" s="227" t="s">
        <v>17</v>
      </c>
      <c r="X60" s="167">
        <f>COUNTIFS('1. All Data'!$AA$3:$AA$134,"Developing a Green New Deal for East Staffordshire",'1. All Data'!$V$3:$V$134,"Numerical Outturn Within 5% Tolerance")</f>
        <v>0</v>
      </c>
      <c r="Y60" s="168" t="e">
        <f>X60/X70</f>
        <v>#DIV/0!</v>
      </c>
      <c r="Z60" s="401"/>
      <c r="AA60" s="168" t="e">
        <f>X60/X71</f>
        <v>#DIV/0!</v>
      </c>
      <c r="AB60" s="403"/>
    </row>
    <row r="61" spans="2:30" ht="18.75" customHeight="1">
      <c r="B61" s="411" t="s">
        <v>26</v>
      </c>
      <c r="C61" s="414">
        <f>COUNTIFS('1. All Data'!$AA$3:$AA$134,"Developing a Green New Deal for East Staffordshire",'1. All Data'!$H$3:$H$134,"In Danger of Falling Behind Target")</f>
        <v>0</v>
      </c>
      <c r="D61" s="404">
        <f>C61/C70</f>
        <v>0</v>
      </c>
      <c r="E61" s="404">
        <f>D61</f>
        <v>0</v>
      </c>
      <c r="F61" s="404">
        <f>C61/C71</f>
        <v>0</v>
      </c>
      <c r="G61" s="407">
        <f>F61</f>
        <v>0</v>
      </c>
      <c r="I61" s="411" t="s">
        <v>26</v>
      </c>
      <c r="J61" s="414">
        <f>COUNTIFS('1. All Data'!$AA$3:$AA$134,"Developing a Green New Deal for East Staffordshire",'1. All Data'!$M$3:$M$134,"In Danger of Falling Behind Target")</f>
        <v>0</v>
      </c>
      <c r="K61" s="404" t="e">
        <f>J61/J70</f>
        <v>#DIV/0!</v>
      </c>
      <c r="L61" s="404" t="e">
        <f>K61</f>
        <v>#DIV/0!</v>
      </c>
      <c r="M61" s="404" t="e">
        <f>J61/J71</f>
        <v>#DIV/0!</v>
      </c>
      <c r="N61" s="407" t="e">
        <f>M61</f>
        <v>#DIV/0!</v>
      </c>
      <c r="P61" s="411" t="s">
        <v>26</v>
      </c>
      <c r="Q61" s="414">
        <f>COUNTIFS('1. All Data'!$AA$3:$AA$134,"Developing a Green New Deal for East Staffordshire",'1. All Data'!$R$3:$R$134,"In Danger of Falling Behind Target")</f>
        <v>0</v>
      </c>
      <c r="R61" s="404" t="e">
        <f>Q61/Q70</f>
        <v>#DIV/0!</v>
      </c>
      <c r="S61" s="404" t="e">
        <f>R61</f>
        <v>#DIV/0!</v>
      </c>
      <c r="T61" s="404" t="e">
        <f>Q61/Q71</f>
        <v>#DIV/0!</v>
      </c>
      <c r="U61" s="407" t="e">
        <f>T61</f>
        <v>#DIV/0!</v>
      </c>
      <c r="W61" s="169" t="s">
        <v>18</v>
      </c>
      <c r="X61" s="170">
        <f>COUNTIFS('1. All Data'!$AA$3:$AA$134,"Developing a Green New Deal for East Staffordshire",'1. All Data'!$V$3:$V$134,"Numerical Outturn Within 10% Tolerance")</f>
        <v>0</v>
      </c>
      <c r="Y61" s="168" t="e">
        <f t="shared" ref="Y61:Y69" si="4">X61/$X$34</f>
        <v>#DIV/0!</v>
      </c>
      <c r="Z61" s="401" t="e">
        <f>SUM(Y61:Y63)</f>
        <v>#DIV/0!</v>
      </c>
      <c r="AA61" s="168" t="e">
        <f>X61/X71</f>
        <v>#DIV/0!</v>
      </c>
      <c r="AB61" s="410" t="e">
        <f>SUM(AA61:AA63)</f>
        <v>#DIV/0!</v>
      </c>
    </row>
    <row r="62" spans="2:30" ht="18.75" customHeight="1">
      <c r="B62" s="412"/>
      <c r="C62" s="415"/>
      <c r="D62" s="405"/>
      <c r="E62" s="405"/>
      <c r="F62" s="405"/>
      <c r="G62" s="408"/>
      <c r="I62" s="412"/>
      <c r="J62" s="415"/>
      <c r="K62" s="405"/>
      <c r="L62" s="405"/>
      <c r="M62" s="405"/>
      <c r="N62" s="408"/>
      <c r="P62" s="412"/>
      <c r="Q62" s="415"/>
      <c r="R62" s="405"/>
      <c r="S62" s="405"/>
      <c r="T62" s="405"/>
      <c r="U62" s="408"/>
      <c r="W62" s="169" t="s">
        <v>19</v>
      </c>
      <c r="X62" s="170">
        <f>COUNTIFS('1. All Data'!$AA$3:$AA$134,"Developing a Green New Deal for East Staffordshire",'1. All Data'!$V$3:$V$134,"Target Partially Met")</f>
        <v>0</v>
      </c>
      <c r="Y62" s="168" t="e">
        <f t="shared" si="4"/>
        <v>#DIV/0!</v>
      </c>
      <c r="Z62" s="401"/>
      <c r="AA62" s="168" t="e">
        <f>X62/X71</f>
        <v>#DIV/0!</v>
      </c>
      <c r="AB62" s="410"/>
    </row>
    <row r="63" spans="2:30" ht="18.75" customHeight="1">
      <c r="B63" s="413"/>
      <c r="C63" s="416"/>
      <c r="D63" s="406"/>
      <c r="E63" s="406"/>
      <c r="F63" s="406"/>
      <c r="G63" s="409"/>
      <c r="I63" s="413"/>
      <c r="J63" s="416"/>
      <c r="K63" s="406"/>
      <c r="L63" s="406"/>
      <c r="M63" s="406"/>
      <c r="N63" s="409"/>
      <c r="P63" s="413"/>
      <c r="Q63" s="416"/>
      <c r="R63" s="406"/>
      <c r="S63" s="406"/>
      <c r="T63" s="406"/>
      <c r="U63" s="409"/>
      <c r="W63" s="169" t="s">
        <v>22</v>
      </c>
      <c r="X63" s="170">
        <f>COUNTIFS('1. All Data'!$AA$3:$AA$134,"Developing a Green New Deal for East Staffordshire",'1. All Data'!$V$3:$V$134,"Completion Date Within Reasonable Tolerance")</f>
        <v>0</v>
      </c>
      <c r="Y63" s="168" t="e">
        <f t="shared" si="4"/>
        <v>#DIV/0!</v>
      </c>
      <c r="Z63" s="401"/>
      <c r="AA63" s="168" t="e">
        <f>X63/X71</f>
        <v>#DIV/0!</v>
      </c>
      <c r="AB63" s="410"/>
    </row>
    <row r="64" spans="2:30" ht="30" customHeight="1">
      <c r="B64" s="171" t="s">
        <v>27</v>
      </c>
      <c r="C64" s="167">
        <f>COUNTIFS('1. All Data'!$AA$3:$AA$134,"Developing a Green New Deal for East Staffordshire",'1. All Data'!$H$3:$H$134,"Completed Behind Schedule")</f>
        <v>0</v>
      </c>
      <c r="D64" s="168">
        <f>C64/C70</f>
        <v>0</v>
      </c>
      <c r="E64" s="401">
        <f>D64+D65</f>
        <v>0</v>
      </c>
      <c r="F64" s="168">
        <f>C64/C71</f>
        <v>0</v>
      </c>
      <c r="G64" s="402">
        <f>F64+F65</f>
        <v>0</v>
      </c>
      <c r="I64" s="171" t="s">
        <v>27</v>
      </c>
      <c r="J64" s="167">
        <f>COUNTIFS('1. All Data'!$AA$3:$AA$134,"Developing a Green New Deal for East Staffordshire",'1. All Data'!$M$3:$M$134,"Completed Behind Schedule")</f>
        <v>0</v>
      </c>
      <c r="K64" s="168" t="e">
        <f>J64/J70</f>
        <v>#DIV/0!</v>
      </c>
      <c r="L64" s="401" t="e">
        <f>K64+K65</f>
        <v>#DIV/0!</v>
      </c>
      <c r="M64" s="168" t="e">
        <f>J64/J71</f>
        <v>#DIV/0!</v>
      </c>
      <c r="N64" s="402" t="e">
        <f>M64+M65</f>
        <v>#DIV/0!</v>
      </c>
      <c r="P64" s="171" t="s">
        <v>27</v>
      </c>
      <c r="Q64" s="167">
        <f>COUNTIFS('1. All Data'!$AA$3:$AA$134,"Developing a Green New Deal for East Staffordshire",'1. All Data'!$R$3:$R$134,"Completed Behind Schedule")</f>
        <v>0</v>
      </c>
      <c r="R64" s="168" t="e">
        <f>Q64/Q70</f>
        <v>#DIV/0!</v>
      </c>
      <c r="S64" s="401" t="e">
        <f>R64+R65</f>
        <v>#DIV/0!</v>
      </c>
      <c r="T64" s="168" t="e">
        <f>Q64/Q71</f>
        <v>#DIV/0!</v>
      </c>
      <c r="U64" s="402" t="e">
        <f>T64+T65</f>
        <v>#DIV/0!</v>
      </c>
      <c r="W64" s="171" t="s">
        <v>21</v>
      </c>
      <c r="X64" s="167">
        <f>COUNTIFS('1. All Data'!$AA$3:$AA$134,"Developing a Green New Deal for East Staffordshire",'1. All Data'!$V$3:$V$134,"Completed Significantly After Target Deadline")</f>
        <v>0</v>
      </c>
      <c r="Y64" s="168" t="e">
        <f t="shared" si="4"/>
        <v>#DIV/0!</v>
      </c>
      <c r="Z64" s="401" t="e">
        <f>SUM(Y64:Y65)</f>
        <v>#DIV/0!</v>
      </c>
      <c r="AA64" s="168" t="e">
        <f>X64/X71</f>
        <v>#DIV/0!</v>
      </c>
      <c r="AB64" s="402" t="e">
        <f>AA64+AA65</f>
        <v>#DIV/0!</v>
      </c>
    </row>
    <row r="65" spans="2:30" ht="30" customHeight="1">
      <c r="B65" s="171" t="s">
        <v>20</v>
      </c>
      <c r="C65" s="167">
        <f>COUNTIFS('1. All Data'!$AA$3:$AA$134,"Developing a Green New Deal for East Staffordshire",'1. All Data'!$H$3:$H$134,"Off Target")</f>
        <v>0</v>
      </c>
      <c r="D65" s="168">
        <f>C65/C70</f>
        <v>0</v>
      </c>
      <c r="E65" s="401"/>
      <c r="F65" s="168">
        <f>C65/C71</f>
        <v>0</v>
      </c>
      <c r="G65" s="402"/>
      <c r="I65" s="171" t="s">
        <v>20</v>
      </c>
      <c r="J65" s="167">
        <f>COUNTIFS('1. All Data'!$AA$3:$AA$134,"Developing a Green New Deal for East Staffordshire",'1. All Data'!$M$3:$M$134,"Off Target")</f>
        <v>0</v>
      </c>
      <c r="K65" s="168" t="e">
        <f>J65/J70</f>
        <v>#DIV/0!</v>
      </c>
      <c r="L65" s="401"/>
      <c r="M65" s="168" t="e">
        <f>J65/J71</f>
        <v>#DIV/0!</v>
      </c>
      <c r="N65" s="402"/>
      <c r="P65" s="171" t="s">
        <v>20</v>
      </c>
      <c r="Q65" s="167">
        <f>COUNTIFS('1. All Data'!$AA$3:$AA$134,"Developing a Green New Deal for East Staffordshire",'1. All Data'!$R$3:$R$134,"Off Target")</f>
        <v>0</v>
      </c>
      <c r="R65" s="168" t="e">
        <f>Q65/Q70</f>
        <v>#DIV/0!</v>
      </c>
      <c r="S65" s="401"/>
      <c r="T65" s="168" t="e">
        <f>Q65/Q71</f>
        <v>#DIV/0!</v>
      </c>
      <c r="U65" s="402"/>
      <c r="W65" s="171" t="s">
        <v>20</v>
      </c>
      <c r="X65" s="167">
        <f>COUNTIFS('1. All Data'!$AA$3:$AA$134,"Developing a Green New Deal for East Staffordshire",'1. All Data'!$V$3:$V$134,"Off Target")</f>
        <v>0</v>
      </c>
      <c r="Y65" s="168" t="e">
        <f t="shared" si="4"/>
        <v>#DIV/0!</v>
      </c>
      <c r="Z65" s="401"/>
      <c r="AA65" s="168" t="e">
        <f>X65/X71</f>
        <v>#DIV/0!</v>
      </c>
      <c r="AB65" s="402"/>
    </row>
    <row r="66" spans="2:30" ht="15.75" customHeight="1">
      <c r="B66" s="172" t="s">
        <v>43</v>
      </c>
      <c r="C66" s="167">
        <f>COUNTIFS('1. All Data'!$AA$3:$AA$134,"Developing a Green New Deal for East Staffordshire",'1. All Data'!$H$3:$H$134,"Not yet due")</f>
        <v>8</v>
      </c>
      <c r="D66" s="173">
        <f>C66/C70</f>
        <v>0.34782608695652173</v>
      </c>
      <c r="E66" s="173">
        <f>D66</f>
        <v>0.34782608695652173</v>
      </c>
      <c r="F66" s="174"/>
      <c r="G66" s="58"/>
      <c r="I66" s="172" t="s">
        <v>43</v>
      </c>
      <c r="J66" s="167">
        <f>COUNTIFS('1. All Data'!$AA$3:$AA$134,"Developing a Green New Deal for East Staffordshire",'1. All Data'!$M$3:$M$134,"Not yet due")</f>
        <v>0</v>
      </c>
      <c r="K66" s="173" t="e">
        <f>J66/J70</f>
        <v>#DIV/0!</v>
      </c>
      <c r="L66" s="173" t="e">
        <f>K66</f>
        <v>#DIV/0!</v>
      </c>
      <c r="M66" s="174"/>
      <c r="N66" s="58"/>
      <c r="P66" s="172" t="s">
        <v>43</v>
      </c>
      <c r="Q66" s="167">
        <f>COUNTIFS('1. All Data'!$AA$3:$AA$134,"Developing a Green New Deal for East Staffordshire",'1. All Data'!$R$3:$R$134,"Not yet due")</f>
        <v>0</v>
      </c>
      <c r="R66" s="173" t="e">
        <f>Q66/Q70</f>
        <v>#DIV/0!</v>
      </c>
      <c r="S66" s="173" t="e">
        <f>R66</f>
        <v>#DIV/0!</v>
      </c>
      <c r="T66" s="174"/>
      <c r="U66" s="58"/>
      <c r="W66" s="172" t="s">
        <v>43</v>
      </c>
      <c r="X66" s="167">
        <f>COUNTIFS('1. All Data'!$AA$3:$AA$134,"Developing a Green New Deal for East Staffordshire",'1. All Data'!$V$3:$V$134,"Not yet due")</f>
        <v>0</v>
      </c>
      <c r="Y66" s="168" t="e">
        <f t="shared" si="4"/>
        <v>#DIV/0!</v>
      </c>
      <c r="Z66" s="168" t="e">
        <f>Y66</f>
        <v>#DIV/0!</v>
      </c>
      <c r="AA66" s="174"/>
      <c r="AB66" s="58"/>
    </row>
    <row r="67" spans="2:30" ht="15.75" customHeight="1">
      <c r="B67" s="172" t="s">
        <v>15</v>
      </c>
      <c r="C67" s="167">
        <f>COUNTIFS('1. All Data'!$AA$3:$AA$134,"Developing a Green New Deal for East Staffordshire",'1. All Data'!$H$3:$H$134,"update not provided")</f>
        <v>0</v>
      </c>
      <c r="D67" s="173">
        <f>C67/C70</f>
        <v>0</v>
      </c>
      <c r="E67" s="173">
        <f>D67</f>
        <v>0</v>
      </c>
      <c r="F67" s="174"/>
      <c r="G67" s="2"/>
      <c r="I67" s="172" t="s">
        <v>15</v>
      </c>
      <c r="J67" s="167">
        <f>COUNTIFS('1. All Data'!$AA$3:$AA$134,"Developing a Green New Deal for East Staffordshire",'1. All Data'!$M$3:$M$134,"update not provided")</f>
        <v>0</v>
      </c>
      <c r="K67" s="173" t="e">
        <f>J67/J70</f>
        <v>#DIV/0!</v>
      </c>
      <c r="L67" s="173" t="e">
        <f>K67</f>
        <v>#DIV/0!</v>
      </c>
      <c r="M67" s="174"/>
      <c r="N67" s="2"/>
      <c r="P67" s="172" t="s">
        <v>15</v>
      </c>
      <c r="Q67" s="167">
        <f>COUNTIFS('1. All Data'!$AA$3:$AA$134,"Developing a Green New Deal for East Staffordshire",'1. All Data'!$R$3:$R$134,"update not provided")</f>
        <v>0</v>
      </c>
      <c r="R67" s="173" t="e">
        <f>Q67/Q70</f>
        <v>#DIV/0!</v>
      </c>
      <c r="S67" s="173" t="e">
        <f>R67</f>
        <v>#DIV/0!</v>
      </c>
      <c r="T67" s="174"/>
      <c r="U67" s="2"/>
      <c r="W67" s="172" t="s">
        <v>15</v>
      </c>
      <c r="X67" s="167">
        <f>COUNTIFS('1. All Data'!$AA$3:$AA$134,"Developing a Green New Deal for East Staffordshire",'1. All Data'!$V$3:$V$134,"update not provided")</f>
        <v>0</v>
      </c>
      <c r="Y67" s="168" t="e">
        <f t="shared" si="4"/>
        <v>#DIV/0!</v>
      </c>
      <c r="Z67" s="168" t="e">
        <f>Y67</f>
        <v>#DIV/0!</v>
      </c>
      <c r="AA67" s="174"/>
      <c r="AB67" s="2"/>
    </row>
    <row r="68" spans="2:30" ht="15.75" customHeight="1">
      <c r="B68" s="175" t="s">
        <v>23</v>
      </c>
      <c r="C68" s="167">
        <f>COUNTIFS('1. All Data'!$AA$3:$AA$134,"Developing a Green New Deal for East Staffordshire",'1. All Data'!$H$3:$H$134,"Deferred")</f>
        <v>0</v>
      </c>
      <c r="D68" s="176">
        <f>C68/C70</f>
        <v>0</v>
      </c>
      <c r="E68" s="176">
        <f>D68</f>
        <v>0</v>
      </c>
      <c r="F68" s="177"/>
      <c r="G68" s="58"/>
      <c r="I68" s="175" t="s">
        <v>23</v>
      </c>
      <c r="J68" s="167">
        <f>COUNTIFS('1. All Data'!$AA$3:$AA$134,"Developing a Green New Deal for East Staffordshire",'1. All Data'!$M$3:$M$134,"Deferred")</f>
        <v>0</v>
      </c>
      <c r="K68" s="176" t="e">
        <f>J68/J70</f>
        <v>#DIV/0!</v>
      </c>
      <c r="L68" s="176" t="e">
        <f>K68</f>
        <v>#DIV/0!</v>
      </c>
      <c r="M68" s="177"/>
      <c r="N68" s="58"/>
      <c r="P68" s="175" t="s">
        <v>23</v>
      </c>
      <c r="Q68" s="167">
        <f>COUNTIFS('1. All Data'!$AA$3:$AA$134,"Developing a Green New Deal for East Staffordshire",'1. All Data'!$R$3:$R$134,"Deferred")</f>
        <v>0</v>
      </c>
      <c r="R68" s="176" t="e">
        <f>Q68/Q70</f>
        <v>#DIV/0!</v>
      </c>
      <c r="S68" s="176" t="e">
        <f>R68</f>
        <v>#DIV/0!</v>
      </c>
      <c r="T68" s="177"/>
      <c r="U68" s="58"/>
      <c r="W68" s="175" t="s">
        <v>23</v>
      </c>
      <c r="X68" s="167">
        <f>COUNTIFS('1. All Data'!$AA$3:$AA$134,"Developing a Green New Deal for East Staffordshire",'1. All Data'!$V$3:$V$134,"Deferred")</f>
        <v>0</v>
      </c>
      <c r="Y68" s="168" t="e">
        <f t="shared" si="4"/>
        <v>#DIV/0!</v>
      </c>
      <c r="Z68" s="168" t="e">
        <f>Y68</f>
        <v>#DIV/0!</v>
      </c>
      <c r="AA68" s="177"/>
      <c r="AB68" s="58"/>
    </row>
    <row r="69" spans="2:30" ht="15.75" customHeight="1">
      <c r="B69" s="175" t="s">
        <v>24</v>
      </c>
      <c r="C69" s="167">
        <f>COUNTIFS('1. All Data'!$AA$3:$AA$134,"Developing a Green New Deal for East Staffordshire",'1. All Data'!$H$3:$H$134,"Deleted")</f>
        <v>0</v>
      </c>
      <c r="D69" s="176">
        <f>C69/C70</f>
        <v>0</v>
      </c>
      <c r="E69" s="176">
        <f>D69</f>
        <v>0</v>
      </c>
      <c r="F69" s="177"/>
      <c r="G69" s="3"/>
      <c r="I69" s="175" t="s">
        <v>24</v>
      </c>
      <c r="J69" s="167">
        <f>COUNTIFS('1. All Data'!$AA$3:$AA$134,"Developing a Green New Deal for East Staffordshire",'1. All Data'!$M$3:$M$134,"Deleted")</f>
        <v>0</v>
      </c>
      <c r="K69" s="176" t="e">
        <f>J69/J70</f>
        <v>#DIV/0!</v>
      </c>
      <c r="L69" s="176" t="e">
        <f>K69</f>
        <v>#DIV/0!</v>
      </c>
      <c r="M69" s="177"/>
      <c r="N69" s="3"/>
      <c r="P69" s="175" t="s">
        <v>24</v>
      </c>
      <c r="Q69" s="167">
        <f>COUNTIFS('1. All Data'!$AA$3:$AA$134,"Developing a Green New Deal for East Staffordshire",'1. All Data'!$R$3:$R$134,"Deleted")</f>
        <v>0</v>
      </c>
      <c r="R69" s="176" t="e">
        <f>Q69/Q70</f>
        <v>#DIV/0!</v>
      </c>
      <c r="S69" s="176" t="e">
        <f>R69</f>
        <v>#DIV/0!</v>
      </c>
      <c r="T69" s="177"/>
      <c r="U69" s="3"/>
      <c r="W69" s="175" t="s">
        <v>24</v>
      </c>
      <c r="X69" s="167">
        <f>COUNTIFS('1. All Data'!$AA$3:$AA$134,"Developing a Green New Deal for East Staffordshire",'1. All Data'!$V$3:$V$134,"Deleted")</f>
        <v>0</v>
      </c>
      <c r="Y69" s="168" t="e">
        <f t="shared" si="4"/>
        <v>#DIV/0!</v>
      </c>
      <c r="Z69" s="168" t="e">
        <f>Y69</f>
        <v>#DIV/0!</v>
      </c>
      <c r="AA69" s="177"/>
      <c r="AD69" s="3"/>
    </row>
    <row r="70" spans="2:30" ht="15.75" customHeight="1">
      <c r="B70" s="193" t="s">
        <v>45</v>
      </c>
      <c r="C70" s="179">
        <f>SUM(C59:C69)</f>
        <v>23</v>
      </c>
      <c r="D70" s="177"/>
      <c r="E70" s="177"/>
      <c r="F70" s="58"/>
      <c r="G70" s="58"/>
      <c r="I70" s="193" t="s">
        <v>45</v>
      </c>
      <c r="J70" s="179">
        <f>SUM(J59:J69)</f>
        <v>0</v>
      </c>
      <c r="K70" s="177"/>
      <c r="L70" s="177"/>
      <c r="M70" s="58"/>
      <c r="N70" s="58"/>
      <c r="P70" s="193" t="s">
        <v>45</v>
      </c>
      <c r="Q70" s="179">
        <f>SUM(Q59:Q69)</f>
        <v>0</v>
      </c>
      <c r="R70" s="177"/>
      <c r="S70" s="177"/>
      <c r="T70" s="58"/>
      <c r="U70" s="58"/>
      <c r="W70" s="178" t="s">
        <v>45</v>
      </c>
      <c r="X70" s="179">
        <f>SUM(X59:X69)</f>
        <v>0</v>
      </c>
      <c r="Y70" s="177"/>
      <c r="Z70" s="177"/>
      <c r="AA70" s="58"/>
      <c r="AB70" s="58"/>
    </row>
    <row r="71" spans="2:30" ht="15.75" customHeight="1">
      <c r="B71" s="193" t="s">
        <v>46</v>
      </c>
      <c r="C71" s="179">
        <f>C70-C69-C68-C67-C66</f>
        <v>15</v>
      </c>
      <c r="D71" s="58"/>
      <c r="E71" s="58"/>
      <c r="F71" s="58"/>
      <c r="G71" s="58"/>
      <c r="I71" s="193" t="s">
        <v>46</v>
      </c>
      <c r="J71" s="179">
        <f>J70-J69-J68-J67-J66</f>
        <v>0</v>
      </c>
      <c r="K71" s="58"/>
      <c r="L71" s="58"/>
      <c r="M71" s="58"/>
      <c r="N71" s="58"/>
      <c r="P71" s="193" t="s">
        <v>46</v>
      </c>
      <c r="Q71" s="179">
        <f>Q70-Q69-Q68-Q67-Q66</f>
        <v>0</v>
      </c>
      <c r="R71" s="58"/>
      <c r="S71" s="58"/>
      <c r="T71" s="58"/>
      <c r="U71" s="58"/>
      <c r="W71" s="178" t="s">
        <v>46</v>
      </c>
      <c r="X71" s="179">
        <f>X70-X69-X68-X67-X66</f>
        <v>0</v>
      </c>
      <c r="Y71" s="58"/>
      <c r="Z71" s="58"/>
      <c r="AA71" s="58"/>
      <c r="AB71" s="58"/>
    </row>
    <row r="72" spans="2:30" ht="15.6" hidden="1" customHeight="1">
      <c r="AB72" s="186"/>
    </row>
    <row r="73" spans="2:30" ht="15.75" hidden="1" customHeight="1">
      <c r="AB73" s="186"/>
    </row>
    <row r="75" spans="2:30" ht="15.6">
      <c r="B75" s="188" t="s">
        <v>393</v>
      </c>
      <c r="C75" s="189"/>
      <c r="D75" s="189"/>
      <c r="E75" s="189"/>
      <c r="F75" s="190"/>
      <c r="G75" s="191"/>
      <c r="I75" s="188" t="s">
        <v>124</v>
      </c>
      <c r="J75" s="189"/>
      <c r="K75" s="189"/>
      <c r="L75" s="189"/>
      <c r="M75" s="190"/>
      <c r="N75" s="191"/>
      <c r="P75" s="188" t="s">
        <v>124</v>
      </c>
      <c r="Q75" s="189"/>
      <c r="R75" s="189"/>
      <c r="S75" s="189"/>
      <c r="T75" s="190"/>
      <c r="U75" s="191"/>
      <c r="W75" s="188" t="s">
        <v>124</v>
      </c>
      <c r="X75" s="195"/>
      <c r="Y75" s="162"/>
      <c r="Z75" s="162"/>
      <c r="AA75" s="162"/>
      <c r="AB75" s="163"/>
    </row>
    <row r="76" spans="2:30" ht="31.2">
      <c r="B76" s="164" t="s">
        <v>36</v>
      </c>
      <c r="C76" s="164" t="s">
        <v>37</v>
      </c>
      <c r="D76" s="164" t="s">
        <v>38</v>
      </c>
      <c r="E76" s="164" t="s">
        <v>39</v>
      </c>
      <c r="F76" s="164" t="s">
        <v>40</v>
      </c>
      <c r="G76" s="164" t="s">
        <v>41</v>
      </c>
      <c r="I76" s="164" t="s">
        <v>36</v>
      </c>
      <c r="J76" s="164" t="s">
        <v>37</v>
      </c>
      <c r="K76" s="164" t="s">
        <v>38</v>
      </c>
      <c r="L76" s="164" t="s">
        <v>39</v>
      </c>
      <c r="M76" s="164" t="s">
        <v>40</v>
      </c>
      <c r="N76" s="164" t="s">
        <v>41</v>
      </c>
      <c r="P76" s="164" t="s">
        <v>36</v>
      </c>
      <c r="Q76" s="164" t="s">
        <v>37</v>
      </c>
      <c r="R76" s="164" t="s">
        <v>38</v>
      </c>
      <c r="S76" s="164" t="s">
        <v>39</v>
      </c>
      <c r="T76" s="164" t="s">
        <v>40</v>
      </c>
      <c r="U76" s="164" t="s">
        <v>41</v>
      </c>
      <c r="W76" s="164" t="s">
        <v>36</v>
      </c>
      <c r="X76" s="164" t="s">
        <v>37</v>
      </c>
      <c r="Y76" s="164" t="s">
        <v>38</v>
      </c>
      <c r="Z76" s="164" t="s">
        <v>39</v>
      </c>
      <c r="AA76" s="164" t="s">
        <v>40</v>
      </c>
      <c r="AB76" s="164" t="s">
        <v>41</v>
      </c>
    </row>
    <row r="77" spans="2:30" ht="15.6">
      <c r="B77" s="227" t="s">
        <v>42</v>
      </c>
      <c r="C77" s="167">
        <f>COUNTIFS('1. All Data'!$AA$3:$AA$134,"Protecting our heritage",'1. All Data'!$H$3:$H$134,"Fully Achieved")</f>
        <v>0</v>
      </c>
      <c r="D77" s="278">
        <f>C77/C88</f>
        <v>0</v>
      </c>
      <c r="E77" s="401">
        <f>D77+D78</f>
        <v>0.9</v>
      </c>
      <c r="F77" s="278">
        <f>C77/C89</f>
        <v>0</v>
      </c>
      <c r="G77" s="403">
        <f>F77+F78</f>
        <v>0.9</v>
      </c>
      <c r="I77" s="227" t="s">
        <v>42</v>
      </c>
      <c r="J77" s="167">
        <f>COUNTIFS('1. All Data'!$AA$3:$AA$134,"Protecting our heritage",'1. All Data'!$M$3:$M$134,"Fully Achieved")</f>
        <v>0</v>
      </c>
      <c r="K77" s="278" t="e">
        <f>J77/J88</f>
        <v>#DIV/0!</v>
      </c>
      <c r="L77" s="401" t="e">
        <f>K77+K78</f>
        <v>#DIV/0!</v>
      </c>
      <c r="M77" s="278" t="e">
        <f>J77/J89</f>
        <v>#DIV/0!</v>
      </c>
      <c r="N77" s="403" t="e">
        <f>M77+M78</f>
        <v>#DIV/0!</v>
      </c>
      <c r="P77" s="227" t="s">
        <v>42</v>
      </c>
      <c r="Q77" s="167">
        <f>COUNTIFS('1. All Data'!$AA$3:$AA$134,"Protecting our heritage",'1. All Data'!$R$3:$R$134,"Fully Achieved")</f>
        <v>0</v>
      </c>
      <c r="R77" s="278" t="e">
        <f>Q77/Q88</f>
        <v>#DIV/0!</v>
      </c>
      <c r="S77" s="401" t="e">
        <f>R77+R78</f>
        <v>#DIV/0!</v>
      </c>
      <c r="T77" s="278" t="e">
        <f>Q77/Q89</f>
        <v>#DIV/0!</v>
      </c>
      <c r="U77" s="403" t="e">
        <f>T77+T78</f>
        <v>#DIV/0!</v>
      </c>
      <c r="W77" s="227" t="s">
        <v>42</v>
      </c>
      <c r="X77" s="167">
        <f>COUNTIFS('1. All Data'!$AA$3:$AA$134,"Protecting our heritage",'1. All Data'!$V$3:$V$134,"Fully Achieved")</f>
        <v>0</v>
      </c>
      <c r="Y77" s="278" t="e">
        <f>X77/X88</f>
        <v>#DIV/0!</v>
      </c>
      <c r="Z77" s="401" t="e">
        <f>Y77+Y78</f>
        <v>#DIV/0!</v>
      </c>
      <c r="AA77" s="278" t="e">
        <f>X77/X89</f>
        <v>#DIV/0!</v>
      </c>
      <c r="AB77" s="403" t="e">
        <f>AA77+AA78</f>
        <v>#DIV/0!</v>
      </c>
    </row>
    <row r="78" spans="2:30" ht="15.6">
      <c r="B78" s="227" t="s">
        <v>25</v>
      </c>
      <c r="C78" s="167">
        <f>COUNTIFS('1. All Data'!$AA$3:$AA$134,"Protecting our heritage",'1. All Data'!$H$3:$H$134,"On Track to be achieved")</f>
        <v>9</v>
      </c>
      <c r="D78" s="278">
        <f>C78/C88</f>
        <v>0.9</v>
      </c>
      <c r="E78" s="401"/>
      <c r="F78" s="278">
        <f>C78/C89</f>
        <v>0.9</v>
      </c>
      <c r="G78" s="403"/>
      <c r="I78" s="227" t="s">
        <v>25</v>
      </c>
      <c r="J78" s="167">
        <f>COUNTIFS('1. All Data'!$AA$3:$AA$134,"Protecting our heritage",'1. All Data'!$M$3:$M$134,"On Track to be achieved")</f>
        <v>0</v>
      </c>
      <c r="K78" s="278" t="e">
        <f>J78/J88</f>
        <v>#DIV/0!</v>
      </c>
      <c r="L78" s="401"/>
      <c r="M78" s="278" t="e">
        <f>J78/J89</f>
        <v>#DIV/0!</v>
      </c>
      <c r="N78" s="403"/>
      <c r="P78" s="227" t="s">
        <v>25</v>
      </c>
      <c r="Q78" s="167">
        <f>COUNTIFS('1. All Data'!$AA$3:$AA$134,"Protecting our heritage",'1. All Data'!$R$3:$R$134,"On Track to be achieved")</f>
        <v>0</v>
      </c>
      <c r="R78" s="278" t="e">
        <f>Q78/Q88</f>
        <v>#DIV/0!</v>
      </c>
      <c r="S78" s="401"/>
      <c r="T78" s="278" t="e">
        <f>Q78/Q89</f>
        <v>#DIV/0!</v>
      </c>
      <c r="U78" s="403"/>
      <c r="W78" s="227" t="s">
        <v>17</v>
      </c>
      <c r="X78" s="167">
        <f>COUNTIFS('1. All Data'!$AA$3:$AA$134,"Protecting our heritage",'1. All Data'!$V$3:$V$134,"Numerical Outturn Within 5% Tolerance")</f>
        <v>0</v>
      </c>
      <c r="Y78" s="278" t="e">
        <f>X78/X88</f>
        <v>#DIV/0!</v>
      </c>
      <c r="Z78" s="401"/>
      <c r="AA78" s="278" t="e">
        <f>X78/X89</f>
        <v>#DIV/0!</v>
      </c>
      <c r="AB78" s="403"/>
    </row>
    <row r="79" spans="2:30" ht="15.6">
      <c r="B79" s="411" t="s">
        <v>26</v>
      </c>
      <c r="C79" s="414">
        <f>COUNTIFS('1. All Data'!$AA$3:$AA$134,"Protecting our heritage",'1. All Data'!$H$3:$H$134,"In Danger of Falling Behind Target")</f>
        <v>0</v>
      </c>
      <c r="D79" s="404">
        <f>C79/C88</f>
        <v>0</v>
      </c>
      <c r="E79" s="404">
        <f>D79</f>
        <v>0</v>
      </c>
      <c r="F79" s="404">
        <f>C79/C89</f>
        <v>0</v>
      </c>
      <c r="G79" s="407">
        <f>F79</f>
        <v>0</v>
      </c>
      <c r="I79" s="411" t="s">
        <v>26</v>
      </c>
      <c r="J79" s="414">
        <f>COUNTIFS('1. All Data'!$AA$3:$AA$134,"Protecting our heritage",'1. All Data'!$M$3:$M$134,"In Danger of Falling Behind Target")</f>
        <v>0</v>
      </c>
      <c r="K79" s="404" t="e">
        <f>J79/J88</f>
        <v>#DIV/0!</v>
      </c>
      <c r="L79" s="404" t="e">
        <f>K79</f>
        <v>#DIV/0!</v>
      </c>
      <c r="M79" s="404" t="e">
        <f>J79/J89</f>
        <v>#DIV/0!</v>
      </c>
      <c r="N79" s="407" t="e">
        <f>M79</f>
        <v>#DIV/0!</v>
      </c>
      <c r="P79" s="411" t="s">
        <v>26</v>
      </c>
      <c r="Q79" s="414">
        <f>COUNTIFS('1. All Data'!$AA$3:$AA$134,"Protecting our heritage",'1. All Data'!$R$3:$R$134,"In Danger of Falling Behind Target")</f>
        <v>0</v>
      </c>
      <c r="R79" s="404" t="e">
        <f>Q79/Q88</f>
        <v>#DIV/0!</v>
      </c>
      <c r="S79" s="404" t="e">
        <f>R79</f>
        <v>#DIV/0!</v>
      </c>
      <c r="T79" s="404" t="e">
        <f>Q79/Q89</f>
        <v>#DIV/0!</v>
      </c>
      <c r="U79" s="407" t="e">
        <f>T79</f>
        <v>#DIV/0!</v>
      </c>
      <c r="W79" s="169" t="s">
        <v>18</v>
      </c>
      <c r="X79" s="170">
        <f>COUNTIFS('1. All Data'!$AA$3:$AA$134,"Protecting our heritage",'1. All Data'!$V$3:$V$134,"Numerical Outturn Within 10% Tolerance")</f>
        <v>0</v>
      </c>
      <c r="Y79" s="278" t="e">
        <f t="shared" ref="Y79:Y87" si="5">X79/$X$34</f>
        <v>#DIV/0!</v>
      </c>
      <c r="Z79" s="401" t="e">
        <f>SUM(Y79:Y81)</f>
        <v>#DIV/0!</v>
      </c>
      <c r="AA79" s="278" t="e">
        <f>X79/X89</f>
        <v>#DIV/0!</v>
      </c>
      <c r="AB79" s="410" t="e">
        <f>SUM(AA79:AA81)</f>
        <v>#DIV/0!</v>
      </c>
    </row>
    <row r="80" spans="2:30" ht="15.6">
      <c r="B80" s="412"/>
      <c r="C80" s="415"/>
      <c r="D80" s="405"/>
      <c r="E80" s="405"/>
      <c r="F80" s="405"/>
      <c r="G80" s="408"/>
      <c r="I80" s="412"/>
      <c r="J80" s="415"/>
      <c r="K80" s="405"/>
      <c r="L80" s="405"/>
      <c r="M80" s="405"/>
      <c r="N80" s="408"/>
      <c r="P80" s="412"/>
      <c r="Q80" s="415"/>
      <c r="R80" s="405"/>
      <c r="S80" s="405"/>
      <c r="T80" s="405"/>
      <c r="U80" s="408"/>
      <c r="W80" s="169" t="s">
        <v>19</v>
      </c>
      <c r="X80" s="170">
        <f>COUNTIFS('1. All Data'!$AA$3:$AA$134,"Protecting our heritage",'1. All Data'!$V$3:$V$134,"Target Partially Met")</f>
        <v>0</v>
      </c>
      <c r="Y80" s="278" t="e">
        <f t="shared" si="5"/>
        <v>#DIV/0!</v>
      </c>
      <c r="Z80" s="401"/>
      <c r="AA80" s="278" t="e">
        <f>X80/X89</f>
        <v>#DIV/0!</v>
      </c>
      <c r="AB80" s="410"/>
    </row>
    <row r="81" spans="2:28" ht="15.6">
      <c r="B81" s="413"/>
      <c r="C81" s="416"/>
      <c r="D81" s="406"/>
      <c r="E81" s="406"/>
      <c r="F81" s="406"/>
      <c r="G81" s="409"/>
      <c r="I81" s="413"/>
      <c r="J81" s="416"/>
      <c r="K81" s="406"/>
      <c r="L81" s="406"/>
      <c r="M81" s="406"/>
      <c r="N81" s="409"/>
      <c r="P81" s="413"/>
      <c r="Q81" s="416"/>
      <c r="R81" s="406"/>
      <c r="S81" s="406"/>
      <c r="T81" s="406"/>
      <c r="U81" s="409"/>
      <c r="W81" s="169" t="s">
        <v>22</v>
      </c>
      <c r="X81" s="170">
        <f>COUNTIFS('1. All Data'!$AA$3:$AA$134,"Protecting our heritage",'1. All Data'!$V$3:$V$134,"Completion Date Within Reasonable Tolerance")</f>
        <v>0</v>
      </c>
      <c r="Y81" s="278" t="e">
        <f t="shared" si="5"/>
        <v>#DIV/0!</v>
      </c>
      <c r="Z81" s="401"/>
      <c r="AA81" s="278" t="e">
        <f>X81/X89</f>
        <v>#DIV/0!</v>
      </c>
      <c r="AB81" s="410"/>
    </row>
    <row r="82" spans="2:28" ht="15.6">
      <c r="B82" s="171" t="s">
        <v>27</v>
      </c>
      <c r="C82" s="167">
        <f>COUNTIFS('1. All Data'!$AA$3:$AA$134,"Protecting our heritage",'1. All Data'!$H$3:$H$134,"Completed Behind Schedule")</f>
        <v>0</v>
      </c>
      <c r="D82" s="278">
        <f>C82/C88</f>
        <v>0</v>
      </c>
      <c r="E82" s="401">
        <f>D82+D83</f>
        <v>0.1</v>
      </c>
      <c r="F82" s="278">
        <f>C82/C89</f>
        <v>0</v>
      </c>
      <c r="G82" s="402">
        <f>F82+F83</f>
        <v>0.1</v>
      </c>
      <c r="I82" s="171" t="s">
        <v>27</v>
      </c>
      <c r="J82" s="167">
        <f>COUNTIFS('1. All Data'!$AA$3:$AA$134,"Protecting our heritage",'1. All Data'!$M$3:$M$134,"Completed Behind Schedule")</f>
        <v>0</v>
      </c>
      <c r="K82" s="278" t="e">
        <f>J82/J88</f>
        <v>#DIV/0!</v>
      </c>
      <c r="L82" s="401" t="e">
        <f>K82+K83</f>
        <v>#DIV/0!</v>
      </c>
      <c r="M82" s="278" t="e">
        <f>J82/J89</f>
        <v>#DIV/0!</v>
      </c>
      <c r="N82" s="402" t="e">
        <f>M82+M83</f>
        <v>#DIV/0!</v>
      </c>
      <c r="P82" s="171" t="s">
        <v>27</v>
      </c>
      <c r="Q82" s="167">
        <f>COUNTIFS('1. All Data'!$AA$3:$AA$134,"Protecting our heritage",'1. All Data'!$R$3:$R$134,"Completed Behind Schedule")</f>
        <v>0</v>
      </c>
      <c r="R82" s="278" t="e">
        <f>Q82/Q88</f>
        <v>#DIV/0!</v>
      </c>
      <c r="S82" s="401" t="e">
        <f>R82+R83</f>
        <v>#DIV/0!</v>
      </c>
      <c r="T82" s="278" t="e">
        <f>Q82/Q89</f>
        <v>#DIV/0!</v>
      </c>
      <c r="U82" s="402" t="e">
        <f>T82+T83</f>
        <v>#DIV/0!</v>
      </c>
      <c r="W82" s="171" t="s">
        <v>21</v>
      </c>
      <c r="X82" s="167">
        <f>COUNTIFS('1. All Data'!$AA$3:$AA$134,"Protecting our heritage",'1. All Data'!$V$3:$V$134,"Completed Significantly After Target Deadline")</f>
        <v>0</v>
      </c>
      <c r="Y82" s="278" t="e">
        <f t="shared" si="5"/>
        <v>#DIV/0!</v>
      </c>
      <c r="Z82" s="401" t="e">
        <f>SUM(Y82:Y83)</f>
        <v>#DIV/0!</v>
      </c>
      <c r="AA82" s="278" t="e">
        <f>X82/X89</f>
        <v>#DIV/0!</v>
      </c>
      <c r="AB82" s="402" t="e">
        <f>AA82+AA83</f>
        <v>#DIV/0!</v>
      </c>
    </row>
    <row r="83" spans="2:28" ht="15.6">
      <c r="B83" s="171" t="s">
        <v>20</v>
      </c>
      <c r="C83" s="167">
        <f>COUNTIFS('1. All Data'!$AA$3:$AA$134,"Protecting our heritage",'1. All Data'!$H$3:$H$134,"Off Target")</f>
        <v>1</v>
      </c>
      <c r="D83" s="278">
        <f>C83/C88</f>
        <v>0.1</v>
      </c>
      <c r="E83" s="401"/>
      <c r="F83" s="278">
        <f>C83/C89</f>
        <v>0.1</v>
      </c>
      <c r="G83" s="402"/>
      <c r="I83" s="171" t="s">
        <v>20</v>
      </c>
      <c r="J83" s="167">
        <f>COUNTIFS('1. All Data'!$AA$3:$AA$134,"Protecting our heritage",'1. All Data'!$M$3:$M$134,"Off Target")</f>
        <v>0</v>
      </c>
      <c r="K83" s="278" t="e">
        <f>J83/J88</f>
        <v>#DIV/0!</v>
      </c>
      <c r="L83" s="401"/>
      <c r="M83" s="278" t="e">
        <f>J83/J89</f>
        <v>#DIV/0!</v>
      </c>
      <c r="N83" s="402"/>
      <c r="P83" s="171" t="s">
        <v>20</v>
      </c>
      <c r="Q83" s="167">
        <f>COUNTIFS('1. All Data'!$AA$3:$AA$134,"Protecting our heritage",'1. All Data'!$R$3:$R$134,"Off Target")</f>
        <v>0</v>
      </c>
      <c r="R83" s="278" t="e">
        <f>Q83/Q88</f>
        <v>#DIV/0!</v>
      </c>
      <c r="S83" s="401"/>
      <c r="T83" s="278" t="e">
        <f>Q83/Q89</f>
        <v>#DIV/0!</v>
      </c>
      <c r="U83" s="402"/>
      <c r="W83" s="171" t="s">
        <v>20</v>
      </c>
      <c r="X83" s="167">
        <f>COUNTIFS('1. All Data'!$AA$3:$AA$134,"Protecting our heritage",'1. All Data'!$V$3:$V$134,"Off Target")</f>
        <v>0</v>
      </c>
      <c r="Y83" s="278" t="e">
        <f t="shared" si="5"/>
        <v>#DIV/0!</v>
      </c>
      <c r="Z83" s="401"/>
      <c r="AA83" s="278" t="e">
        <f>X83/X89</f>
        <v>#DIV/0!</v>
      </c>
      <c r="AB83" s="402"/>
    </row>
    <row r="84" spans="2:28" ht="15.6">
      <c r="B84" s="172" t="s">
        <v>43</v>
      </c>
      <c r="C84" s="167">
        <f>COUNTIFS('1. All Data'!$AA$3:$AA$134,"Protecting our heritage",'1. All Data'!$H$3:$H$134,"Not yet due")</f>
        <v>0</v>
      </c>
      <c r="D84" s="173">
        <f>C84/C88</f>
        <v>0</v>
      </c>
      <c r="E84" s="173">
        <f>D84</f>
        <v>0</v>
      </c>
      <c r="F84" s="174"/>
      <c r="G84" s="58"/>
      <c r="I84" s="172" t="s">
        <v>43</v>
      </c>
      <c r="J84" s="167">
        <f>COUNTIFS('1. All Data'!$AA$3:$AA$134,"Protecting our heritage",'1. All Data'!$M$3:$M$134,"Not yet due")</f>
        <v>0</v>
      </c>
      <c r="K84" s="173" t="e">
        <f>J84/J88</f>
        <v>#DIV/0!</v>
      </c>
      <c r="L84" s="173" t="e">
        <f>K84</f>
        <v>#DIV/0!</v>
      </c>
      <c r="M84" s="174"/>
      <c r="N84" s="58"/>
      <c r="P84" s="172" t="s">
        <v>43</v>
      </c>
      <c r="Q84" s="167">
        <f>COUNTIFS('1. All Data'!$AA$3:$AA$134,"Protecting our heritage",'1. All Data'!$R$3:$R$134,"Not yet due")</f>
        <v>0</v>
      </c>
      <c r="R84" s="173" t="e">
        <f>Q84/Q88</f>
        <v>#DIV/0!</v>
      </c>
      <c r="S84" s="173" t="e">
        <f>R84</f>
        <v>#DIV/0!</v>
      </c>
      <c r="T84" s="174"/>
      <c r="U84" s="58"/>
      <c r="W84" s="172" t="s">
        <v>43</v>
      </c>
      <c r="X84" s="167">
        <f>COUNTIFS('1. All Data'!$AA$3:$AA$134,"Protecting our heritage",'1. All Data'!$V$3:$V$134,"Not yet due")</f>
        <v>0</v>
      </c>
      <c r="Y84" s="278" t="e">
        <f t="shared" si="5"/>
        <v>#DIV/0!</v>
      </c>
      <c r="Z84" s="278" t="e">
        <f>Y84</f>
        <v>#DIV/0!</v>
      </c>
      <c r="AA84" s="174"/>
      <c r="AB84" s="58"/>
    </row>
    <row r="85" spans="2:28" ht="15.6">
      <c r="B85" s="172" t="s">
        <v>15</v>
      </c>
      <c r="C85" s="167">
        <f>COUNTIFS('1. All Data'!$AA$3:$AA$134,"Protecting our heritage",'1. All Data'!$H$3:$H$134,"update not provided")</f>
        <v>0</v>
      </c>
      <c r="D85" s="173">
        <f>C85/C88</f>
        <v>0</v>
      </c>
      <c r="E85" s="173">
        <f>D85</f>
        <v>0</v>
      </c>
      <c r="F85" s="174"/>
      <c r="G85" s="2"/>
      <c r="I85" s="172" t="s">
        <v>15</v>
      </c>
      <c r="J85" s="167">
        <f>COUNTIFS('1. All Data'!$AA$3:$AA$134,"Protecting our heritage",'1. All Data'!$M$3:$M$134,"update not provided")</f>
        <v>0</v>
      </c>
      <c r="K85" s="173" t="e">
        <f>J85/J88</f>
        <v>#DIV/0!</v>
      </c>
      <c r="L85" s="173" t="e">
        <f>K85</f>
        <v>#DIV/0!</v>
      </c>
      <c r="M85" s="174"/>
      <c r="N85" s="2"/>
      <c r="P85" s="172" t="s">
        <v>15</v>
      </c>
      <c r="Q85" s="167">
        <f>COUNTIFS('1. All Data'!$AA$3:$AA$134,"Protecting our heritage",'1. All Data'!$R$3:$R$134,"update not provided")</f>
        <v>0</v>
      </c>
      <c r="R85" s="173" t="e">
        <f>Q85/Q88</f>
        <v>#DIV/0!</v>
      </c>
      <c r="S85" s="173" t="e">
        <f>R85</f>
        <v>#DIV/0!</v>
      </c>
      <c r="T85" s="174"/>
      <c r="U85" s="2"/>
      <c r="W85" s="172" t="s">
        <v>15</v>
      </c>
      <c r="X85" s="167">
        <f>COUNTIFS('1. All Data'!$AA$3:$AA$134,"Protecting our heritage",'1. All Data'!$V$3:$V$134,"update not provided")</f>
        <v>0</v>
      </c>
      <c r="Y85" s="278" t="e">
        <f t="shared" si="5"/>
        <v>#DIV/0!</v>
      </c>
      <c r="Z85" s="278" t="e">
        <f>Y85</f>
        <v>#DIV/0!</v>
      </c>
      <c r="AA85" s="174"/>
      <c r="AB85" s="2"/>
    </row>
    <row r="86" spans="2:28" ht="15.6">
      <c r="B86" s="175" t="s">
        <v>23</v>
      </c>
      <c r="C86" s="167">
        <f>COUNTIFS('1. All Data'!$AA$3:$AA$134,"Protecting our heritage",'1. All Data'!$H$3:$H$134,"Deferred")</f>
        <v>0</v>
      </c>
      <c r="D86" s="176">
        <f>C86/C88</f>
        <v>0</v>
      </c>
      <c r="E86" s="176">
        <f>D86</f>
        <v>0</v>
      </c>
      <c r="F86" s="177"/>
      <c r="G86" s="58"/>
      <c r="I86" s="175" t="s">
        <v>23</v>
      </c>
      <c r="J86" s="167">
        <f>COUNTIFS('1. All Data'!$AA$3:$AA$134,"Protecting our heritage",'1. All Data'!$M$3:$M$134,"Deferred")</f>
        <v>0</v>
      </c>
      <c r="K86" s="176" t="e">
        <f>J86/J88</f>
        <v>#DIV/0!</v>
      </c>
      <c r="L86" s="176" t="e">
        <f>K86</f>
        <v>#DIV/0!</v>
      </c>
      <c r="M86" s="177"/>
      <c r="N86" s="58"/>
      <c r="P86" s="175" t="s">
        <v>23</v>
      </c>
      <c r="Q86" s="167">
        <f>COUNTIFS('1. All Data'!$AA$3:$AA$134,"Protecting our heritage",'1. All Data'!$R$3:$R$134,"Deferred")</f>
        <v>0</v>
      </c>
      <c r="R86" s="176" t="e">
        <f>Q86/Q88</f>
        <v>#DIV/0!</v>
      </c>
      <c r="S86" s="176" t="e">
        <f>R86</f>
        <v>#DIV/0!</v>
      </c>
      <c r="T86" s="177"/>
      <c r="U86" s="58"/>
      <c r="W86" s="175" t="s">
        <v>23</v>
      </c>
      <c r="X86" s="167">
        <f>COUNTIFS('1. All Data'!$AA$3:$AA$134,"Protecting our heritage",'1. All Data'!$V$3:$V$134,"Deferred")</f>
        <v>0</v>
      </c>
      <c r="Y86" s="278" t="e">
        <f t="shared" si="5"/>
        <v>#DIV/0!</v>
      </c>
      <c r="Z86" s="278" t="e">
        <f>Y86</f>
        <v>#DIV/0!</v>
      </c>
      <c r="AA86" s="177"/>
      <c r="AB86" s="58"/>
    </row>
    <row r="87" spans="2:28" ht="15.6">
      <c r="B87" s="175" t="s">
        <v>24</v>
      </c>
      <c r="C87" s="167">
        <f>COUNTIFS('1. All Data'!$AA$3:$AA$134,"Protecting our heritage",'1. All Data'!$H$3:$H$134,"Deleted")</f>
        <v>0</v>
      </c>
      <c r="D87" s="176">
        <f>C87/C88</f>
        <v>0</v>
      </c>
      <c r="E87" s="176">
        <f>D87</f>
        <v>0</v>
      </c>
      <c r="F87" s="177"/>
      <c r="G87" s="3"/>
      <c r="I87" s="175" t="s">
        <v>24</v>
      </c>
      <c r="J87" s="167">
        <f>COUNTIFS('1. All Data'!$AA$3:$AA$134,"Protecting our heritage",'1. All Data'!$M$3:$M$134,"Deleted")</f>
        <v>0</v>
      </c>
      <c r="K87" s="176" t="e">
        <f>J87/J88</f>
        <v>#DIV/0!</v>
      </c>
      <c r="L87" s="176" t="e">
        <f>K87</f>
        <v>#DIV/0!</v>
      </c>
      <c r="M87" s="177"/>
      <c r="N87" s="3"/>
      <c r="P87" s="175" t="s">
        <v>24</v>
      </c>
      <c r="Q87" s="167">
        <f>COUNTIFS('1. All Data'!$AA$3:$AA$134,"Protecting our heritage",'1. All Data'!$R$3:$R$134,"Deleted")</f>
        <v>0</v>
      </c>
      <c r="R87" s="176" t="e">
        <f>Q87/Q88</f>
        <v>#DIV/0!</v>
      </c>
      <c r="S87" s="176" t="e">
        <f>R87</f>
        <v>#DIV/0!</v>
      </c>
      <c r="T87" s="177"/>
      <c r="U87" s="3"/>
      <c r="W87" s="175" t="s">
        <v>24</v>
      </c>
      <c r="X87" s="167">
        <f>COUNTIFS('1. All Data'!$AA$3:$AA$134,"Protecting our heritage",'1. All Data'!$V$3:$V$134,"Deleted")</f>
        <v>0</v>
      </c>
      <c r="Y87" s="278" t="e">
        <f t="shared" si="5"/>
        <v>#DIV/0!</v>
      </c>
      <c r="Z87" s="278" t="e">
        <f>Y87</f>
        <v>#DIV/0!</v>
      </c>
      <c r="AA87" s="177"/>
    </row>
    <row r="88" spans="2:28" ht="15.6">
      <c r="B88" s="193" t="s">
        <v>45</v>
      </c>
      <c r="C88" s="179">
        <f>SUM(C77:C87)</f>
        <v>10</v>
      </c>
      <c r="D88" s="177"/>
      <c r="E88" s="177"/>
      <c r="F88" s="58"/>
      <c r="G88" s="58"/>
      <c r="I88" s="193" t="s">
        <v>45</v>
      </c>
      <c r="J88" s="179">
        <f>SUM(J77:J87)</f>
        <v>0</v>
      </c>
      <c r="K88" s="177"/>
      <c r="L88" s="177"/>
      <c r="M88" s="58"/>
      <c r="N88" s="58"/>
      <c r="P88" s="193" t="s">
        <v>45</v>
      </c>
      <c r="Q88" s="179">
        <f>SUM(Q77:Q87)</f>
        <v>0</v>
      </c>
      <c r="R88" s="177"/>
      <c r="S88" s="177"/>
      <c r="T88" s="58"/>
      <c r="U88" s="58"/>
      <c r="W88" s="178" t="s">
        <v>45</v>
      </c>
      <c r="X88" s="179">
        <f>SUM(X77:X87)</f>
        <v>0</v>
      </c>
      <c r="Y88" s="177"/>
      <c r="Z88" s="177"/>
      <c r="AA88" s="58"/>
      <c r="AB88" s="58"/>
    </row>
    <row r="89" spans="2:28" ht="15.6">
      <c r="B89" s="193" t="s">
        <v>46</v>
      </c>
      <c r="C89" s="179">
        <f>C88-C87-C86-C85-C84</f>
        <v>10</v>
      </c>
      <c r="D89" s="58"/>
      <c r="E89" s="58"/>
      <c r="F89" s="58"/>
      <c r="G89" s="58"/>
      <c r="I89" s="193" t="s">
        <v>46</v>
      </c>
      <c r="J89" s="179">
        <f>J88-J87-J86-J85-J84</f>
        <v>0</v>
      </c>
      <c r="K89" s="58"/>
      <c r="L89" s="58"/>
      <c r="M89" s="58"/>
      <c r="N89" s="58"/>
      <c r="P89" s="193" t="s">
        <v>46</v>
      </c>
      <c r="Q89" s="179">
        <f>Q88-Q87-Q86-Q85-Q84</f>
        <v>0</v>
      </c>
      <c r="R89" s="58"/>
      <c r="S89" s="58"/>
      <c r="T89" s="58"/>
      <c r="U89" s="58"/>
      <c r="W89" s="178" t="s">
        <v>46</v>
      </c>
      <c r="X89" s="179">
        <f>X88-X87-X86-X85-X84</f>
        <v>0</v>
      </c>
      <c r="Y89" s="58"/>
      <c r="Z89" s="58"/>
      <c r="AA89" s="58"/>
      <c r="AB89" s="58"/>
    </row>
    <row r="91" spans="2:28" hidden="1"/>
    <row r="92" spans="2:28" hidden="1"/>
    <row r="93" spans="2:28" ht="15.6">
      <c r="B93" s="188" t="s">
        <v>125</v>
      </c>
      <c r="C93" s="189"/>
      <c r="D93" s="189"/>
      <c r="E93" s="189"/>
      <c r="F93" s="190"/>
      <c r="G93" s="191"/>
      <c r="I93" s="188" t="s">
        <v>125</v>
      </c>
      <c r="J93" s="189"/>
      <c r="K93" s="189"/>
      <c r="L93" s="189"/>
      <c r="M93" s="190"/>
      <c r="N93" s="191"/>
      <c r="P93" s="188" t="s">
        <v>125</v>
      </c>
      <c r="Q93" s="189"/>
      <c r="R93" s="189"/>
      <c r="S93" s="189"/>
      <c r="T93" s="190"/>
      <c r="U93" s="191"/>
      <c r="W93" s="188" t="s">
        <v>125</v>
      </c>
      <c r="X93" s="195"/>
      <c r="Y93" s="162"/>
      <c r="Z93" s="162"/>
      <c r="AA93" s="162"/>
      <c r="AB93" s="163"/>
    </row>
    <row r="94" spans="2:28" ht="31.2">
      <c r="B94" s="164" t="s">
        <v>36</v>
      </c>
      <c r="C94" s="164" t="s">
        <v>37</v>
      </c>
      <c r="D94" s="164" t="s">
        <v>38</v>
      </c>
      <c r="E94" s="164" t="s">
        <v>39</v>
      </c>
      <c r="F94" s="164" t="s">
        <v>40</v>
      </c>
      <c r="G94" s="164" t="s">
        <v>41</v>
      </c>
      <c r="I94" s="164" t="s">
        <v>36</v>
      </c>
      <c r="J94" s="164" t="s">
        <v>37</v>
      </c>
      <c r="K94" s="164" t="s">
        <v>38</v>
      </c>
      <c r="L94" s="164" t="s">
        <v>39</v>
      </c>
      <c r="M94" s="164" t="s">
        <v>40</v>
      </c>
      <c r="N94" s="164" t="s">
        <v>41</v>
      </c>
      <c r="P94" s="164" t="s">
        <v>36</v>
      </c>
      <c r="Q94" s="164" t="s">
        <v>37</v>
      </c>
      <c r="R94" s="164" t="s">
        <v>38</v>
      </c>
      <c r="S94" s="164" t="s">
        <v>39</v>
      </c>
      <c r="T94" s="164" t="s">
        <v>40</v>
      </c>
      <c r="U94" s="164" t="s">
        <v>41</v>
      </c>
      <c r="W94" s="164" t="s">
        <v>36</v>
      </c>
      <c r="X94" s="164" t="s">
        <v>37</v>
      </c>
      <c r="Y94" s="164" t="s">
        <v>38</v>
      </c>
      <c r="Z94" s="164" t="s">
        <v>39</v>
      </c>
      <c r="AA94" s="164" t="s">
        <v>40</v>
      </c>
      <c r="AB94" s="164" t="s">
        <v>41</v>
      </c>
    </row>
    <row r="95" spans="2:28" ht="15.6">
      <c r="B95" s="227" t="s">
        <v>42</v>
      </c>
      <c r="C95" s="167">
        <f>COUNTIFS('1. All Data'!$AA$3:$AA$134,"Standing up for our communities",'1. All Data'!$H$3:$H$134,"Fully Achieved")</f>
        <v>2</v>
      </c>
      <c r="D95" s="278">
        <f>C95/C106</f>
        <v>7.1428571428571425E-2</v>
      </c>
      <c r="E95" s="401">
        <f>D95+D96</f>
        <v>0.8214285714285714</v>
      </c>
      <c r="F95" s="278">
        <f>C95/C107</f>
        <v>8.6956521739130432E-2</v>
      </c>
      <c r="G95" s="403">
        <f>F95+F96</f>
        <v>1</v>
      </c>
      <c r="I95" s="227" t="s">
        <v>42</v>
      </c>
      <c r="J95" s="167">
        <f>COUNTIFS('1. All Data'!$AA$3:$AA$134,"Standing up for our communities",'1. All Data'!$M$3:$M$134,"Fully Achieved")</f>
        <v>0</v>
      </c>
      <c r="K95" s="278" t="e">
        <f>J95/J106</f>
        <v>#DIV/0!</v>
      </c>
      <c r="L95" s="401" t="e">
        <f>K95+K96</f>
        <v>#DIV/0!</v>
      </c>
      <c r="M95" s="278" t="e">
        <f>J95/J107</f>
        <v>#DIV/0!</v>
      </c>
      <c r="N95" s="403" t="e">
        <f>M95+M96</f>
        <v>#DIV/0!</v>
      </c>
      <c r="P95" s="227" t="s">
        <v>42</v>
      </c>
      <c r="Q95" s="167">
        <f>COUNTIFS('1. All Data'!$AA$3:$AA$134,"Standing up for our communities",'1. All Data'!$R$3:$R$134,"Fully Achieved")</f>
        <v>0</v>
      </c>
      <c r="R95" s="278" t="e">
        <f>Q95/Q106</f>
        <v>#DIV/0!</v>
      </c>
      <c r="S95" s="401" t="e">
        <f>R95+R96</f>
        <v>#DIV/0!</v>
      </c>
      <c r="T95" s="278" t="e">
        <f>Q95/Q107</f>
        <v>#DIV/0!</v>
      </c>
      <c r="U95" s="403" t="e">
        <f>T95+T96</f>
        <v>#DIV/0!</v>
      </c>
      <c r="W95" s="227" t="s">
        <v>42</v>
      </c>
      <c r="X95" s="167">
        <f>COUNTIFS('1. All Data'!$AA$3:$AA$134,"Standing up for our communities",'1. All Data'!$V$3:$V$134,"Fully Achieved")</f>
        <v>0</v>
      </c>
      <c r="Y95" s="278" t="e">
        <f>X95/X106</f>
        <v>#DIV/0!</v>
      </c>
      <c r="Z95" s="401" t="e">
        <f>Y95+Y96</f>
        <v>#DIV/0!</v>
      </c>
      <c r="AA95" s="278" t="e">
        <f>X95/X107</f>
        <v>#DIV/0!</v>
      </c>
      <c r="AB95" s="403" t="e">
        <f>AA95+AA96</f>
        <v>#DIV/0!</v>
      </c>
    </row>
    <row r="96" spans="2:28" ht="15.6">
      <c r="B96" s="227" t="s">
        <v>25</v>
      </c>
      <c r="C96" s="167">
        <f>COUNTIFS('1. All Data'!$AA$3:$AA$134,"Standing up for our communities",'1. All Data'!$H$3:$H$134,"On Track to be achieved")</f>
        <v>21</v>
      </c>
      <c r="D96" s="278">
        <f>C96/C106</f>
        <v>0.75</v>
      </c>
      <c r="E96" s="401"/>
      <c r="F96" s="278">
        <f>C96/C107</f>
        <v>0.91304347826086951</v>
      </c>
      <c r="G96" s="403"/>
      <c r="I96" s="227" t="s">
        <v>25</v>
      </c>
      <c r="J96" s="167">
        <f>COUNTIFS('1. All Data'!$AA$3:$AA$134,"Standing up for our communities",'1. All Data'!$M$3:$M$134,"On Track to be achieved")</f>
        <v>0</v>
      </c>
      <c r="K96" s="278" t="e">
        <f>J96/J106</f>
        <v>#DIV/0!</v>
      </c>
      <c r="L96" s="401"/>
      <c r="M96" s="278" t="e">
        <f>J96/J107</f>
        <v>#DIV/0!</v>
      </c>
      <c r="N96" s="403"/>
      <c r="P96" s="227" t="s">
        <v>25</v>
      </c>
      <c r="Q96" s="167">
        <f>COUNTIFS('1. All Data'!$AA$3:$AA$134,"Standing up for our communities",'1. All Data'!$R$3:$R$134,"On Track to be achieved")</f>
        <v>0</v>
      </c>
      <c r="R96" s="278" t="e">
        <f>Q96/Q106</f>
        <v>#DIV/0!</v>
      </c>
      <c r="S96" s="401"/>
      <c r="T96" s="278" t="e">
        <f>Q96/Q107</f>
        <v>#DIV/0!</v>
      </c>
      <c r="U96" s="403"/>
      <c r="W96" s="227" t="s">
        <v>17</v>
      </c>
      <c r="X96" s="167">
        <f>COUNTIFS('1. All Data'!$AA$3:$AA$134,"Standing up for our communities",'1. All Data'!$V$3:$V$134,"Numerical Outturn Within 5% Tolerance")</f>
        <v>0</v>
      </c>
      <c r="Y96" s="278" t="e">
        <f>X96/X106</f>
        <v>#DIV/0!</v>
      </c>
      <c r="Z96" s="401"/>
      <c r="AA96" s="278" t="e">
        <f>X96/X107</f>
        <v>#DIV/0!</v>
      </c>
      <c r="AB96" s="403"/>
    </row>
    <row r="97" spans="2:28" ht="15.6">
      <c r="B97" s="411" t="s">
        <v>26</v>
      </c>
      <c r="C97" s="414">
        <f>COUNTIFS('1. All Data'!$AA$3:$AA$134,"Standing up for our communities",'1. All Data'!$H$3:$H$134,"In Danger of Falling Behind Target")</f>
        <v>0</v>
      </c>
      <c r="D97" s="404">
        <f>C97/C106</f>
        <v>0</v>
      </c>
      <c r="E97" s="404">
        <f>D97</f>
        <v>0</v>
      </c>
      <c r="F97" s="404">
        <f>C97/C107</f>
        <v>0</v>
      </c>
      <c r="G97" s="407">
        <f>F97</f>
        <v>0</v>
      </c>
      <c r="I97" s="411" t="s">
        <v>26</v>
      </c>
      <c r="J97" s="414">
        <f>COUNTIFS('1. All Data'!$AA$3:$AA$134,"Standing up for our communities",'1. All Data'!$M$3:$M$134,"In Danger of Falling Behind Target")</f>
        <v>0</v>
      </c>
      <c r="K97" s="404" t="e">
        <f>J97/J106</f>
        <v>#DIV/0!</v>
      </c>
      <c r="L97" s="404" t="e">
        <f>K97</f>
        <v>#DIV/0!</v>
      </c>
      <c r="M97" s="404" t="e">
        <f>J97/J107</f>
        <v>#DIV/0!</v>
      </c>
      <c r="N97" s="407" t="e">
        <f>M97</f>
        <v>#DIV/0!</v>
      </c>
      <c r="P97" s="411" t="s">
        <v>26</v>
      </c>
      <c r="Q97" s="414">
        <f>COUNTIFS('1. All Data'!$AA$3:$AA$134,"Standing up for our communities",'1. All Data'!$R$3:$R$134,"In Danger of Falling Behind Target")</f>
        <v>0</v>
      </c>
      <c r="R97" s="404" t="e">
        <f>Q97/Q106</f>
        <v>#DIV/0!</v>
      </c>
      <c r="S97" s="404" t="e">
        <f>R97</f>
        <v>#DIV/0!</v>
      </c>
      <c r="T97" s="404" t="e">
        <f>Q97/Q107</f>
        <v>#DIV/0!</v>
      </c>
      <c r="U97" s="407" t="e">
        <f>T97</f>
        <v>#DIV/0!</v>
      </c>
      <c r="W97" s="169" t="s">
        <v>18</v>
      </c>
      <c r="X97" s="170">
        <f>COUNTIFS('1. All Data'!$AA$3:$AA$134,"Standing up for our communities",'1. All Data'!$V$3:$V$134,"Numerical Outturn Within 10% Tolerance")</f>
        <v>0</v>
      </c>
      <c r="Y97" s="278" t="e">
        <f t="shared" ref="Y97:Y105" si="6">X97/$X$34</f>
        <v>#DIV/0!</v>
      </c>
      <c r="Z97" s="401" t="e">
        <f>SUM(Y97:Y99)</f>
        <v>#DIV/0!</v>
      </c>
      <c r="AA97" s="278" t="e">
        <f>X97/X107</f>
        <v>#DIV/0!</v>
      </c>
      <c r="AB97" s="410" t="e">
        <f>SUM(AA97:AA99)</f>
        <v>#DIV/0!</v>
      </c>
    </row>
    <row r="98" spans="2:28" ht="15.6">
      <c r="B98" s="412"/>
      <c r="C98" s="415"/>
      <c r="D98" s="405"/>
      <c r="E98" s="405"/>
      <c r="F98" s="405"/>
      <c r="G98" s="408"/>
      <c r="I98" s="412"/>
      <c r="J98" s="415"/>
      <c r="K98" s="405"/>
      <c r="L98" s="405"/>
      <c r="M98" s="405"/>
      <c r="N98" s="408"/>
      <c r="P98" s="412"/>
      <c r="Q98" s="415"/>
      <c r="R98" s="405"/>
      <c r="S98" s="405"/>
      <c r="T98" s="405"/>
      <c r="U98" s="408"/>
      <c r="W98" s="169" t="s">
        <v>19</v>
      </c>
      <c r="X98" s="170">
        <f>COUNTIFS('1. All Data'!$AA$3:$AA$134,"Standing up for our communities",'1. All Data'!$V$3:$V$134,"Target Partially Met")</f>
        <v>0</v>
      </c>
      <c r="Y98" s="278" t="e">
        <f t="shared" si="6"/>
        <v>#DIV/0!</v>
      </c>
      <c r="Z98" s="401"/>
      <c r="AA98" s="278" t="e">
        <f>X98/X107</f>
        <v>#DIV/0!</v>
      </c>
      <c r="AB98" s="410"/>
    </row>
    <row r="99" spans="2:28" ht="15.6">
      <c r="B99" s="413"/>
      <c r="C99" s="416"/>
      <c r="D99" s="406"/>
      <c r="E99" s="406"/>
      <c r="F99" s="406"/>
      <c r="G99" s="409"/>
      <c r="I99" s="413"/>
      <c r="J99" s="416"/>
      <c r="K99" s="406"/>
      <c r="L99" s="406"/>
      <c r="M99" s="406"/>
      <c r="N99" s="409"/>
      <c r="P99" s="413"/>
      <c r="Q99" s="416"/>
      <c r="R99" s="406"/>
      <c r="S99" s="406"/>
      <c r="T99" s="406"/>
      <c r="U99" s="409"/>
      <c r="W99" s="169" t="s">
        <v>22</v>
      </c>
      <c r="X99" s="170">
        <f>COUNTIFS('1. All Data'!$AA$3:$AA$134,"Standing up for our communities",'1. All Data'!$V$3:$V$134,"Completion Date Within Reasonable Tolerance")</f>
        <v>0</v>
      </c>
      <c r="Y99" s="278" t="e">
        <f t="shared" si="6"/>
        <v>#DIV/0!</v>
      </c>
      <c r="Z99" s="401"/>
      <c r="AA99" s="278" t="e">
        <f>X99/X107</f>
        <v>#DIV/0!</v>
      </c>
      <c r="AB99" s="410"/>
    </row>
    <row r="100" spans="2:28" ht="15.6">
      <c r="B100" s="171" t="s">
        <v>27</v>
      </c>
      <c r="C100" s="167">
        <f>COUNTIFS('1. All Data'!$AA$3:$AA$134,"Standing up for our communities",'1. All Data'!$H$3:$H$134,"Completed Behind Schedule")</f>
        <v>0</v>
      </c>
      <c r="D100" s="278">
        <f>C100/C106</f>
        <v>0</v>
      </c>
      <c r="E100" s="401">
        <f>D100+D101</f>
        <v>0</v>
      </c>
      <c r="F100" s="278">
        <f>C100/C107</f>
        <v>0</v>
      </c>
      <c r="G100" s="402">
        <f>F100+F101</f>
        <v>0</v>
      </c>
      <c r="I100" s="171" t="s">
        <v>27</v>
      </c>
      <c r="J100" s="167">
        <f>COUNTIFS('1. All Data'!$AA$3:$AA$134,"Standing up for our communities",'1. All Data'!$M$3:$M$134,"Completed Behind Schedule")</f>
        <v>0</v>
      </c>
      <c r="K100" s="278" t="e">
        <f>J100/J106</f>
        <v>#DIV/0!</v>
      </c>
      <c r="L100" s="401" t="e">
        <f>K100+K101</f>
        <v>#DIV/0!</v>
      </c>
      <c r="M100" s="278" t="e">
        <f>J100/J107</f>
        <v>#DIV/0!</v>
      </c>
      <c r="N100" s="402" t="e">
        <f>M100+M101</f>
        <v>#DIV/0!</v>
      </c>
      <c r="P100" s="171" t="s">
        <v>27</v>
      </c>
      <c r="Q100" s="167">
        <f>COUNTIFS('1. All Data'!$AA$3:$AA$134,"Standing up for our communities",'1. All Data'!$R$3:$R$134,"Completed Behind Schedule")</f>
        <v>0</v>
      </c>
      <c r="R100" s="278" t="e">
        <f>Q100/Q106</f>
        <v>#DIV/0!</v>
      </c>
      <c r="S100" s="401" t="e">
        <f>R100+R101</f>
        <v>#DIV/0!</v>
      </c>
      <c r="T100" s="278" t="e">
        <f>Q100/Q107</f>
        <v>#DIV/0!</v>
      </c>
      <c r="U100" s="402" t="e">
        <f>T100+T101</f>
        <v>#DIV/0!</v>
      </c>
      <c r="W100" s="171" t="s">
        <v>21</v>
      </c>
      <c r="X100" s="167">
        <f>COUNTIFS('1. All Data'!$AA$3:$AA$134,"Standing up for our communities",'1. All Data'!$V$3:$V$134,"Completed Significantly After Target Deadline")</f>
        <v>0</v>
      </c>
      <c r="Y100" s="278" t="e">
        <f t="shared" si="6"/>
        <v>#DIV/0!</v>
      </c>
      <c r="Z100" s="401" t="e">
        <f>SUM(Y100:Y101)</f>
        <v>#DIV/0!</v>
      </c>
      <c r="AA100" s="278" t="e">
        <f>X100/X107</f>
        <v>#DIV/0!</v>
      </c>
      <c r="AB100" s="402" t="e">
        <f>AA100+AA101</f>
        <v>#DIV/0!</v>
      </c>
    </row>
    <row r="101" spans="2:28" ht="15.6">
      <c r="B101" s="171" t="s">
        <v>20</v>
      </c>
      <c r="C101" s="167">
        <f>COUNTIFS('1. All Data'!$AA$3:$AA$134,"Standing up for our communities",'1. All Data'!$H$3:$H$134,"Off Target")</f>
        <v>0</v>
      </c>
      <c r="D101" s="278">
        <f>C101/C106</f>
        <v>0</v>
      </c>
      <c r="E101" s="401"/>
      <c r="F101" s="278">
        <f>C101/C107</f>
        <v>0</v>
      </c>
      <c r="G101" s="402"/>
      <c r="I101" s="171" t="s">
        <v>20</v>
      </c>
      <c r="J101" s="167">
        <f>COUNTIFS('1. All Data'!$AA$3:$AA$134,"Standing up for our communities",'1. All Data'!$M$3:$M$134,"Off Target")</f>
        <v>0</v>
      </c>
      <c r="K101" s="278" t="e">
        <f>J101/J106</f>
        <v>#DIV/0!</v>
      </c>
      <c r="L101" s="401"/>
      <c r="M101" s="278" t="e">
        <f>J101/J107</f>
        <v>#DIV/0!</v>
      </c>
      <c r="N101" s="402"/>
      <c r="P101" s="171" t="s">
        <v>20</v>
      </c>
      <c r="Q101" s="167">
        <f>COUNTIFS('1. All Data'!$AA$3:$AA$134,"Standing up for our communities",'1. All Data'!$R$3:$R$134,"Off Target")</f>
        <v>0</v>
      </c>
      <c r="R101" s="278" t="e">
        <f>Q101/Q106</f>
        <v>#DIV/0!</v>
      </c>
      <c r="S101" s="401"/>
      <c r="T101" s="278" t="e">
        <f>Q101/Q107</f>
        <v>#DIV/0!</v>
      </c>
      <c r="U101" s="402"/>
      <c r="W101" s="171" t="s">
        <v>20</v>
      </c>
      <c r="X101" s="167">
        <f>COUNTIFS('1. All Data'!$AA$3:$AA$134,"Standing up for our communities",'1. All Data'!$V$3:$V$134,"Off Target")</f>
        <v>0</v>
      </c>
      <c r="Y101" s="278" t="e">
        <f t="shared" si="6"/>
        <v>#DIV/0!</v>
      </c>
      <c r="Z101" s="401"/>
      <c r="AA101" s="278" t="e">
        <f>X101/X107</f>
        <v>#DIV/0!</v>
      </c>
      <c r="AB101" s="402"/>
    </row>
    <row r="102" spans="2:28" ht="15.6">
      <c r="B102" s="172" t="s">
        <v>43</v>
      </c>
      <c r="C102" s="167">
        <f>COUNTIFS('1. All Data'!$AA$3:$AA$134,"Standing up for our communities",'1. All Data'!$H$3:$H$134,"Not yet due")</f>
        <v>5</v>
      </c>
      <c r="D102" s="173">
        <f>C102/C106</f>
        <v>0.17857142857142858</v>
      </c>
      <c r="E102" s="173">
        <f>D102</f>
        <v>0.17857142857142858</v>
      </c>
      <c r="F102" s="174"/>
      <c r="G102" s="58"/>
      <c r="I102" s="172" t="s">
        <v>43</v>
      </c>
      <c r="J102" s="167">
        <f>COUNTIFS('1. All Data'!$AA$3:$AA$134,"Standing up for our communities",'1. All Data'!$M$3:$M$134,"Not yet due")</f>
        <v>0</v>
      </c>
      <c r="K102" s="173" t="e">
        <f>J102/J106</f>
        <v>#DIV/0!</v>
      </c>
      <c r="L102" s="173" t="e">
        <f>K102</f>
        <v>#DIV/0!</v>
      </c>
      <c r="M102" s="174"/>
      <c r="N102" s="58"/>
      <c r="P102" s="172" t="s">
        <v>43</v>
      </c>
      <c r="Q102" s="167">
        <f>COUNTIFS('1. All Data'!$AA$3:$AA$134,"Standing up for our communities",'1. All Data'!$R$3:$R$134,"Not yet due")</f>
        <v>0</v>
      </c>
      <c r="R102" s="173" t="e">
        <f>Q102/Q106</f>
        <v>#DIV/0!</v>
      </c>
      <c r="S102" s="173" t="e">
        <f>R102</f>
        <v>#DIV/0!</v>
      </c>
      <c r="T102" s="174"/>
      <c r="U102" s="58"/>
      <c r="W102" s="172" t="s">
        <v>43</v>
      </c>
      <c r="X102" s="167">
        <f>COUNTIFS('1. All Data'!$AA$3:$AA$134,"Standing up for our communities",'1. All Data'!$V$3:$V$134,"Not yet due")</f>
        <v>0</v>
      </c>
      <c r="Y102" s="278" t="e">
        <f t="shared" si="6"/>
        <v>#DIV/0!</v>
      </c>
      <c r="Z102" s="278" t="e">
        <f>Y102</f>
        <v>#DIV/0!</v>
      </c>
      <c r="AA102" s="174"/>
      <c r="AB102" s="58"/>
    </row>
    <row r="103" spans="2:28" ht="15.6">
      <c r="B103" s="172" t="s">
        <v>15</v>
      </c>
      <c r="C103" s="167">
        <f>COUNTIFS('1. All Data'!$AA$3:$AA$134,"Standing up for our communities",'1. All Data'!$H$3:$H$134,"update not provided")</f>
        <v>0</v>
      </c>
      <c r="D103" s="173">
        <f>C103/C106</f>
        <v>0</v>
      </c>
      <c r="E103" s="173">
        <f>D103</f>
        <v>0</v>
      </c>
      <c r="F103" s="174"/>
      <c r="G103" s="2"/>
      <c r="I103" s="172" t="s">
        <v>15</v>
      </c>
      <c r="J103" s="167">
        <f>COUNTIFS('1. All Data'!$AA$3:$AA$134,"Standing up for our communities",'1. All Data'!$M$3:$M$134,"update not provided")</f>
        <v>0</v>
      </c>
      <c r="K103" s="173" t="e">
        <f>J103/J106</f>
        <v>#DIV/0!</v>
      </c>
      <c r="L103" s="173" t="e">
        <f>K103</f>
        <v>#DIV/0!</v>
      </c>
      <c r="M103" s="174"/>
      <c r="N103" s="2"/>
      <c r="P103" s="172" t="s">
        <v>15</v>
      </c>
      <c r="Q103" s="167">
        <f>COUNTIFS('1. All Data'!$AA$3:$AA$134,"Standing up for our communities",'1. All Data'!$R$3:$R$134,"update not provided")</f>
        <v>0</v>
      </c>
      <c r="R103" s="173" t="e">
        <f>Q103/Q106</f>
        <v>#DIV/0!</v>
      </c>
      <c r="S103" s="173" t="e">
        <f>R103</f>
        <v>#DIV/0!</v>
      </c>
      <c r="T103" s="174"/>
      <c r="U103" s="2"/>
      <c r="W103" s="172" t="s">
        <v>15</v>
      </c>
      <c r="X103" s="167">
        <f>COUNTIFS('1. All Data'!$AA$3:$AA$134,"Standing up for our communities",'1. All Data'!$V$3:$V$134,"update not provided")</f>
        <v>0</v>
      </c>
      <c r="Y103" s="278" t="e">
        <f t="shared" si="6"/>
        <v>#DIV/0!</v>
      </c>
      <c r="Z103" s="278" t="e">
        <f>Y103</f>
        <v>#DIV/0!</v>
      </c>
      <c r="AA103" s="174"/>
      <c r="AB103" s="2"/>
    </row>
    <row r="104" spans="2:28" ht="15.6">
      <c r="B104" s="175" t="s">
        <v>23</v>
      </c>
      <c r="C104" s="167">
        <f>COUNTIFS('1. All Data'!$AA$3:$AA$134,"Standing up for our communities",'1. All Data'!$H$3:$H$134,"Deferred")</f>
        <v>0</v>
      </c>
      <c r="D104" s="176">
        <f>C104/C106</f>
        <v>0</v>
      </c>
      <c r="E104" s="176">
        <f>D104</f>
        <v>0</v>
      </c>
      <c r="F104" s="177"/>
      <c r="G104" s="58"/>
      <c r="I104" s="175" t="s">
        <v>23</v>
      </c>
      <c r="J104" s="167">
        <f>COUNTIFS('1. All Data'!$AA$3:$AA$134,"Standing up for our communities",'1. All Data'!$M$3:$M$134,"Deferred")</f>
        <v>0</v>
      </c>
      <c r="K104" s="176" t="e">
        <f>J104/J106</f>
        <v>#DIV/0!</v>
      </c>
      <c r="L104" s="176" t="e">
        <f>K104</f>
        <v>#DIV/0!</v>
      </c>
      <c r="M104" s="177"/>
      <c r="N104" s="58"/>
      <c r="P104" s="175" t="s">
        <v>23</v>
      </c>
      <c r="Q104" s="167">
        <f>COUNTIFS('1. All Data'!$AA$3:$AA$134,"Standing up for our communities",'1. All Data'!$R$3:$R$134,"Deferred")</f>
        <v>0</v>
      </c>
      <c r="R104" s="176" t="e">
        <f>Q104/Q106</f>
        <v>#DIV/0!</v>
      </c>
      <c r="S104" s="176" t="e">
        <f>R104</f>
        <v>#DIV/0!</v>
      </c>
      <c r="T104" s="177"/>
      <c r="U104" s="58"/>
      <c r="W104" s="175" t="s">
        <v>23</v>
      </c>
      <c r="X104" s="167">
        <f>COUNTIFS('1. All Data'!$AA$3:$AA$134,"Standing up for our communities",'1. All Data'!$V$3:$V$134,"Deferred")</f>
        <v>0</v>
      </c>
      <c r="Y104" s="278" t="e">
        <f t="shared" si="6"/>
        <v>#DIV/0!</v>
      </c>
      <c r="Z104" s="278" t="e">
        <f>Y104</f>
        <v>#DIV/0!</v>
      </c>
      <c r="AA104" s="177"/>
      <c r="AB104" s="58"/>
    </row>
    <row r="105" spans="2:28" ht="15.6">
      <c r="B105" s="175" t="s">
        <v>24</v>
      </c>
      <c r="C105" s="167">
        <f>COUNTIFS('1. All Data'!$AA$3:$AA$134,"Standing up for our communities",'1. All Data'!$H$3:$H$134,"Deleted")</f>
        <v>0</v>
      </c>
      <c r="D105" s="176">
        <f>C105/C106</f>
        <v>0</v>
      </c>
      <c r="E105" s="176">
        <f>D105</f>
        <v>0</v>
      </c>
      <c r="F105" s="177"/>
      <c r="G105" s="3"/>
      <c r="I105" s="175" t="s">
        <v>24</v>
      </c>
      <c r="J105" s="167">
        <f>COUNTIFS('1. All Data'!$AA$3:$AA$134,"Standing up for our communities",'1. All Data'!$M$3:$M$134,"Deleted")</f>
        <v>0</v>
      </c>
      <c r="K105" s="176" t="e">
        <f>J105/J106</f>
        <v>#DIV/0!</v>
      </c>
      <c r="L105" s="176" t="e">
        <f>K105</f>
        <v>#DIV/0!</v>
      </c>
      <c r="M105" s="177"/>
      <c r="N105" s="3"/>
      <c r="P105" s="175" t="s">
        <v>24</v>
      </c>
      <c r="Q105" s="167">
        <f>COUNTIFS('1. All Data'!$AA$3:$AA$134,"Standing up for our communities",'1. All Data'!$R$3:$R$134,"Deleted")</f>
        <v>0</v>
      </c>
      <c r="R105" s="176" t="e">
        <f>Q105/Q106</f>
        <v>#DIV/0!</v>
      </c>
      <c r="S105" s="176" t="e">
        <f>R105</f>
        <v>#DIV/0!</v>
      </c>
      <c r="T105" s="177"/>
      <c r="U105" s="3"/>
      <c r="W105" s="175" t="s">
        <v>24</v>
      </c>
      <c r="X105" s="167">
        <f>COUNTIFS('1. All Data'!$AA$3:$AA$134,"Standing up for our communities",'1. All Data'!$V$3:$V$134,"Deleted")</f>
        <v>0</v>
      </c>
      <c r="Y105" s="278" t="e">
        <f t="shared" si="6"/>
        <v>#DIV/0!</v>
      </c>
      <c r="Z105" s="278" t="e">
        <f>Y105</f>
        <v>#DIV/0!</v>
      </c>
      <c r="AA105" s="177"/>
    </row>
    <row r="106" spans="2:28" ht="15.6">
      <c r="B106" s="193" t="s">
        <v>45</v>
      </c>
      <c r="C106" s="179">
        <f>SUM(C95:C105)</f>
        <v>28</v>
      </c>
      <c r="D106" s="177"/>
      <c r="E106" s="177"/>
      <c r="F106" s="58"/>
      <c r="G106" s="58"/>
      <c r="I106" s="193" t="s">
        <v>45</v>
      </c>
      <c r="J106" s="179">
        <f>SUM(J95:J105)</f>
        <v>0</v>
      </c>
      <c r="K106" s="177"/>
      <c r="L106" s="177"/>
      <c r="M106" s="58"/>
      <c r="N106" s="58"/>
      <c r="P106" s="193" t="s">
        <v>45</v>
      </c>
      <c r="Q106" s="179">
        <f>SUM(Q95:Q105)</f>
        <v>0</v>
      </c>
      <c r="R106" s="177"/>
      <c r="S106" s="177"/>
      <c r="T106" s="58"/>
      <c r="U106" s="58"/>
      <c r="W106" s="178" t="s">
        <v>45</v>
      </c>
      <c r="X106" s="179">
        <f>SUM(X95:X105)</f>
        <v>0</v>
      </c>
      <c r="Y106" s="177"/>
      <c r="Z106" s="177"/>
      <c r="AA106" s="58"/>
      <c r="AB106" s="58"/>
    </row>
    <row r="107" spans="2:28" ht="15.6">
      <c r="B107" s="193" t="s">
        <v>46</v>
      </c>
      <c r="C107" s="179">
        <f>C106-C105-C104-C103-C102</f>
        <v>23</v>
      </c>
      <c r="D107" s="58"/>
      <c r="E107" s="58"/>
      <c r="F107" s="58"/>
      <c r="G107" s="58"/>
      <c r="I107" s="193" t="s">
        <v>46</v>
      </c>
      <c r="J107" s="179">
        <f>J106-J105-J104-J103-J102</f>
        <v>0</v>
      </c>
      <c r="K107" s="58"/>
      <c r="L107" s="58"/>
      <c r="M107" s="58"/>
      <c r="N107" s="58"/>
      <c r="P107" s="193" t="s">
        <v>46</v>
      </c>
      <c r="Q107" s="179">
        <f>Q106-Q105-Q104-Q103-Q102</f>
        <v>0</v>
      </c>
      <c r="R107" s="58"/>
      <c r="S107" s="58"/>
      <c r="T107" s="58"/>
      <c r="U107" s="58"/>
      <c r="W107" s="178" t="s">
        <v>46</v>
      </c>
      <c r="X107" s="179">
        <f>X106-X105-X104-X103-X102</f>
        <v>0</v>
      </c>
      <c r="Y107" s="58"/>
      <c r="Z107" s="58"/>
      <c r="AA107" s="58"/>
      <c r="AB107" s="58"/>
    </row>
    <row r="109" spans="2:28" hidden="1"/>
    <row r="110" spans="2:28" hidden="1"/>
    <row r="111" spans="2:28" ht="15.6">
      <c r="B111" s="188" t="s">
        <v>127</v>
      </c>
      <c r="C111" s="189"/>
      <c r="D111" s="189"/>
      <c r="E111" s="189"/>
      <c r="F111" s="190"/>
      <c r="G111" s="191"/>
      <c r="I111" s="188" t="s">
        <v>127</v>
      </c>
      <c r="J111" s="189"/>
      <c r="K111" s="189"/>
      <c r="L111" s="189"/>
      <c r="M111" s="190"/>
      <c r="N111" s="191"/>
      <c r="P111" s="188" t="s">
        <v>127</v>
      </c>
      <c r="Q111" s="189"/>
      <c r="R111" s="189"/>
      <c r="S111" s="189"/>
      <c r="T111" s="190"/>
      <c r="U111" s="191"/>
      <c r="W111" s="188" t="s">
        <v>127</v>
      </c>
      <c r="X111" s="195"/>
      <c r="Y111" s="162"/>
      <c r="Z111" s="162"/>
      <c r="AA111" s="162"/>
      <c r="AB111" s="163"/>
    </row>
    <row r="112" spans="2:28" ht="31.2">
      <c r="B112" s="164" t="s">
        <v>36</v>
      </c>
      <c r="C112" s="164" t="s">
        <v>37</v>
      </c>
      <c r="D112" s="164" t="s">
        <v>38</v>
      </c>
      <c r="E112" s="164" t="s">
        <v>39</v>
      </c>
      <c r="F112" s="164" t="s">
        <v>40</v>
      </c>
      <c r="G112" s="164" t="s">
        <v>41</v>
      </c>
      <c r="I112" s="164" t="s">
        <v>36</v>
      </c>
      <c r="J112" s="164" t="s">
        <v>37</v>
      </c>
      <c r="K112" s="164" t="s">
        <v>38</v>
      </c>
      <c r="L112" s="164" t="s">
        <v>39</v>
      </c>
      <c r="M112" s="164" t="s">
        <v>40</v>
      </c>
      <c r="N112" s="164" t="s">
        <v>41</v>
      </c>
      <c r="P112" s="164" t="s">
        <v>36</v>
      </c>
      <c r="Q112" s="164" t="s">
        <v>37</v>
      </c>
      <c r="R112" s="164" t="s">
        <v>38</v>
      </c>
      <c r="S112" s="164" t="s">
        <v>39</v>
      </c>
      <c r="T112" s="164" t="s">
        <v>40</v>
      </c>
      <c r="U112" s="164" t="s">
        <v>41</v>
      </c>
      <c r="W112" s="164" t="s">
        <v>36</v>
      </c>
      <c r="X112" s="164" t="s">
        <v>37</v>
      </c>
      <c r="Y112" s="164" t="s">
        <v>38</v>
      </c>
      <c r="Z112" s="164" t="s">
        <v>39</v>
      </c>
      <c r="AA112" s="164" t="s">
        <v>40</v>
      </c>
      <c r="AB112" s="164" t="s">
        <v>41</v>
      </c>
    </row>
    <row r="113" spans="2:28" ht="15.6">
      <c r="B113" s="227" t="s">
        <v>42</v>
      </c>
      <c r="C113" s="167">
        <f>COUNTIFS('1. All Data'!$AA$3:$AA$134,"",'1. All Data'!$H$3:$H$134,"Fully Achieved")</f>
        <v>0</v>
      </c>
      <c r="D113" s="278" t="e">
        <f>C113/C124</f>
        <v>#DIV/0!</v>
      </c>
      <c r="E113" s="401" t="e">
        <f>D113+D114</f>
        <v>#DIV/0!</v>
      </c>
      <c r="F113" s="278" t="e">
        <f>C113/C125</f>
        <v>#DIV/0!</v>
      </c>
      <c r="G113" s="403" t="e">
        <f>F113+F114</f>
        <v>#DIV/0!</v>
      </c>
      <c r="I113" s="227" t="s">
        <v>42</v>
      </c>
      <c r="J113" s="167">
        <f>COUNTIFS('1. All Data'!$AA$3:$AA$134,"",'1. All Data'!$M$3:$M$134,"Fully Achieved")</f>
        <v>0</v>
      </c>
      <c r="K113" s="278" t="e">
        <f>J113/J124</f>
        <v>#DIV/0!</v>
      </c>
      <c r="L113" s="401" t="e">
        <f>K113+K114</f>
        <v>#DIV/0!</v>
      </c>
      <c r="M113" s="278" t="e">
        <f>J113/J125</f>
        <v>#DIV/0!</v>
      </c>
      <c r="N113" s="403" t="e">
        <f>M113+M114</f>
        <v>#DIV/0!</v>
      </c>
      <c r="P113" s="227" t="s">
        <v>42</v>
      </c>
      <c r="Q113" s="167">
        <f>COUNTIFS('1. All Data'!$AA$3:$AA$134,"",'1. All Data'!$R$3:$R$134,"Fully Achieved")</f>
        <v>0</v>
      </c>
      <c r="R113" s="278" t="e">
        <f>Q113/Q124</f>
        <v>#DIV/0!</v>
      </c>
      <c r="S113" s="401" t="e">
        <f>R113+R114</f>
        <v>#DIV/0!</v>
      </c>
      <c r="T113" s="278" t="e">
        <f>Q113/Q125</f>
        <v>#DIV/0!</v>
      </c>
      <c r="U113" s="403" t="e">
        <f>T113+T114</f>
        <v>#DIV/0!</v>
      </c>
      <c r="W113" s="227" t="s">
        <v>42</v>
      </c>
      <c r="X113" s="167">
        <f>COUNTIFS('1. All Data'!$AA$3:$AA$134,"",'1. All Data'!$V$3:$V$134,"Fully Achieved")</f>
        <v>0</v>
      </c>
      <c r="Y113" s="278" t="e">
        <f>X113/X124</f>
        <v>#DIV/0!</v>
      </c>
      <c r="Z113" s="401" t="e">
        <f>Y113+Y114</f>
        <v>#DIV/0!</v>
      </c>
      <c r="AA113" s="278" t="e">
        <f>X113/X125</f>
        <v>#DIV/0!</v>
      </c>
      <c r="AB113" s="403" t="e">
        <f>AA113+AA114</f>
        <v>#DIV/0!</v>
      </c>
    </row>
    <row r="114" spans="2:28" ht="15.6">
      <c r="B114" s="227" t="s">
        <v>25</v>
      </c>
      <c r="C114" s="167">
        <f>COUNTIFS('1. All Data'!$AA$3:$AA$134,"",'1. All Data'!$H$3:$H$134,"On Track to be achieved")</f>
        <v>0</v>
      </c>
      <c r="D114" s="278" t="e">
        <f>C114/C124</f>
        <v>#DIV/0!</v>
      </c>
      <c r="E114" s="401"/>
      <c r="F114" s="278" t="e">
        <f>C114/C125</f>
        <v>#DIV/0!</v>
      </c>
      <c r="G114" s="403"/>
      <c r="I114" s="227" t="s">
        <v>25</v>
      </c>
      <c r="J114" s="167">
        <f>COUNTIFS('1. All Data'!$AA$3:$AA$134,"",'1. All Data'!$M$3:$M$134,"On Track to be achieved")</f>
        <v>0</v>
      </c>
      <c r="K114" s="278" t="e">
        <f>J114/J124</f>
        <v>#DIV/0!</v>
      </c>
      <c r="L114" s="401"/>
      <c r="M114" s="278" t="e">
        <f>J114/J125</f>
        <v>#DIV/0!</v>
      </c>
      <c r="N114" s="403"/>
      <c r="P114" s="227" t="s">
        <v>25</v>
      </c>
      <c r="Q114" s="167">
        <f>COUNTIFS('1. All Data'!$AA$3:$AA$134,"",'1. All Data'!$R$3:$R$134,"On Track to be achieved")</f>
        <v>0</v>
      </c>
      <c r="R114" s="278" t="e">
        <f>Q114/Q124</f>
        <v>#DIV/0!</v>
      </c>
      <c r="S114" s="401"/>
      <c r="T114" s="278" t="e">
        <f>Q114/Q125</f>
        <v>#DIV/0!</v>
      </c>
      <c r="U114" s="403"/>
      <c r="W114" s="227" t="s">
        <v>17</v>
      </c>
      <c r="X114" s="167">
        <f>COUNTIFS('1. All Data'!$AA$3:$AA$134,"",'1. All Data'!$V$3:$V$134,"Numerical Outturn Within 5% Tolerance")</f>
        <v>0</v>
      </c>
      <c r="Y114" s="278" t="e">
        <f>X114/X124</f>
        <v>#DIV/0!</v>
      </c>
      <c r="Z114" s="401"/>
      <c r="AA114" s="278" t="e">
        <f>X114/X125</f>
        <v>#DIV/0!</v>
      </c>
      <c r="AB114" s="403"/>
    </row>
    <row r="115" spans="2:28" ht="15.6">
      <c r="B115" s="411" t="s">
        <v>26</v>
      </c>
      <c r="C115" s="414">
        <f>COUNTIFS('1. All Data'!$AA$3:$AA$134,"",'1. All Data'!$H$3:$H$134,"In Danger of Falling Behind Target")</f>
        <v>0</v>
      </c>
      <c r="D115" s="404" t="e">
        <f>C115/C124</f>
        <v>#DIV/0!</v>
      </c>
      <c r="E115" s="404" t="e">
        <f>D115</f>
        <v>#DIV/0!</v>
      </c>
      <c r="F115" s="404" t="e">
        <f>C115/C125</f>
        <v>#DIV/0!</v>
      </c>
      <c r="G115" s="407" t="e">
        <f>F115</f>
        <v>#DIV/0!</v>
      </c>
      <c r="I115" s="411" t="s">
        <v>26</v>
      </c>
      <c r="J115" s="414">
        <f>COUNTIFS('1. All Data'!$AA$3:$AA$134,"",'1. All Data'!$M$3:$M$134,"In Danger of Falling Behind Target")</f>
        <v>0</v>
      </c>
      <c r="K115" s="404" t="e">
        <f>J115/J124</f>
        <v>#DIV/0!</v>
      </c>
      <c r="L115" s="404" t="e">
        <f>K115</f>
        <v>#DIV/0!</v>
      </c>
      <c r="M115" s="404" t="e">
        <f>J115/J125</f>
        <v>#DIV/0!</v>
      </c>
      <c r="N115" s="407" t="e">
        <f>M115</f>
        <v>#DIV/0!</v>
      </c>
      <c r="P115" s="411" t="s">
        <v>26</v>
      </c>
      <c r="Q115" s="414">
        <f>COUNTIFS('1. All Data'!$AA$3:$AA$134,"",'1. All Data'!$R$3:$R$134,"In Danger of Falling Behind Target")</f>
        <v>0</v>
      </c>
      <c r="R115" s="404" t="e">
        <f>Q115/Q124</f>
        <v>#DIV/0!</v>
      </c>
      <c r="S115" s="404" t="e">
        <f>R115</f>
        <v>#DIV/0!</v>
      </c>
      <c r="T115" s="404" t="e">
        <f>Q115/Q125</f>
        <v>#DIV/0!</v>
      </c>
      <c r="U115" s="407" t="e">
        <f>T115</f>
        <v>#DIV/0!</v>
      </c>
      <c r="W115" s="169" t="s">
        <v>18</v>
      </c>
      <c r="X115" s="170">
        <f>COUNTIFS('1. All Data'!$AA$3:$AA$134,"",'1. All Data'!$V$3:$V$134,"Numerical Outturn Within 10% Tolerance")</f>
        <v>0</v>
      </c>
      <c r="Y115" s="278" t="e">
        <f t="shared" ref="Y115:Y123" si="7">X115/$X$34</f>
        <v>#DIV/0!</v>
      </c>
      <c r="Z115" s="401" t="e">
        <f>SUM(Y115:Y117)</f>
        <v>#DIV/0!</v>
      </c>
      <c r="AA115" s="278" t="e">
        <f>X115/X125</f>
        <v>#DIV/0!</v>
      </c>
      <c r="AB115" s="410" t="e">
        <f>SUM(AA115:AA117)</f>
        <v>#DIV/0!</v>
      </c>
    </row>
    <row r="116" spans="2:28" ht="15.6">
      <c r="B116" s="412"/>
      <c r="C116" s="415"/>
      <c r="D116" s="405"/>
      <c r="E116" s="405"/>
      <c r="F116" s="405"/>
      <c r="G116" s="408"/>
      <c r="I116" s="412"/>
      <c r="J116" s="415"/>
      <c r="K116" s="405"/>
      <c r="L116" s="405"/>
      <c r="M116" s="405"/>
      <c r="N116" s="408"/>
      <c r="P116" s="412"/>
      <c r="Q116" s="415"/>
      <c r="R116" s="405"/>
      <c r="S116" s="405"/>
      <c r="T116" s="405"/>
      <c r="U116" s="408"/>
      <c r="W116" s="169" t="s">
        <v>19</v>
      </c>
      <c r="X116" s="170">
        <f>COUNTIFS('1. All Data'!$AA$3:$AA$134,"",'1. All Data'!$V$3:$V$134,"Target Partially Met")</f>
        <v>0</v>
      </c>
      <c r="Y116" s="278" t="e">
        <f t="shared" si="7"/>
        <v>#DIV/0!</v>
      </c>
      <c r="Z116" s="401"/>
      <c r="AA116" s="278" t="e">
        <f>X116/X125</f>
        <v>#DIV/0!</v>
      </c>
      <c r="AB116" s="410"/>
    </row>
    <row r="117" spans="2:28" ht="15.6">
      <c r="B117" s="413"/>
      <c r="C117" s="416"/>
      <c r="D117" s="406"/>
      <c r="E117" s="406"/>
      <c r="F117" s="406"/>
      <c r="G117" s="409"/>
      <c r="I117" s="413"/>
      <c r="J117" s="416"/>
      <c r="K117" s="406"/>
      <c r="L117" s="406"/>
      <c r="M117" s="406"/>
      <c r="N117" s="409"/>
      <c r="P117" s="413"/>
      <c r="Q117" s="416"/>
      <c r="R117" s="406"/>
      <c r="S117" s="406"/>
      <c r="T117" s="406"/>
      <c r="U117" s="409"/>
      <c r="W117" s="169" t="s">
        <v>22</v>
      </c>
      <c r="X117" s="170">
        <f>COUNTIFS('1. All Data'!$AA$3:$AA$134,"",'1. All Data'!$V$3:$V$134,"Completion Date Within Reasonable Tolerance")</f>
        <v>0</v>
      </c>
      <c r="Y117" s="278" t="e">
        <f t="shared" si="7"/>
        <v>#DIV/0!</v>
      </c>
      <c r="Z117" s="401"/>
      <c r="AA117" s="278" t="e">
        <f>X117/X125</f>
        <v>#DIV/0!</v>
      </c>
      <c r="AB117" s="410"/>
    </row>
    <row r="118" spans="2:28" ht="15.6">
      <c r="B118" s="171" t="s">
        <v>27</v>
      </c>
      <c r="C118" s="167">
        <f>COUNTIFS('1. All Data'!$AA$3:$AA$134,"",'1. All Data'!$H$3:$H$134,"Completed Behind Schedule")</f>
        <v>0</v>
      </c>
      <c r="D118" s="278" t="e">
        <f>C118/C124</f>
        <v>#DIV/0!</v>
      </c>
      <c r="E118" s="401" t="e">
        <f>D118+D119</f>
        <v>#DIV/0!</v>
      </c>
      <c r="F118" s="278" t="e">
        <f>C118/C125</f>
        <v>#DIV/0!</v>
      </c>
      <c r="G118" s="402" t="e">
        <f>F118+F119</f>
        <v>#DIV/0!</v>
      </c>
      <c r="I118" s="171" t="s">
        <v>27</v>
      </c>
      <c r="J118" s="167">
        <f>COUNTIFS('1. All Data'!$AA$3:$AA$134,"",'1. All Data'!$M$3:$M$134,"Completed Behind Schedule")</f>
        <v>0</v>
      </c>
      <c r="K118" s="278" t="e">
        <f>J118/J124</f>
        <v>#DIV/0!</v>
      </c>
      <c r="L118" s="401" t="e">
        <f>K118+K119</f>
        <v>#DIV/0!</v>
      </c>
      <c r="M118" s="278" t="e">
        <f>J118/J125</f>
        <v>#DIV/0!</v>
      </c>
      <c r="N118" s="402" t="e">
        <f>M118+M119</f>
        <v>#DIV/0!</v>
      </c>
      <c r="P118" s="171" t="s">
        <v>27</v>
      </c>
      <c r="Q118" s="167">
        <f>COUNTIFS('1. All Data'!$AA$3:$AA$134,"",'1. All Data'!$R$3:$R$134,"Completed Behind Schedule")</f>
        <v>0</v>
      </c>
      <c r="R118" s="278" t="e">
        <f>Q118/Q124</f>
        <v>#DIV/0!</v>
      </c>
      <c r="S118" s="401" t="e">
        <f>R118+R119</f>
        <v>#DIV/0!</v>
      </c>
      <c r="T118" s="278" t="e">
        <f>Q118/Q125</f>
        <v>#DIV/0!</v>
      </c>
      <c r="U118" s="402" t="e">
        <f>T118+T119</f>
        <v>#DIV/0!</v>
      </c>
      <c r="W118" s="171" t="s">
        <v>21</v>
      </c>
      <c r="X118" s="167">
        <f>COUNTIFS('1. All Data'!$AA$3:$AA$134,"",'1. All Data'!$V$3:$V$134,"Completed Significantly After Target Deadline")</f>
        <v>0</v>
      </c>
      <c r="Y118" s="278" t="e">
        <f t="shared" si="7"/>
        <v>#DIV/0!</v>
      </c>
      <c r="Z118" s="401" t="e">
        <f>SUM(Y118:Y119)</f>
        <v>#DIV/0!</v>
      </c>
      <c r="AA118" s="278" t="e">
        <f>X118/X125</f>
        <v>#DIV/0!</v>
      </c>
      <c r="AB118" s="402" t="e">
        <f>AA118+AA119</f>
        <v>#DIV/0!</v>
      </c>
    </row>
    <row r="119" spans="2:28" ht="15.6">
      <c r="B119" s="171" t="s">
        <v>20</v>
      </c>
      <c r="C119" s="167">
        <f>COUNTIFS('1. All Data'!$AA$3:$AA$134,"",'1. All Data'!$H$3:$H$134,"Off Target")</f>
        <v>0</v>
      </c>
      <c r="D119" s="278" t="e">
        <f>C119/C124</f>
        <v>#DIV/0!</v>
      </c>
      <c r="E119" s="401"/>
      <c r="F119" s="278" t="e">
        <f>C119/C125</f>
        <v>#DIV/0!</v>
      </c>
      <c r="G119" s="402"/>
      <c r="I119" s="171" t="s">
        <v>20</v>
      </c>
      <c r="J119" s="167">
        <f>COUNTIFS('1. All Data'!$AA$3:$AA$134,"",'1. All Data'!$M$3:$M$134,"Off Target")</f>
        <v>0</v>
      </c>
      <c r="K119" s="278" t="e">
        <f>J119/J124</f>
        <v>#DIV/0!</v>
      </c>
      <c r="L119" s="401"/>
      <c r="M119" s="278" t="e">
        <f>J119/J125</f>
        <v>#DIV/0!</v>
      </c>
      <c r="N119" s="402"/>
      <c r="P119" s="171" t="s">
        <v>20</v>
      </c>
      <c r="Q119" s="167">
        <f>COUNTIFS('1. All Data'!$AA$3:$AA$134,"",'1. All Data'!$R$3:$R$134,"Off Target")</f>
        <v>0</v>
      </c>
      <c r="R119" s="278" t="e">
        <f>Q119/Q124</f>
        <v>#DIV/0!</v>
      </c>
      <c r="S119" s="401"/>
      <c r="T119" s="278" t="e">
        <f>Q119/Q125</f>
        <v>#DIV/0!</v>
      </c>
      <c r="U119" s="402"/>
      <c r="W119" s="171" t="s">
        <v>20</v>
      </c>
      <c r="X119" s="167">
        <f>COUNTIFS('1. All Data'!$AA$3:$AA$134,"",'1. All Data'!$V$3:$V$134,"Off Target")</f>
        <v>0</v>
      </c>
      <c r="Y119" s="278" t="e">
        <f t="shared" si="7"/>
        <v>#DIV/0!</v>
      </c>
      <c r="Z119" s="401"/>
      <c r="AA119" s="278" t="e">
        <f>X119/X125</f>
        <v>#DIV/0!</v>
      </c>
      <c r="AB119" s="402"/>
    </row>
    <row r="120" spans="2:28" ht="15.6">
      <c r="B120" s="172" t="s">
        <v>43</v>
      </c>
      <c r="C120" s="167">
        <f>COUNTIFS('1. All Data'!$AA$3:$AA$134,"",'1. All Data'!$H$3:$H$134,"Not yet due")</f>
        <v>0</v>
      </c>
      <c r="D120" s="173" t="e">
        <f>C120/C124</f>
        <v>#DIV/0!</v>
      </c>
      <c r="E120" s="173" t="e">
        <f>D120</f>
        <v>#DIV/0!</v>
      </c>
      <c r="F120" s="174"/>
      <c r="G120" s="58"/>
      <c r="I120" s="172" t="s">
        <v>43</v>
      </c>
      <c r="J120" s="167">
        <f>COUNTIFS('1. All Data'!$AA$3:$AA$134,"",'1. All Data'!$M$3:$M$134,"Not yet due")</f>
        <v>0</v>
      </c>
      <c r="K120" s="173" t="e">
        <f>J120/J124</f>
        <v>#DIV/0!</v>
      </c>
      <c r="L120" s="173" t="e">
        <f>K120</f>
        <v>#DIV/0!</v>
      </c>
      <c r="M120" s="174"/>
      <c r="N120" s="58"/>
      <c r="P120" s="172" t="s">
        <v>43</v>
      </c>
      <c r="Q120" s="167">
        <f>COUNTIFS('1. All Data'!$AA$3:$AA$134,"",'1. All Data'!$R$3:$R$134,"Not yet due")</f>
        <v>0</v>
      </c>
      <c r="R120" s="173" t="e">
        <f>Q120/Q124</f>
        <v>#DIV/0!</v>
      </c>
      <c r="S120" s="173" t="e">
        <f>R120</f>
        <v>#DIV/0!</v>
      </c>
      <c r="T120" s="174"/>
      <c r="U120" s="58"/>
      <c r="W120" s="172" t="s">
        <v>43</v>
      </c>
      <c r="X120" s="167">
        <f>COUNTIFS('1. All Data'!$AA$3:$AA$134,"",'1. All Data'!$V$3:$V$134,"Not yet due")</f>
        <v>0</v>
      </c>
      <c r="Y120" s="278" t="e">
        <f t="shared" si="7"/>
        <v>#DIV/0!</v>
      </c>
      <c r="Z120" s="278" t="e">
        <f>Y120</f>
        <v>#DIV/0!</v>
      </c>
      <c r="AA120" s="174"/>
      <c r="AB120" s="58"/>
    </row>
    <row r="121" spans="2:28" ht="15.6">
      <c r="B121" s="172" t="s">
        <v>15</v>
      </c>
      <c r="C121" s="167">
        <f>COUNTIFS('1. All Data'!$AA$3:$AA$134,"",'1. All Data'!$H$3:$H$134,"update not provided")</f>
        <v>0</v>
      </c>
      <c r="D121" s="173" t="e">
        <f>C121/C124</f>
        <v>#DIV/0!</v>
      </c>
      <c r="E121" s="173" t="e">
        <f>D121</f>
        <v>#DIV/0!</v>
      </c>
      <c r="F121" s="174"/>
      <c r="G121" s="2"/>
      <c r="I121" s="172" t="s">
        <v>15</v>
      </c>
      <c r="J121" s="167">
        <f>COUNTIFS('1. All Data'!$AA$3:$AA$134,"",'1. All Data'!$M$3:$M$134,"update not provided")</f>
        <v>0</v>
      </c>
      <c r="K121" s="173" t="e">
        <f>J121/J124</f>
        <v>#DIV/0!</v>
      </c>
      <c r="L121" s="173" t="e">
        <f>K121</f>
        <v>#DIV/0!</v>
      </c>
      <c r="M121" s="174"/>
      <c r="N121" s="2"/>
      <c r="P121" s="172" t="s">
        <v>15</v>
      </c>
      <c r="Q121" s="167">
        <f>COUNTIFS('1. All Data'!$AA$3:$AA$134,"",'1. All Data'!$R$3:$R$134,"update not provided")</f>
        <v>0</v>
      </c>
      <c r="R121" s="173" t="e">
        <f>Q121/Q124</f>
        <v>#DIV/0!</v>
      </c>
      <c r="S121" s="173" t="e">
        <f>R121</f>
        <v>#DIV/0!</v>
      </c>
      <c r="T121" s="174"/>
      <c r="U121" s="2"/>
      <c r="W121" s="172" t="s">
        <v>15</v>
      </c>
      <c r="X121" s="167">
        <f>COUNTIFS('1. All Data'!$AA$3:$AA$134,"",'1. All Data'!$V$3:$V$134,"update not provided")</f>
        <v>0</v>
      </c>
      <c r="Y121" s="278" t="e">
        <f t="shared" si="7"/>
        <v>#DIV/0!</v>
      </c>
      <c r="Z121" s="278" t="e">
        <f>Y121</f>
        <v>#DIV/0!</v>
      </c>
      <c r="AA121" s="174"/>
      <c r="AB121" s="2"/>
    </row>
    <row r="122" spans="2:28" ht="15.6">
      <c r="B122" s="175" t="s">
        <v>23</v>
      </c>
      <c r="C122" s="167">
        <f>COUNTIFS('1. All Data'!$AA$3:$AA$134,"",'1. All Data'!$H$3:$H$134,"Deferred")</f>
        <v>0</v>
      </c>
      <c r="D122" s="176" t="e">
        <f>C122/C124</f>
        <v>#DIV/0!</v>
      </c>
      <c r="E122" s="176" t="e">
        <f>D122</f>
        <v>#DIV/0!</v>
      </c>
      <c r="F122" s="177"/>
      <c r="G122" s="58"/>
      <c r="I122" s="175" t="s">
        <v>23</v>
      </c>
      <c r="J122" s="167">
        <f>COUNTIFS('1. All Data'!$AA$3:$AA$134,"",'1. All Data'!$M$3:$M$134,"Deferred")</f>
        <v>0</v>
      </c>
      <c r="K122" s="176" t="e">
        <f>J122/J124</f>
        <v>#DIV/0!</v>
      </c>
      <c r="L122" s="176" t="e">
        <f>K122</f>
        <v>#DIV/0!</v>
      </c>
      <c r="M122" s="177"/>
      <c r="N122" s="58"/>
      <c r="P122" s="175" t="s">
        <v>23</v>
      </c>
      <c r="Q122" s="167">
        <f>COUNTIFS('1. All Data'!$AA$3:$AA$134,"",'1. All Data'!$R$3:$R$134,"Deferred")</f>
        <v>0</v>
      </c>
      <c r="R122" s="176" t="e">
        <f>Q122/Q124</f>
        <v>#DIV/0!</v>
      </c>
      <c r="S122" s="176" t="e">
        <f>R122</f>
        <v>#DIV/0!</v>
      </c>
      <c r="T122" s="177"/>
      <c r="U122" s="58"/>
      <c r="W122" s="175" t="s">
        <v>23</v>
      </c>
      <c r="X122" s="167">
        <f>COUNTIFS('1. All Data'!$AA$3:$AA$134,"",'1. All Data'!$V$3:$V$134,"Deferred")</f>
        <v>0</v>
      </c>
      <c r="Y122" s="278" t="e">
        <f t="shared" si="7"/>
        <v>#DIV/0!</v>
      </c>
      <c r="Z122" s="278" t="e">
        <f>Y122</f>
        <v>#DIV/0!</v>
      </c>
      <c r="AA122" s="177"/>
      <c r="AB122" s="58"/>
    </row>
    <row r="123" spans="2:28" ht="15.6">
      <c r="B123" s="175" t="s">
        <v>24</v>
      </c>
      <c r="C123" s="167">
        <f>COUNTIFS('1. All Data'!$AA$3:$AA$134,"",'1. All Data'!$H$3:$H$134,"Deleted")</f>
        <v>0</v>
      </c>
      <c r="D123" s="176" t="e">
        <f>C123/C124</f>
        <v>#DIV/0!</v>
      </c>
      <c r="E123" s="176" t="e">
        <f>D123</f>
        <v>#DIV/0!</v>
      </c>
      <c r="F123" s="177"/>
      <c r="G123" s="3"/>
      <c r="I123" s="175" t="s">
        <v>24</v>
      </c>
      <c r="J123" s="167">
        <f>COUNTIFS('1. All Data'!$AA$3:$AA$134,"",'1. All Data'!$M$3:$M$134,"Deleted")</f>
        <v>0</v>
      </c>
      <c r="K123" s="176" t="e">
        <f>J123/J124</f>
        <v>#DIV/0!</v>
      </c>
      <c r="L123" s="176" t="e">
        <f>K123</f>
        <v>#DIV/0!</v>
      </c>
      <c r="M123" s="177"/>
      <c r="N123" s="3"/>
      <c r="P123" s="175" t="s">
        <v>24</v>
      </c>
      <c r="Q123" s="167">
        <f>COUNTIFS('1. All Data'!$AA$3:$AA$134,"",'1. All Data'!$R$3:$R$134,"Deleted")</f>
        <v>0</v>
      </c>
      <c r="R123" s="176" t="e">
        <f>Q123/Q124</f>
        <v>#DIV/0!</v>
      </c>
      <c r="S123" s="176" t="e">
        <f>R123</f>
        <v>#DIV/0!</v>
      </c>
      <c r="T123" s="177"/>
      <c r="U123" s="3"/>
      <c r="W123" s="175" t="s">
        <v>24</v>
      </c>
      <c r="X123" s="167">
        <f>COUNTIFS('1. All Data'!$AA$3:$AA$134,"",'1. All Data'!$V$3:$V$134,"Deleted")</f>
        <v>0</v>
      </c>
      <c r="Y123" s="278" t="e">
        <f t="shared" si="7"/>
        <v>#DIV/0!</v>
      </c>
      <c r="Z123" s="278" t="e">
        <f>Y123</f>
        <v>#DIV/0!</v>
      </c>
      <c r="AA123" s="177"/>
    </row>
    <row r="124" spans="2:28" ht="15.6">
      <c r="B124" s="193" t="s">
        <v>45</v>
      </c>
      <c r="C124" s="179">
        <f>SUM(C113:C123)</f>
        <v>0</v>
      </c>
      <c r="D124" s="177"/>
      <c r="E124" s="177"/>
      <c r="F124" s="58"/>
      <c r="G124" s="58"/>
      <c r="I124" s="193" t="s">
        <v>45</v>
      </c>
      <c r="J124" s="179">
        <f>SUM(J113:J123)</f>
        <v>0</v>
      </c>
      <c r="K124" s="177"/>
      <c r="L124" s="177"/>
      <c r="M124" s="58"/>
      <c r="N124" s="58"/>
      <c r="P124" s="193" t="s">
        <v>45</v>
      </c>
      <c r="Q124" s="179">
        <f>SUM(Q113:Q123)</f>
        <v>0</v>
      </c>
      <c r="R124" s="177"/>
      <c r="S124" s="177"/>
      <c r="T124" s="58"/>
      <c r="U124" s="58"/>
      <c r="W124" s="178" t="s">
        <v>45</v>
      </c>
      <c r="X124" s="179">
        <f>SUM(X113:X123)</f>
        <v>0</v>
      </c>
      <c r="Y124" s="177"/>
      <c r="Z124" s="177"/>
      <c r="AA124" s="58"/>
      <c r="AB124" s="58"/>
    </row>
    <row r="125" spans="2:28" ht="15.6">
      <c r="B125" s="193" t="s">
        <v>46</v>
      </c>
      <c r="C125" s="179">
        <f>C124-C123-C122-C121-C120</f>
        <v>0</v>
      </c>
      <c r="D125" s="58"/>
      <c r="E125" s="58"/>
      <c r="F125" s="58"/>
      <c r="G125" s="58"/>
      <c r="I125" s="193" t="s">
        <v>46</v>
      </c>
      <c r="J125" s="179">
        <f>J124-J123-J122-J121-J120</f>
        <v>0</v>
      </c>
      <c r="K125" s="58"/>
      <c r="L125" s="58"/>
      <c r="M125" s="58"/>
      <c r="N125" s="58"/>
      <c r="P125" s="193" t="s">
        <v>46</v>
      </c>
      <c r="Q125" s="179">
        <f>Q124-Q123-Q122-Q121-Q120</f>
        <v>0</v>
      </c>
      <c r="R125" s="58"/>
      <c r="S125" s="58"/>
      <c r="T125" s="58"/>
      <c r="U125" s="58"/>
      <c r="W125" s="178" t="s">
        <v>46</v>
      </c>
      <c r="X125" s="179">
        <f>X124-X123-X122-X121-X120</f>
        <v>0</v>
      </c>
      <c r="Y125" s="58"/>
      <c r="Z125" s="58"/>
      <c r="AA125" s="58"/>
      <c r="AB125" s="58"/>
    </row>
  </sheetData>
  <mergeCells count="254">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M43:M45"/>
    <mergeCell ref="N43:N45"/>
    <mergeCell ref="P43:P45"/>
    <mergeCell ref="Q43:Q45"/>
    <mergeCell ref="B61:B63"/>
    <mergeCell ref="C61:C63"/>
    <mergeCell ref="D61:D63"/>
    <mergeCell ref="E61:E63"/>
    <mergeCell ref="F61:F63"/>
    <mergeCell ref="G61:G63"/>
    <mergeCell ref="M61:M63"/>
    <mergeCell ref="N61:N63"/>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K7:K9"/>
    <mergeCell ref="L7:L9"/>
    <mergeCell ref="M7:M9"/>
    <mergeCell ref="N7:N9"/>
    <mergeCell ref="P7:P9"/>
    <mergeCell ref="Q7:Q9"/>
    <mergeCell ref="B25:B27"/>
    <mergeCell ref="C25:C27"/>
    <mergeCell ref="D25:D27"/>
    <mergeCell ref="E25:E27"/>
    <mergeCell ref="F25:F27"/>
    <mergeCell ref="G25:G27"/>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E77:E78"/>
    <mergeCell ref="G77:G78"/>
    <mergeCell ref="B79:B81"/>
    <mergeCell ref="C79:C81"/>
    <mergeCell ref="D79:D81"/>
    <mergeCell ref="E79:E81"/>
    <mergeCell ref="F79:F81"/>
    <mergeCell ref="G79:G81"/>
    <mergeCell ref="E82:E83"/>
    <mergeCell ref="G82:G83"/>
    <mergeCell ref="E95:E96"/>
    <mergeCell ref="G95:G96"/>
    <mergeCell ref="B97:B99"/>
    <mergeCell ref="C97:C99"/>
    <mergeCell ref="D97:D99"/>
    <mergeCell ref="E97:E99"/>
    <mergeCell ref="F97:F99"/>
    <mergeCell ref="G97:G99"/>
    <mergeCell ref="E100:E101"/>
    <mergeCell ref="G100:G101"/>
    <mergeCell ref="E113:E114"/>
    <mergeCell ref="G113:G114"/>
    <mergeCell ref="B115:B117"/>
    <mergeCell ref="C115:C117"/>
    <mergeCell ref="D115:D117"/>
    <mergeCell ref="E115:E117"/>
    <mergeCell ref="F115:F117"/>
    <mergeCell ref="G115:G117"/>
    <mergeCell ref="E118:E119"/>
    <mergeCell ref="G118:G119"/>
    <mergeCell ref="L77:L78"/>
    <mergeCell ref="N77:N78"/>
    <mergeCell ref="S77:S78"/>
    <mergeCell ref="U77:U78"/>
    <mergeCell ref="Z77:Z78"/>
    <mergeCell ref="AB77:AB78"/>
    <mergeCell ref="I79:I81"/>
    <mergeCell ref="J79:J81"/>
    <mergeCell ref="K79:K81"/>
    <mergeCell ref="L79:L81"/>
    <mergeCell ref="M79:M81"/>
    <mergeCell ref="N79:N81"/>
    <mergeCell ref="P79:P81"/>
    <mergeCell ref="Q79:Q81"/>
    <mergeCell ref="R79:R81"/>
    <mergeCell ref="S79:S81"/>
    <mergeCell ref="T79:T81"/>
    <mergeCell ref="U79:U81"/>
    <mergeCell ref="Z79:Z81"/>
    <mergeCell ref="AB79:AB81"/>
    <mergeCell ref="L82:L83"/>
    <mergeCell ref="N82:N83"/>
    <mergeCell ref="S82:S83"/>
    <mergeCell ref="U82:U83"/>
    <mergeCell ref="Z82:Z83"/>
    <mergeCell ref="AB82:AB83"/>
    <mergeCell ref="L95:L96"/>
    <mergeCell ref="N95:N96"/>
    <mergeCell ref="S95:S96"/>
    <mergeCell ref="U95:U96"/>
    <mergeCell ref="Z95:Z96"/>
    <mergeCell ref="AB95:AB96"/>
    <mergeCell ref="I97:I99"/>
    <mergeCell ref="J97:J99"/>
    <mergeCell ref="K97:K99"/>
    <mergeCell ref="L97:L99"/>
    <mergeCell ref="M97:M99"/>
    <mergeCell ref="N97:N99"/>
    <mergeCell ref="P97:P99"/>
    <mergeCell ref="Q97:Q99"/>
    <mergeCell ref="R97:R99"/>
    <mergeCell ref="S97:S99"/>
    <mergeCell ref="T97:T99"/>
    <mergeCell ref="U97:U99"/>
    <mergeCell ref="Z97:Z99"/>
    <mergeCell ref="AB97:AB99"/>
    <mergeCell ref="L100:L101"/>
    <mergeCell ref="N100:N101"/>
    <mergeCell ref="S100:S101"/>
    <mergeCell ref="U100:U101"/>
    <mergeCell ref="Z100:Z101"/>
    <mergeCell ref="AB100:AB101"/>
    <mergeCell ref="I115:I117"/>
    <mergeCell ref="J115:J117"/>
    <mergeCell ref="K115:K117"/>
    <mergeCell ref="L115:L117"/>
    <mergeCell ref="M115:M117"/>
    <mergeCell ref="N115:N117"/>
    <mergeCell ref="P115:P117"/>
    <mergeCell ref="Q115:Q117"/>
    <mergeCell ref="R115:R117"/>
    <mergeCell ref="L118:L119"/>
    <mergeCell ref="N118:N119"/>
    <mergeCell ref="S118:S119"/>
    <mergeCell ref="U118:U119"/>
    <mergeCell ref="Z118:Z119"/>
    <mergeCell ref="AB118:AB119"/>
    <mergeCell ref="L113:L114"/>
    <mergeCell ref="N113:N114"/>
    <mergeCell ref="S113:S114"/>
    <mergeCell ref="U113:U114"/>
    <mergeCell ref="Z113:Z114"/>
    <mergeCell ref="AB113:AB114"/>
    <mergeCell ref="S115:S117"/>
    <mergeCell ref="T115:T117"/>
    <mergeCell ref="U115:U117"/>
    <mergeCell ref="Z115:Z117"/>
    <mergeCell ref="AB115:AB117"/>
  </mergeCells>
  <pageMargins left="0.25" right="0.25" top="0.75" bottom="0.75" header="0.3" footer="0.3"/>
  <pageSetup paperSize="8" fitToHeight="0" orientation="portrait" verticalDpi="0" r:id="rId1"/>
  <rowBreaks count="2" manualBreakCount="2">
    <brk id="53" max="6" man="1"/>
    <brk id="108" max="6"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88"/>
  <sheetViews>
    <sheetView workbookViewId="0">
      <selection activeCell="K20" sqref="K20"/>
    </sheetView>
  </sheetViews>
  <sheetFormatPr defaultColWidth="9.33203125" defaultRowHeight="14.4"/>
  <cols>
    <col min="1" max="1" width="3.44140625" style="8" customWidth="1"/>
    <col min="2" max="9" width="9.33203125" style="8"/>
    <col min="10" max="10" width="3.44140625" style="8" customWidth="1"/>
    <col min="11" max="11" width="9.33203125" style="9"/>
    <col min="12" max="18" width="9.33203125" style="8"/>
    <col min="19" max="19" width="3.44140625" style="8" customWidth="1"/>
    <col min="20" max="27" width="9.33203125" style="8" customWidth="1"/>
    <col min="28" max="28" width="3.44140625" style="8" customWidth="1"/>
    <col min="29" max="36" width="9.33203125" style="8" customWidth="1"/>
    <col min="37" max="37" width="3.44140625" style="8" customWidth="1"/>
    <col min="38" max="47" width="9.33203125" style="8" customWidth="1"/>
    <col min="48" max="50" width="0" style="8" hidden="1" customWidth="1"/>
    <col min="51" max="51" width="9.33203125" style="8"/>
    <col min="52" max="55" width="10" style="11" customWidth="1"/>
    <col min="56" max="16384" width="9.33203125" style="8"/>
  </cols>
  <sheetData>
    <row r="1" spans="2:64" s="6" customFormat="1" ht="35.4">
      <c r="B1" s="5" t="s">
        <v>47</v>
      </c>
      <c r="M1" s="421"/>
      <c r="N1" s="421"/>
      <c r="O1" s="421"/>
      <c r="P1" s="421"/>
      <c r="Q1" s="421"/>
      <c r="R1" s="421"/>
      <c r="S1" s="421"/>
      <c r="T1" s="421"/>
      <c r="U1" s="421"/>
      <c r="V1" s="421"/>
      <c r="W1" s="421"/>
      <c r="X1" s="421"/>
      <c r="Y1" s="421"/>
      <c r="Z1" s="421"/>
      <c r="AY1" s="421"/>
      <c r="AZ1" s="421"/>
      <c r="BA1" s="421"/>
      <c r="BB1" s="421"/>
      <c r="BC1" s="421"/>
      <c r="BD1" s="421"/>
      <c r="BE1" s="421"/>
      <c r="BF1" s="421"/>
      <c r="BG1" s="421"/>
      <c r="BH1" s="421"/>
      <c r="BI1" s="421"/>
      <c r="BJ1" s="421"/>
      <c r="BK1" s="421"/>
      <c r="BL1" s="421"/>
    </row>
    <row r="2" spans="2:64" s="6" customFormat="1" ht="35.4" hidden="1">
      <c r="B2" s="7"/>
      <c r="M2" s="421"/>
      <c r="N2" s="421"/>
      <c r="O2" s="421"/>
      <c r="P2" s="421"/>
      <c r="Q2" s="421"/>
      <c r="R2" s="421"/>
      <c r="S2" s="421"/>
      <c r="T2" s="421"/>
      <c r="U2" s="421"/>
      <c r="V2" s="421"/>
      <c r="W2" s="421"/>
      <c r="X2" s="421"/>
      <c r="Y2" s="421"/>
      <c r="Z2" s="421"/>
      <c r="AY2" s="421"/>
      <c r="AZ2" s="421"/>
      <c r="BA2" s="421"/>
      <c r="BB2" s="421"/>
      <c r="BC2" s="421"/>
      <c r="BD2" s="421"/>
      <c r="BE2" s="421"/>
      <c r="BF2" s="421"/>
      <c r="BG2" s="421"/>
      <c r="BH2" s="421"/>
      <c r="BI2" s="421"/>
      <c r="BJ2" s="421"/>
      <c r="BK2" s="421"/>
      <c r="BL2" s="421"/>
    </row>
    <row r="3" spans="2:64" s="6" customFormat="1" ht="35.4" hidden="1">
      <c r="M3" s="421"/>
      <c r="N3" s="421"/>
      <c r="O3" s="421"/>
      <c r="P3" s="421"/>
      <c r="Q3" s="421"/>
      <c r="R3" s="421"/>
      <c r="S3" s="421"/>
      <c r="T3" s="421"/>
      <c r="U3" s="421"/>
      <c r="V3" s="421"/>
      <c r="W3" s="421"/>
      <c r="X3" s="421"/>
      <c r="Y3" s="421"/>
      <c r="Z3" s="421"/>
      <c r="AY3" s="421"/>
      <c r="AZ3" s="421"/>
      <c r="BA3" s="421"/>
      <c r="BB3" s="421"/>
      <c r="BC3" s="421"/>
      <c r="BD3" s="421"/>
      <c r="BE3" s="421"/>
      <c r="BF3" s="421"/>
      <c r="BG3" s="421"/>
      <c r="BH3" s="421"/>
      <c r="BI3" s="421"/>
      <c r="BJ3" s="421"/>
      <c r="BK3" s="421"/>
      <c r="BL3" s="421"/>
    </row>
    <row r="4" spans="2:64">
      <c r="N4" s="10"/>
      <c r="W4" s="10"/>
      <c r="AF4" s="10"/>
      <c r="AO4" s="10"/>
    </row>
    <row r="5" spans="2:64">
      <c r="AY5" s="16" t="s">
        <v>48</v>
      </c>
      <c r="AZ5" s="17"/>
      <c r="BA5" s="17"/>
      <c r="BB5" s="17"/>
      <c r="BC5" s="17"/>
      <c r="BD5" s="9"/>
    </row>
    <row r="6" spans="2:64">
      <c r="AY6" s="18"/>
      <c r="AZ6" s="19" t="s">
        <v>7</v>
      </c>
      <c r="BA6" s="19" t="s">
        <v>8</v>
      </c>
      <c r="BB6" s="19" t="s">
        <v>9</v>
      </c>
      <c r="BC6" s="19" t="s">
        <v>6</v>
      </c>
      <c r="BD6" s="9"/>
    </row>
    <row r="7" spans="2:64">
      <c r="AY7" s="20" t="s">
        <v>49</v>
      </c>
      <c r="AZ7" s="21">
        <f>'2a. % By Priority'!G5</f>
        <v>0.94936708860759489</v>
      </c>
      <c r="BA7" s="21" t="e">
        <f>'2a. % By Priority'!N5</f>
        <v>#DIV/0!</v>
      </c>
      <c r="BB7" s="21" t="e">
        <f>'2a. % By Priority'!U5</f>
        <v>#DIV/0!</v>
      </c>
      <c r="BC7" s="21" t="e">
        <f>'2a. % By Priority'!AB5</f>
        <v>#DIV/0!</v>
      </c>
      <c r="BD7" s="9"/>
    </row>
    <row r="8" spans="2:64">
      <c r="L8" s="13"/>
      <c r="M8" s="13"/>
      <c r="AY8" s="20" t="s">
        <v>50</v>
      </c>
      <c r="AZ8" s="21">
        <f>'2a. % By Priority'!G7</f>
        <v>1.2658227848101266E-2</v>
      </c>
      <c r="BA8" s="21" t="e">
        <f>'2a. % By Priority'!N7</f>
        <v>#DIV/0!</v>
      </c>
      <c r="BB8" s="21" t="e">
        <f>'2a. % By Priority'!U7</f>
        <v>#DIV/0!</v>
      </c>
      <c r="BC8" s="21" t="e">
        <f>'2a. % By Priority'!AB7</f>
        <v>#DIV/0!</v>
      </c>
      <c r="BD8" s="9"/>
    </row>
    <row r="9" spans="2:64">
      <c r="L9" s="13"/>
      <c r="M9" s="13"/>
      <c r="AY9" s="20" t="s">
        <v>51</v>
      </c>
      <c r="AZ9" s="21">
        <f>'2a. % By Priority'!G10</f>
        <v>3.7974683544303799E-2</v>
      </c>
      <c r="BA9" s="21" t="e">
        <f>'2a. % By Priority'!N10</f>
        <v>#DIV/0!</v>
      </c>
      <c r="BB9" s="21" t="e">
        <f>'2a. % By Priority'!U10</f>
        <v>#DIV/0!</v>
      </c>
      <c r="BC9" s="21" t="e">
        <f>'2a. % By Priority'!AB10</f>
        <v>#DIV/0!</v>
      </c>
      <c r="BD9" s="9"/>
    </row>
    <row r="10" spans="2:64">
      <c r="L10" s="13"/>
      <c r="M10" s="13"/>
      <c r="AY10" s="18"/>
      <c r="AZ10" s="22"/>
      <c r="BA10" s="22"/>
      <c r="BB10" s="22"/>
      <c r="BC10" s="22"/>
      <c r="BD10" s="9"/>
    </row>
    <row r="11" spans="2:64">
      <c r="AY11" s="23"/>
      <c r="AZ11" s="24"/>
      <c r="BA11" s="24"/>
      <c r="BB11" s="25"/>
      <c r="BC11" s="25"/>
      <c r="BD11" s="9"/>
    </row>
    <row r="12" spans="2:64">
      <c r="AY12" s="23"/>
      <c r="AZ12" s="24"/>
      <c r="BA12" s="24"/>
      <c r="BB12" s="25"/>
      <c r="BC12" s="25"/>
      <c r="BD12" s="9"/>
    </row>
    <row r="13" spans="2:64">
      <c r="AY13" s="23"/>
      <c r="AZ13" s="24"/>
      <c r="BA13" s="24"/>
      <c r="BB13" s="25"/>
      <c r="BC13" s="25"/>
      <c r="BD13" s="9"/>
    </row>
    <row r="14" spans="2:64">
      <c r="AY14" s="26"/>
      <c r="AZ14" s="17"/>
      <c r="BA14" s="17"/>
      <c r="BB14" s="17"/>
      <c r="BC14" s="17"/>
      <c r="BD14" s="9"/>
    </row>
    <row r="15" spans="2:64">
      <c r="AY15" s="26"/>
      <c r="AZ15" s="17"/>
      <c r="BA15" s="17"/>
      <c r="BB15" s="17"/>
      <c r="BC15" s="17"/>
      <c r="BD15" s="9"/>
    </row>
    <row r="16" spans="2:64">
      <c r="AY16" s="26"/>
      <c r="AZ16" s="17"/>
      <c r="BA16" s="17"/>
      <c r="BB16" s="17"/>
      <c r="BC16" s="17"/>
      <c r="BD16" s="9"/>
    </row>
    <row r="17" spans="12:56">
      <c r="AY17" s="26"/>
      <c r="AZ17" s="17"/>
      <c r="BA17" s="17"/>
      <c r="BB17" s="17"/>
      <c r="BC17" s="17"/>
      <c r="BD17" s="9"/>
    </row>
    <row r="18" spans="12:56">
      <c r="AY18" s="26"/>
      <c r="AZ18" s="17"/>
      <c r="BA18" s="17"/>
      <c r="BB18" s="17"/>
      <c r="BC18" s="17"/>
      <c r="BD18" s="9"/>
    </row>
    <row r="19" spans="12:56">
      <c r="AY19" s="26"/>
      <c r="AZ19" s="17"/>
      <c r="BA19" s="17"/>
      <c r="BB19" s="17"/>
      <c r="BC19" s="17"/>
      <c r="BD19" s="9"/>
    </row>
    <row r="20" spans="12:56">
      <c r="N20" s="10"/>
      <c r="W20" s="10"/>
      <c r="AF20" s="10"/>
      <c r="AO20" s="10"/>
      <c r="AY20" s="26"/>
      <c r="AZ20" s="17"/>
      <c r="BA20" s="17"/>
      <c r="BB20" s="17"/>
      <c r="BC20" s="17"/>
      <c r="BD20" s="9"/>
    </row>
    <row r="21" spans="12:56">
      <c r="AY21" s="16" t="s">
        <v>126</v>
      </c>
      <c r="AZ21" s="17"/>
      <c r="BA21" s="17"/>
      <c r="BB21" s="17"/>
      <c r="BC21" s="17"/>
      <c r="BD21" s="9"/>
    </row>
    <row r="22" spans="12:56">
      <c r="AY22" s="18"/>
      <c r="AZ22" s="19" t="s">
        <v>7</v>
      </c>
      <c r="BA22" s="19" t="s">
        <v>8</v>
      </c>
      <c r="BB22" s="19" t="s">
        <v>9</v>
      </c>
      <c r="BC22" s="19" t="s">
        <v>6</v>
      </c>
      <c r="BD22" s="9"/>
    </row>
    <row r="23" spans="12:56">
      <c r="AY23" s="20" t="s">
        <v>49</v>
      </c>
      <c r="AZ23" s="21">
        <f>'2a. % By Priority'!G23</f>
        <v>0.84615384615384615</v>
      </c>
      <c r="BA23" s="21" t="e">
        <f>'2a. % By Priority'!N23</f>
        <v>#DIV/0!</v>
      </c>
      <c r="BB23" s="21" t="e">
        <f>'2a. % By Priority'!U23</f>
        <v>#DIV/0!</v>
      </c>
      <c r="BC23" s="21" t="e">
        <f>'2a. % By Priority'!AB23</f>
        <v>#DIV/0!</v>
      </c>
      <c r="BD23" s="9"/>
    </row>
    <row r="24" spans="12:56">
      <c r="L24" s="13"/>
      <c r="M24" s="13"/>
      <c r="AY24" s="20" t="s">
        <v>50</v>
      </c>
      <c r="AZ24" s="21">
        <f>'2a. % By Priority'!G25</f>
        <v>0</v>
      </c>
      <c r="BA24" s="21" t="e">
        <f>'2a. % By Priority'!N25</f>
        <v>#DIV/0!</v>
      </c>
      <c r="BB24" s="21" t="e">
        <f>'2a. % By Priority'!U25</f>
        <v>#DIV/0!</v>
      </c>
      <c r="BC24" s="21" t="e">
        <f>'2a. % By Priority'!AB25</f>
        <v>#DIV/0!</v>
      </c>
      <c r="BD24" s="9"/>
    </row>
    <row r="25" spans="12:56">
      <c r="L25" s="13"/>
      <c r="M25" s="13"/>
      <c r="AY25" s="20" t="s">
        <v>51</v>
      </c>
      <c r="AZ25" s="21">
        <f>'2a. % By Priority'!G28</f>
        <v>0.15384615384615385</v>
      </c>
      <c r="BA25" s="21" t="e">
        <f>'2a. % By Priority'!N28</f>
        <v>#DIV/0!</v>
      </c>
      <c r="BB25" s="21" t="e">
        <f>'2a. % By Priority'!U28</f>
        <v>#DIV/0!</v>
      </c>
      <c r="BC25" s="21" t="e">
        <f>'2a. % By Priority'!AB28</f>
        <v>#DIV/0!</v>
      </c>
      <c r="BD25" s="9"/>
    </row>
    <row r="26" spans="12:56">
      <c r="L26" s="13"/>
      <c r="M26" s="13"/>
      <c r="AY26" s="26"/>
      <c r="AZ26" s="17"/>
      <c r="BA26" s="17"/>
      <c r="BB26" s="17"/>
      <c r="BC26" s="17"/>
      <c r="BD26" s="9"/>
    </row>
    <row r="27" spans="12:56">
      <c r="AY27" s="23"/>
      <c r="AZ27" s="17"/>
      <c r="BA27" s="17"/>
      <c r="BB27" s="17"/>
      <c r="BC27" s="17"/>
      <c r="BD27" s="9"/>
    </row>
    <row r="28" spans="12:56">
      <c r="AY28" s="23"/>
      <c r="AZ28" s="17"/>
      <c r="BA28" s="17"/>
      <c r="BB28" s="17"/>
      <c r="BC28" s="17"/>
      <c r="BD28" s="9"/>
    </row>
    <row r="29" spans="12:56">
      <c r="AY29" s="23"/>
      <c r="AZ29" s="17"/>
      <c r="BA29" s="17"/>
      <c r="BB29" s="17"/>
      <c r="BC29" s="17"/>
      <c r="BD29" s="9"/>
    </row>
    <row r="30" spans="12:56">
      <c r="AY30" s="26"/>
      <c r="AZ30" s="17"/>
      <c r="BA30" s="17"/>
      <c r="BB30" s="17"/>
      <c r="BC30" s="17"/>
      <c r="BD30" s="9"/>
    </row>
    <row r="31" spans="12:56">
      <c r="AY31" s="26"/>
      <c r="AZ31" s="17"/>
      <c r="BA31" s="17"/>
      <c r="BB31" s="17"/>
      <c r="BC31" s="17"/>
      <c r="BD31" s="9"/>
    </row>
    <row r="32" spans="12:56">
      <c r="AY32" s="26"/>
      <c r="AZ32" s="17"/>
      <c r="BA32" s="17"/>
      <c r="BB32" s="17"/>
      <c r="BC32" s="17"/>
      <c r="BD32" s="9"/>
    </row>
    <row r="33" spans="11:56">
      <c r="AY33" s="26"/>
      <c r="AZ33" s="17"/>
      <c r="BA33" s="17"/>
      <c r="BB33" s="17"/>
      <c r="BC33" s="17"/>
      <c r="BD33" s="9"/>
    </row>
    <row r="34" spans="11:56">
      <c r="AY34" s="26"/>
      <c r="AZ34" s="17"/>
      <c r="BA34" s="17"/>
      <c r="BB34" s="17"/>
      <c r="BC34" s="17"/>
      <c r="BD34" s="9"/>
    </row>
    <row r="35" spans="11:56">
      <c r="AY35" s="26"/>
      <c r="AZ35" s="17"/>
      <c r="BA35" s="17"/>
      <c r="BB35" s="17"/>
      <c r="BC35" s="17"/>
      <c r="BD35" s="9"/>
    </row>
    <row r="36" spans="11:56">
      <c r="N36" s="10"/>
      <c r="W36" s="10"/>
      <c r="AF36" s="10"/>
      <c r="AO36" s="10"/>
      <c r="AY36" s="26"/>
      <c r="AZ36" s="17"/>
      <c r="BA36" s="17"/>
      <c r="BB36" s="17"/>
      <c r="BC36" s="17"/>
      <c r="BD36" s="9"/>
    </row>
    <row r="37" spans="11:56">
      <c r="AY37" s="16" t="s">
        <v>122</v>
      </c>
      <c r="AZ37" s="27"/>
      <c r="BA37" s="27"/>
      <c r="BB37" s="27"/>
      <c r="BC37" s="27"/>
      <c r="BD37" s="15"/>
    </row>
    <row r="38" spans="11:56">
      <c r="AY38" s="28"/>
      <c r="AZ38" s="19" t="s">
        <v>7</v>
      </c>
      <c r="BA38" s="19" t="s">
        <v>8</v>
      </c>
      <c r="BB38" s="19" t="s">
        <v>9</v>
      </c>
      <c r="BC38" s="19" t="s">
        <v>6</v>
      </c>
      <c r="BD38" s="15"/>
    </row>
    <row r="39" spans="11:56">
      <c r="AY39" s="20" t="s">
        <v>49</v>
      </c>
      <c r="AZ39" s="21">
        <f>'2a. % By Priority'!G41</f>
        <v>0.94444444444444442</v>
      </c>
      <c r="BA39" s="21" t="e">
        <f>'2a. % By Priority'!N41</f>
        <v>#DIV/0!</v>
      </c>
      <c r="BB39" s="21" t="e">
        <f>'2a. % By Priority'!U41</f>
        <v>#DIV/0!</v>
      </c>
      <c r="BC39" s="21" t="e">
        <f>'2a. % By Priority'!AB41</f>
        <v>#DIV/0!</v>
      </c>
      <c r="BD39" s="15"/>
    </row>
    <row r="40" spans="11:56">
      <c r="K40" s="13"/>
      <c r="L40" s="13"/>
      <c r="AY40" s="20" t="s">
        <v>50</v>
      </c>
      <c r="AZ40" s="21">
        <f>'2a. % By Priority'!G43</f>
        <v>5.5555555555555552E-2</v>
      </c>
      <c r="BA40" s="21" t="e">
        <f>'2a. % By Priority'!N43</f>
        <v>#DIV/0!</v>
      </c>
      <c r="BB40" s="21" t="e">
        <f>'2a. % By Priority'!U43</f>
        <v>#DIV/0!</v>
      </c>
      <c r="BC40" s="21" t="e">
        <f>'2a. % By Priority'!AB43</f>
        <v>#DIV/0!</v>
      </c>
      <c r="BD40" s="15"/>
    </row>
    <row r="41" spans="11:56">
      <c r="K41" s="13"/>
      <c r="L41" s="13"/>
      <c r="AY41" s="20" t="s">
        <v>51</v>
      </c>
      <c r="AZ41" s="21">
        <f>'2a. % By Priority'!G46</f>
        <v>0</v>
      </c>
      <c r="BA41" s="21" t="e">
        <f>'2a. % By Priority'!N46</f>
        <v>#DIV/0!</v>
      </c>
      <c r="BB41" s="21" t="e">
        <f>'2a. % By Priority'!U46</f>
        <v>#DIV/0!</v>
      </c>
      <c r="BC41" s="21" t="e">
        <f>'2a. % By Priority'!AB46</f>
        <v>#DIV/0!</v>
      </c>
      <c r="BD41" s="15"/>
    </row>
    <row r="42" spans="11:56">
      <c r="K42" s="13"/>
      <c r="L42" s="13"/>
      <c r="AY42" s="26"/>
      <c r="AZ42" s="17"/>
      <c r="BA42" s="17"/>
      <c r="BB42" s="17"/>
      <c r="BC42" s="17"/>
      <c r="BD42" s="9"/>
    </row>
    <row r="43" spans="11:56">
      <c r="AY43" s="23"/>
      <c r="AZ43" s="17"/>
      <c r="BA43" s="17"/>
      <c r="BB43" s="17"/>
      <c r="BC43" s="17"/>
      <c r="BD43" s="9"/>
    </row>
    <row r="44" spans="11:56">
      <c r="AY44" s="23"/>
      <c r="AZ44" s="17"/>
      <c r="BA44" s="17"/>
      <c r="BB44" s="17"/>
      <c r="BC44" s="17"/>
      <c r="BD44" s="9"/>
    </row>
    <row r="45" spans="11:56">
      <c r="AY45" s="23"/>
      <c r="AZ45" s="17"/>
      <c r="BA45" s="17"/>
      <c r="BB45" s="17"/>
      <c r="BC45" s="17"/>
      <c r="BD45" s="9"/>
    </row>
    <row r="46" spans="11:56">
      <c r="AY46" s="26"/>
      <c r="AZ46" s="17"/>
      <c r="BA46" s="17"/>
      <c r="BB46" s="17"/>
      <c r="BC46" s="17"/>
      <c r="BD46" s="9"/>
    </row>
    <row r="47" spans="11:56">
      <c r="AY47" s="26"/>
      <c r="AZ47" s="17"/>
      <c r="BA47" s="17"/>
      <c r="BB47" s="17"/>
      <c r="BC47" s="17"/>
      <c r="BD47" s="9"/>
    </row>
    <row r="48" spans="11:56">
      <c r="AY48" s="26"/>
      <c r="AZ48" s="17"/>
      <c r="BA48" s="17"/>
      <c r="BB48" s="17"/>
      <c r="BC48" s="17"/>
      <c r="BD48" s="9"/>
    </row>
    <row r="49" spans="12:56">
      <c r="AY49" s="26"/>
      <c r="AZ49" s="17"/>
      <c r="BA49" s="17"/>
      <c r="BB49" s="17"/>
      <c r="BC49" s="17"/>
      <c r="BD49" s="9"/>
    </row>
    <row r="50" spans="12:56">
      <c r="AY50" s="26"/>
      <c r="AZ50" s="17"/>
      <c r="BA50" s="17"/>
      <c r="BB50" s="17"/>
      <c r="BC50" s="17"/>
      <c r="BD50" s="9"/>
    </row>
    <row r="51" spans="12:56">
      <c r="AY51" s="26"/>
      <c r="AZ51" s="17"/>
      <c r="BA51" s="17"/>
      <c r="BB51" s="17"/>
      <c r="BC51" s="17"/>
      <c r="BD51" s="9"/>
    </row>
    <row r="52" spans="12:56">
      <c r="N52" s="10"/>
      <c r="W52" s="10"/>
      <c r="AF52" s="10"/>
      <c r="AP52" s="10"/>
      <c r="AY52" s="26"/>
      <c r="AZ52" s="17"/>
      <c r="BA52" s="17"/>
      <c r="BB52" s="17"/>
      <c r="BC52" s="17"/>
      <c r="BD52" s="9"/>
    </row>
    <row r="53" spans="12:56">
      <c r="AY53" s="16" t="s">
        <v>136</v>
      </c>
      <c r="AZ53" s="27"/>
      <c r="BA53" s="27"/>
      <c r="BB53" s="27"/>
      <c r="BC53" s="27"/>
      <c r="BD53" s="9"/>
    </row>
    <row r="54" spans="12:56">
      <c r="AY54" s="28"/>
      <c r="AZ54" s="19" t="s">
        <v>7</v>
      </c>
      <c r="BA54" s="19" t="s">
        <v>8</v>
      </c>
      <c r="BB54" s="19" t="s">
        <v>9</v>
      </c>
      <c r="BC54" s="19" t="s">
        <v>6</v>
      </c>
      <c r="BD54" s="9"/>
    </row>
    <row r="55" spans="12:56">
      <c r="AY55" s="20" t="s">
        <v>49</v>
      </c>
      <c r="AZ55" s="21">
        <f>'2a. % By Priority'!G59</f>
        <v>1</v>
      </c>
      <c r="BA55" s="21" t="e">
        <f>'2a. % By Priority'!N59</f>
        <v>#DIV/0!</v>
      </c>
      <c r="BB55" s="21" t="e">
        <f>'2a. % By Priority'!U59</f>
        <v>#DIV/0!</v>
      </c>
      <c r="BC55" s="21" t="e">
        <f>'2a. % By Priority'!AB59</f>
        <v>#DIV/0!</v>
      </c>
      <c r="BD55" s="9"/>
    </row>
    <row r="56" spans="12:56">
      <c r="L56" s="13"/>
      <c r="M56" s="13"/>
      <c r="AY56" s="20" t="s">
        <v>50</v>
      </c>
      <c r="AZ56" s="21">
        <f>'2a. % By Priority'!G61</f>
        <v>0</v>
      </c>
      <c r="BA56" s="21" t="e">
        <f>'2a. % By Priority'!N61</f>
        <v>#DIV/0!</v>
      </c>
      <c r="BB56" s="21" t="e">
        <f>'2a. % By Priority'!U61</f>
        <v>#DIV/0!</v>
      </c>
      <c r="BC56" s="21" t="e">
        <f>'2a. % By Priority'!AB61</f>
        <v>#DIV/0!</v>
      </c>
      <c r="BD56" s="9"/>
    </row>
    <row r="57" spans="12:56">
      <c r="L57" s="13"/>
      <c r="M57" s="13"/>
      <c r="AY57" s="20" t="s">
        <v>51</v>
      </c>
      <c r="AZ57" s="21">
        <f>'2a. % By Priority'!G64</f>
        <v>0</v>
      </c>
      <c r="BA57" s="21" t="e">
        <f>'2a. % By Priority'!N64</f>
        <v>#DIV/0!</v>
      </c>
      <c r="BB57" s="21" t="e">
        <f>'2a. % By Priority'!U64</f>
        <v>#DIV/0!</v>
      </c>
      <c r="BC57" s="21" t="e">
        <f>'2a. % By Priority'!AB64</f>
        <v>#DIV/0!</v>
      </c>
      <c r="BD57" s="9"/>
    </row>
    <row r="58" spans="12:56">
      <c r="L58" s="13"/>
      <c r="M58" s="13"/>
      <c r="AY58" s="9"/>
      <c r="AZ58" s="12"/>
      <c r="BA58" s="12"/>
      <c r="BB58" s="12"/>
      <c r="BC58" s="12"/>
      <c r="BD58" s="9"/>
    </row>
    <row r="59" spans="12:56">
      <c r="AY59" s="14"/>
      <c r="AZ59" s="12"/>
      <c r="BA59" s="12"/>
      <c r="BB59" s="12"/>
      <c r="BC59" s="12"/>
      <c r="BD59" s="9"/>
    </row>
    <row r="60" spans="12:56">
      <c r="AY60" s="14"/>
      <c r="AZ60" s="12"/>
      <c r="BA60" s="12"/>
      <c r="BB60" s="12"/>
      <c r="BC60" s="12"/>
      <c r="BD60" s="9"/>
    </row>
    <row r="61" spans="12:56">
      <c r="AY61" s="14"/>
      <c r="AZ61" s="12"/>
      <c r="BA61" s="12"/>
      <c r="BB61" s="12"/>
      <c r="BC61" s="12"/>
      <c r="BD61" s="9"/>
    </row>
    <row r="62" spans="12:56">
      <c r="AY62" s="9"/>
      <c r="AZ62" s="12"/>
      <c r="BA62" s="12"/>
      <c r="BB62" s="12"/>
      <c r="BC62" s="12"/>
      <c r="BD62" s="9"/>
    </row>
    <row r="63" spans="12:56">
      <c r="AY63" s="9"/>
      <c r="AZ63" s="12"/>
      <c r="BA63" s="12"/>
      <c r="BB63" s="12"/>
      <c r="BC63" s="12"/>
      <c r="BD63" s="9"/>
    </row>
    <row r="64" spans="12:56">
      <c r="AY64" s="9"/>
      <c r="AZ64" s="12"/>
      <c r="BA64" s="12"/>
      <c r="BB64" s="12"/>
      <c r="BC64" s="12"/>
      <c r="BD64" s="9"/>
    </row>
    <row r="65" spans="51:56">
      <c r="AY65" s="9"/>
      <c r="AZ65" s="12"/>
      <c r="BA65" s="12"/>
      <c r="BB65" s="12"/>
      <c r="BC65" s="12"/>
      <c r="BD65" s="9"/>
    </row>
    <row r="66" spans="51:56">
      <c r="AY66" s="9"/>
      <c r="AZ66" s="12"/>
      <c r="BA66" s="12"/>
      <c r="BB66" s="12"/>
      <c r="BC66" s="12"/>
      <c r="BD66" s="9"/>
    </row>
    <row r="69" spans="51:56">
      <c r="AY69" s="16" t="s">
        <v>124</v>
      </c>
      <c r="AZ69" s="27"/>
      <c r="BA69" s="27"/>
      <c r="BB69" s="27"/>
      <c r="BC69" s="27"/>
    </row>
    <row r="70" spans="51:56">
      <c r="AY70" s="28"/>
      <c r="AZ70" s="19" t="s">
        <v>7</v>
      </c>
      <c r="BA70" s="19" t="s">
        <v>8</v>
      </c>
      <c r="BB70" s="19" t="s">
        <v>9</v>
      </c>
      <c r="BC70" s="19" t="s">
        <v>6</v>
      </c>
    </row>
    <row r="71" spans="51:56">
      <c r="AY71" s="20" t="s">
        <v>49</v>
      </c>
      <c r="AZ71" s="21">
        <f>'2a. % By Priority'!G77</f>
        <v>0.9</v>
      </c>
      <c r="BA71" s="21" t="e">
        <f>'2a. % By Priority'!N77</f>
        <v>#DIV/0!</v>
      </c>
      <c r="BB71" s="21" t="e">
        <f>'2a. % By Priority'!U77</f>
        <v>#DIV/0!</v>
      </c>
      <c r="BC71" s="21" t="e">
        <f>'2a. % By Priority'!AB77</f>
        <v>#DIV/0!</v>
      </c>
    </row>
    <row r="72" spans="51:56">
      <c r="AY72" s="20" t="s">
        <v>50</v>
      </c>
      <c r="AZ72" s="21">
        <f>'2a. % By Priority'!G79</f>
        <v>0</v>
      </c>
      <c r="BA72" s="21" t="e">
        <f>'2a. % By Priority'!N79</f>
        <v>#DIV/0!</v>
      </c>
      <c r="BB72" s="21" t="e">
        <f>'2a. % By Priority'!U79</f>
        <v>#DIV/0!</v>
      </c>
      <c r="BC72" s="21" t="e">
        <f>'2a. % By Priority'!AB79</f>
        <v>#DIV/0!</v>
      </c>
    </row>
    <row r="73" spans="51:56">
      <c r="AY73" s="20" t="s">
        <v>51</v>
      </c>
      <c r="AZ73" s="21">
        <f>'2a. % By Priority'!G82</f>
        <v>0.1</v>
      </c>
      <c r="BA73" s="21" t="e">
        <f>'2a. % By Priority'!N82</f>
        <v>#DIV/0!</v>
      </c>
      <c r="BB73" s="21" t="e">
        <f>'2a. % By Priority'!U82</f>
        <v>#DIV/0!</v>
      </c>
      <c r="BC73" s="21" t="e">
        <f>'2a. % By Priority'!AB82</f>
        <v>#DIV/0!</v>
      </c>
    </row>
    <row r="84" spans="51:55">
      <c r="AY84" s="16" t="s">
        <v>125</v>
      </c>
    </row>
    <row r="85" spans="51:55">
      <c r="AY85" s="28"/>
      <c r="AZ85" s="19" t="s">
        <v>7</v>
      </c>
      <c r="BA85" s="19" t="s">
        <v>8</v>
      </c>
      <c r="BB85" s="19" t="s">
        <v>9</v>
      </c>
      <c r="BC85" s="19" t="s">
        <v>6</v>
      </c>
    </row>
    <row r="86" spans="51:55">
      <c r="AY86" s="20" t="s">
        <v>49</v>
      </c>
      <c r="AZ86" s="21">
        <f>'2a. % By Priority'!G95</f>
        <v>1</v>
      </c>
      <c r="BA86" s="21" t="e">
        <f>'2a. % By Priority'!N95</f>
        <v>#DIV/0!</v>
      </c>
      <c r="BB86" s="21" t="e">
        <f>'2a. % By Priority'!U95</f>
        <v>#DIV/0!</v>
      </c>
      <c r="BC86" s="21" t="e">
        <f>'2a. % By Priority'!AB95</f>
        <v>#DIV/0!</v>
      </c>
    </row>
    <row r="87" spans="51:55">
      <c r="AY87" s="20" t="s">
        <v>50</v>
      </c>
      <c r="AZ87" s="21">
        <f>'2a. % By Priority'!G97</f>
        <v>0</v>
      </c>
      <c r="BA87" s="21" t="e">
        <f>'2a. % By Priority'!N97</f>
        <v>#DIV/0!</v>
      </c>
      <c r="BB87" s="21" t="e">
        <f>'2a. % By Priority'!U97</f>
        <v>#DIV/0!</v>
      </c>
      <c r="BC87" s="21" t="e">
        <f>'2a. % By Priority'!AB97</f>
        <v>#DIV/0!</v>
      </c>
    </row>
    <row r="88" spans="51:55">
      <c r="AY88" s="20" t="s">
        <v>51</v>
      </c>
      <c r="AZ88" s="21">
        <f>'2a. % By Priority'!G100</f>
        <v>0</v>
      </c>
      <c r="BA88" s="21" t="e">
        <f>'2a. % By Priority'!N100</f>
        <v>#DIV/0!</v>
      </c>
      <c r="BB88" s="21" t="e">
        <f>'2a. % By Priority'!U100</f>
        <v>#DIV/0!</v>
      </c>
      <c r="BC88" s="21" t="e">
        <f>'2a. % By Priority'!AB100</f>
        <v>#DIV/0!</v>
      </c>
    </row>
  </sheetData>
  <sheetProtection algorithmName="SHA-512" hashValue="NBuUEVDodZh+D043q5MqOADUzi0CxqTnZJkcPdThaLiEQt4tbNM0ELD6dQJ4BKyvRqVesGv8hgH5FLg3DlKUXw==" saltValue="1rqq2Q+URqaHjNmRsPQ86A==" spinCount="100000" sheet="1" objects="1" scenarios="1"/>
  <mergeCells count="2">
    <mergeCell ref="M1:Z3"/>
    <mergeCell ref="AY1:BL3"/>
  </mergeCells>
  <pageMargins left="0.25" right="0.25" top="0.75" bottom="0.75" header="0.3" footer="0.3"/>
  <pageSetup paperSize="8" scale="51" orientation="landscape" verticalDpi="0" r:id="rId1"/>
  <colBreaks count="1" manualBreakCount="1">
    <brk id="4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1" zoomScale="70" zoomScaleNormal="70" workbookViewId="0">
      <selection activeCell="B94" sqref="B94:G108"/>
    </sheetView>
  </sheetViews>
  <sheetFormatPr defaultColWidth="9.33203125" defaultRowHeight="13.8"/>
  <cols>
    <col min="1" max="1" width="3.44140625" style="157" hidden="1" customWidth="1"/>
    <col min="2" max="2" width="52.33203125" style="157" bestFit="1" customWidth="1"/>
    <col min="3" max="3" width="12.33203125" style="154" bestFit="1" customWidth="1"/>
    <col min="4" max="4" width="11.6640625" style="154" bestFit="1" customWidth="1"/>
    <col min="5" max="5" width="15" style="154" bestFit="1" customWidth="1"/>
    <col min="6" max="6" width="11.6640625" style="157" bestFit="1" customWidth="1"/>
    <col min="7" max="7" width="16.6640625" style="154" bestFit="1" customWidth="1"/>
    <col min="8" max="8" width="4.5546875" style="157" customWidth="1"/>
    <col min="9" max="9" width="51.33203125" style="157" hidden="1" customWidth="1"/>
    <col min="10" max="10" width="12.33203125" style="154" hidden="1" customWidth="1"/>
    <col min="11" max="11" width="11.6640625" style="154" hidden="1" customWidth="1"/>
    <col min="12" max="12" width="15" style="154" hidden="1" customWidth="1"/>
    <col min="13" max="13" width="11.6640625" style="157" hidden="1" customWidth="1"/>
    <col min="14" max="14" width="16.6640625" style="154" hidden="1" customWidth="1"/>
    <col min="15" max="15" width="4.5546875" style="157" hidden="1" customWidth="1"/>
    <col min="16" max="16" width="52.5546875" style="157" hidden="1" customWidth="1"/>
    <col min="17" max="17" width="12.33203125" style="154" hidden="1" customWidth="1"/>
    <col min="18" max="18" width="11.6640625" style="154" hidden="1" customWidth="1"/>
    <col min="19" max="19" width="15" style="154" hidden="1" customWidth="1"/>
    <col min="20" max="20" width="11.6640625" style="157" hidden="1" customWidth="1"/>
    <col min="21" max="21" width="16.6640625" style="154" hidden="1" customWidth="1"/>
    <col min="22" max="22" width="4.5546875" style="157" hidden="1" customWidth="1"/>
    <col min="23" max="23" width="51.6640625" style="154" hidden="1" customWidth="1"/>
    <col min="24" max="24" width="12.33203125" style="154" hidden="1" customWidth="1"/>
    <col min="25" max="25" width="20.44140625" style="154" hidden="1" customWidth="1"/>
    <col min="26" max="26" width="15" style="154" hidden="1" customWidth="1"/>
    <col min="27" max="27" width="11.6640625" style="154" hidden="1" customWidth="1"/>
    <col min="28" max="28" width="16.6640625" style="181" hidden="1" customWidth="1"/>
    <col min="29" max="29" width="9.33203125" style="157" customWidth="1"/>
    <col min="30" max="16384" width="9.33203125" style="157"/>
  </cols>
  <sheetData>
    <row r="1" spans="2:30" s="151" customFormat="1" ht="21">
      <c r="B1" s="196" t="s">
        <v>397</v>
      </c>
      <c r="C1" s="197"/>
      <c r="D1" s="198"/>
      <c r="E1" s="198"/>
      <c r="F1" s="199"/>
      <c r="G1" s="198"/>
      <c r="I1" s="196" t="s">
        <v>132</v>
      </c>
      <c r="J1" s="197"/>
      <c r="K1" s="198"/>
      <c r="L1" s="198"/>
      <c r="M1" s="199"/>
      <c r="N1" s="198"/>
      <c r="P1" s="196" t="s">
        <v>133</v>
      </c>
      <c r="Q1" s="197"/>
      <c r="R1" s="198"/>
      <c r="S1" s="198"/>
      <c r="T1" s="199"/>
      <c r="U1" s="198"/>
      <c r="W1" s="200" t="s">
        <v>134</v>
      </c>
      <c r="X1" s="201"/>
      <c r="Y1" s="201"/>
      <c r="Z1" s="201"/>
      <c r="AA1" s="201"/>
      <c r="AB1" s="202"/>
    </row>
    <row r="2" spans="2:30" ht="15.6">
      <c r="B2" s="152"/>
      <c r="C2" s="153"/>
      <c r="D2" s="153"/>
      <c r="E2" s="153"/>
      <c r="F2" s="152"/>
      <c r="G2" s="153"/>
      <c r="I2" s="152"/>
      <c r="J2" s="153"/>
      <c r="K2" s="153"/>
      <c r="L2" s="153"/>
      <c r="M2" s="152"/>
      <c r="N2" s="153"/>
      <c r="P2" s="152"/>
      <c r="Q2" s="153"/>
      <c r="R2" s="153"/>
      <c r="S2" s="153"/>
      <c r="T2" s="152"/>
      <c r="U2" s="153"/>
      <c r="W2" s="155"/>
      <c r="X2" s="155"/>
      <c r="Y2" s="155"/>
      <c r="Z2" s="155"/>
      <c r="AA2" s="155"/>
      <c r="AB2" s="156"/>
    </row>
    <row r="3" spans="2:30" s="166" customFormat="1" ht="15.6">
      <c r="B3" s="225" t="s">
        <v>128</v>
      </c>
      <c r="C3" s="204"/>
      <c r="D3" s="204"/>
      <c r="E3" s="204"/>
      <c r="F3" s="205"/>
      <c r="G3" s="204"/>
      <c r="I3" s="225" t="s">
        <v>128</v>
      </c>
      <c r="J3" s="204"/>
      <c r="K3" s="204"/>
      <c r="L3" s="204"/>
      <c r="M3" s="205"/>
      <c r="N3" s="204"/>
      <c r="P3" s="225" t="s">
        <v>128</v>
      </c>
      <c r="Q3" s="204"/>
      <c r="R3" s="204"/>
      <c r="S3" s="204"/>
      <c r="T3" s="205"/>
      <c r="U3" s="204"/>
      <c r="W3" s="225" t="s">
        <v>128</v>
      </c>
      <c r="X3" s="204"/>
      <c r="Y3" s="204"/>
      <c r="Z3" s="204"/>
      <c r="AA3" s="205"/>
      <c r="AB3" s="204"/>
    </row>
    <row r="4" spans="2:30" ht="42" customHeight="1">
      <c r="B4" s="206" t="s">
        <v>36</v>
      </c>
      <c r="C4" s="207" t="s">
        <v>37</v>
      </c>
      <c r="D4" s="207" t="s">
        <v>38</v>
      </c>
      <c r="E4" s="207" t="s">
        <v>39</v>
      </c>
      <c r="F4" s="206" t="s">
        <v>40</v>
      </c>
      <c r="G4" s="207" t="s">
        <v>41</v>
      </c>
      <c r="I4" s="206" t="s">
        <v>36</v>
      </c>
      <c r="J4" s="207" t="s">
        <v>37</v>
      </c>
      <c r="K4" s="207" t="s">
        <v>38</v>
      </c>
      <c r="L4" s="207" t="s">
        <v>39</v>
      </c>
      <c r="M4" s="206" t="s">
        <v>40</v>
      </c>
      <c r="N4" s="207" t="s">
        <v>41</v>
      </c>
      <c r="P4" s="206" t="s">
        <v>36</v>
      </c>
      <c r="Q4" s="207" t="s">
        <v>37</v>
      </c>
      <c r="R4" s="207" t="s">
        <v>38</v>
      </c>
      <c r="S4" s="207" t="s">
        <v>39</v>
      </c>
      <c r="T4" s="206" t="s">
        <v>40</v>
      </c>
      <c r="U4" s="207" t="s">
        <v>41</v>
      </c>
      <c r="W4" s="164" t="s">
        <v>36</v>
      </c>
      <c r="X4" s="164" t="s">
        <v>37</v>
      </c>
      <c r="Y4" s="164" t="s">
        <v>38</v>
      </c>
      <c r="Z4" s="164" t="s">
        <v>39</v>
      </c>
      <c r="AA4" s="164" t="s">
        <v>40</v>
      </c>
      <c r="AB4" s="164" t="s">
        <v>41</v>
      </c>
    </row>
    <row r="5" spans="2:30" ht="21.75" customHeight="1">
      <c r="B5" s="228" t="s">
        <v>42</v>
      </c>
      <c r="C5" s="208">
        <f>COUNTIFS('1. All Data'!$AB$3:$AB$136,"Communities and Regulatory Services",'1. All Data'!$H$3:$H$136,"Fully Achieved")</f>
        <v>0</v>
      </c>
      <c r="D5" s="209">
        <f>C5/C16</f>
        <v>0</v>
      </c>
      <c r="E5" s="422">
        <f>D5+D6</f>
        <v>0.6</v>
      </c>
      <c r="F5" s="210">
        <f>C5/C17</f>
        <v>0</v>
      </c>
      <c r="G5" s="424">
        <f>F5+F6</f>
        <v>1</v>
      </c>
      <c r="I5" s="228" t="s">
        <v>42</v>
      </c>
      <c r="J5" s="208">
        <f>COUNTIFS('1. All Data'!$AB$3:$AB$136,"Communities and Regulatory Services",'1. All Data'!$M$3:$M$136,"Fully Achieved")</f>
        <v>0</v>
      </c>
      <c r="K5" s="209" t="e">
        <f>J5/J16</f>
        <v>#DIV/0!</v>
      </c>
      <c r="L5" s="422" t="e">
        <f>K5+K6</f>
        <v>#DIV/0!</v>
      </c>
      <c r="M5" s="210" t="e">
        <f>J5/J17</f>
        <v>#DIV/0!</v>
      </c>
      <c r="N5" s="424" t="e">
        <f>M5+M6</f>
        <v>#DIV/0!</v>
      </c>
      <c r="P5" s="228" t="s">
        <v>42</v>
      </c>
      <c r="Q5" s="208">
        <f>COUNTIFS('1. All Data'!$AB$3:$AB$136,"Communities and Regulatory Services",'1. All Data'!$R$3:$R$136,"Fully Achieved")</f>
        <v>0</v>
      </c>
      <c r="R5" s="209" t="e">
        <f>Q5/Q16</f>
        <v>#DIV/0!</v>
      </c>
      <c r="S5" s="422" t="e">
        <f>R5+R6</f>
        <v>#DIV/0!</v>
      </c>
      <c r="T5" s="210" t="e">
        <f>Q5/Q17</f>
        <v>#DIV/0!</v>
      </c>
      <c r="U5" s="424" t="e">
        <f>T5+T6</f>
        <v>#DIV/0!</v>
      </c>
      <c r="W5" s="228" t="s">
        <v>42</v>
      </c>
      <c r="X5" s="208">
        <f>COUNTIFS('1. All Data'!$AB$3:$AB$136,"Communities and Regulatory Services",'1. All Data'!$V$3:$V$136,"Fully Achieved")</f>
        <v>0</v>
      </c>
      <c r="Y5" s="209" t="e">
        <f>X5/X16</f>
        <v>#DIV/0!</v>
      </c>
      <c r="Z5" s="422" t="e">
        <f>Y5+Y6</f>
        <v>#DIV/0!</v>
      </c>
      <c r="AA5" s="209" t="e">
        <f>X5/X17</f>
        <v>#DIV/0!</v>
      </c>
      <c r="AB5" s="403" t="e">
        <f>AA5+AA6</f>
        <v>#DIV/0!</v>
      </c>
    </row>
    <row r="6" spans="2:30" ht="18.75" customHeight="1">
      <c r="B6" s="228" t="s">
        <v>25</v>
      </c>
      <c r="C6" s="208">
        <f>COUNTIFS('1. All Data'!$AB$3:$AB$136,"Communities and Regulatory Services",'1. All Data'!$H$3:$H$136,"On Track to be Achieved")</f>
        <v>9</v>
      </c>
      <c r="D6" s="209">
        <f>C6/C16</f>
        <v>0.6</v>
      </c>
      <c r="E6" s="422"/>
      <c r="F6" s="210">
        <f>C6/C17</f>
        <v>1</v>
      </c>
      <c r="G6" s="424"/>
      <c r="I6" s="228" t="s">
        <v>25</v>
      </c>
      <c r="J6" s="208">
        <f>COUNTIFS('1. All Data'!$AB$3:$AB$136,"Communities and Regulatory Services",'1. All Data'!$M$3:$M$136,"On Track to be Achieved")</f>
        <v>0</v>
      </c>
      <c r="K6" s="209" t="e">
        <f>J6/J16</f>
        <v>#DIV/0!</v>
      </c>
      <c r="L6" s="422"/>
      <c r="M6" s="210" t="e">
        <f>J6/J17</f>
        <v>#DIV/0!</v>
      </c>
      <c r="N6" s="424"/>
      <c r="P6" s="228" t="s">
        <v>25</v>
      </c>
      <c r="Q6" s="208">
        <f>COUNTIFS('1. All Data'!$AB$3:$AB$136,"Communities and Regulatory Services",'1. All Data'!$R$3:$R$136,"On Track to be Achieved")</f>
        <v>0</v>
      </c>
      <c r="R6" s="209" t="e">
        <f>Q6/Q16</f>
        <v>#DIV/0!</v>
      </c>
      <c r="S6" s="422"/>
      <c r="T6" s="210" t="e">
        <f>Q6/Q17</f>
        <v>#DIV/0!</v>
      </c>
      <c r="U6" s="424"/>
      <c r="W6" s="228" t="s">
        <v>17</v>
      </c>
      <c r="X6" s="208">
        <f>COUNTIFS('1. All Data'!$AB$3:$AB$136,"Communities and Regulatory Services",'1. All Data'!$V$3:$V$136,"Numerical Outturn Within 5% Tolerance")</f>
        <v>0</v>
      </c>
      <c r="Y6" s="209" t="e">
        <f>X6/X16</f>
        <v>#DIV/0!</v>
      </c>
      <c r="Z6" s="422"/>
      <c r="AA6" s="209" t="e">
        <f>X6/X17</f>
        <v>#DIV/0!</v>
      </c>
      <c r="AB6" s="403"/>
    </row>
    <row r="7" spans="2:30" ht="21" customHeight="1">
      <c r="B7" s="434" t="s">
        <v>26</v>
      </c>
      <c r="C7" s="437">
        <f>COUNTIFS('1. All Data'!$AB$3:$AB$136,"Communities and Regulatory Services",'1. All Data'!$H$3:$H$136,"In Danger of Falling Behind Target")</f>
        <v>0</v>
      </c>
      <c r="D7" s="425">
        <f>C7/C16</f>
        <v>0</v>
      </c>
      <c r="E7" s="425">
        <f>D7</f>
        <v>0</v>
      </c>
      <c r="F7" s="428">
        <f>C7/C17</f>
        <v>0</v>
      </c>
      <c r="G7" s="431">
        <f>F7</f>
        <v>0</v>
      </c>
      <c r="I7" s="434" t="s">
        <v>26</v>
      </c>
      <c r="J7" s="437">
        <f>COUNTIFS('1. All Data'!$AB$3:$AB$136,"Communities and Regulatory Services",'1. All Data'!$M$3:$M$136,"In Danger of Falling Behind Target")</f>
        <v>0</v>
      </c>
      <c r="K7" s="425" t="e">
        <f>J7/J16</f>
        <v>#DIV/0!</v>
      </c>
      <c r="L7" s="425" t="e">
        <f>K7</f>
        <v>#DIV/0!</v>
      </c>
      <c r="M7" s="428" t="e">
        <f>J7/J17</f>
        <v>#DIV/0!</v>
      </c>
      <c r="N7" s="431" t="e">
        <f>M7</f>
        <v>#DIV/0!</v>
      </c>
      <c r="P7" s="434" t="s">
        <v>26</v>
      </c>
      <c r="Q7" s="437">
        <f>COUNTIFS('1. All Data'!$AB$3:$AB$136,"Communities and Regulatory Services",'1. All Data'!$R$3:$R$136,"In Danger of Falling Behind Target")</f>
        <v>0</v>
      </c>
      <c r="R7" s="425" t="e">
        <f>Q7/Q16</f>
        <v>#DIV/0!</v>
      </c>
      <c r="S7" s="425" t="e">
        <f>R7</f>
        <v>#DIV/0!</v>
      </c>
      <c r="T7" s="428" t="e">
        <f>Q7/Q17</f>
        <v>#DIV/0!</v>
      </c>
      <c r="U7" s="431" t="e">
        <f>T7</f>
        <v>#DIV/0!</v>
      </c>
      <c r="W7" s="169" t="s">
        <v>18</v>
      </c>
      <c r="X7" s="170">
        <f>COUNTIFS('1. All Data'!$AB$3:$AB$136,"Communities and Regulatory Services",'1. All Data'!$V$3:$V$136,"Numerical Outturn Within 10% Tolerance")</f>
        <v>0</v>
      </c>
      <c r="Y7" s="168" t="e">
        <f>X7/$X$16</f>
        <v>#DIV/0!</v>
      </c>
      <c r="Z7" s="401" t="e">
        <f>SUM(Y7:Y9)</f>
        <v>#DIV/0!</v>
      </c>
      <c r="AA7" s="168" t="e">
        <f>X7/$X$17</f>
        <v>#DIV/0!</v>
      </c>
      <c r="AB7" s="410" t="e">
        <f>SUM(AA7:AA9)</f>
        <v>#DIV/0!</v>
      </c>
    </row>
    <row r="8" spans="2:30" ht="20.25" customHeight="1">
      <c r="B8" s="435"/>
      <c r="C8" s="438"/>
      <c r="D8" s="426"/>
      <c r="E8" s="426"/>
      <c r="F8" s="429"/>
      <c r="G8" s="432"/>
      <c r="I8" s="435"/>
      <c r="J8" s="438"/>
      <c r="K8" s="426"/>
      <c r="L8" s="426"/>
      <c r="M8" s="429"/>
      <c r="N8" s="432"/>
      <c r="P8" s="435"/>
      <c r="Q8" s="438"/>
      <c r="R8" s="426"/>
      <c r="S8" s="426"/>
      <c r="T8" s="429"/>
      <c r="U8" s="432"/>
      <c r="W8" s="169" t="s">
        <v>19</v>
      </c>
      <c r="X8" s="170">
        <f>COUNTIFS('1. All Data'!$AB$3:$AB$136,"Communities and Regulatory Services",'1. All Data'!$V$3:$V$136,"Target Partially Met")</f>
        <v>0</v>
      </c>
      <c r="Y8" s="168" t="e">
        <f>X8/$X$16</f>
        <v>#DIV/0!</v>
      </c>
      <c r="Z8" s="401"/>
      <c r="AA8" s="168" t="e">
        <f>X8/$X$17</f>
        <v>#DIV/0!</v>
      </c>
      <c r="AB8" s="410"/>
    </row>
    <row r="9" spans="2:30" ht="18.75" customHeight="1">
      <c r="B9" s="436"/>
      <c r="C9" s="439"/>
      <c r="D9" s="427"/>
      <c r="E9" s="427"/>
      <c r="F9" s="430"/>
      <c r="G9" s="433"/>
      <c r="I9" s="436"/>
      <c r="J9" s="439"/>
      <c r="K9" s="427"/>
      <c r="L9" s="427"/>
      <c r="M9" s="430"/>
      <c r="N9" s="433"/>
      <c r="P9" s="436"/>
      <c r="Q9" s="439"/>
      <c r="R9" s="427"/>
      <c r="S9" s="427"/>
      <c r="T9" s="430"/>
      <c r="U9" s="433"/>
      <c r="W9" s="169" t="s">
        <v>22</v>
      </c>
      <c r="X9" s="170">
        <f>COUNTIFS('1. All Data'!$AB$3:$AB$136,"Communities and Regulatory Services",'1. All Data'!$V$3:$V$136,"Completion Date Within Reasonable Tolerance")</f>
        <v>0</v>
      </c>
      <c r="Y9" s="168" t="e">
        <f>X9/$X$16</f>
        <v>#DIV/0!</v>
      </c>
      <c r="Z9" s="401"/>
      <c r="AA9" s="168" t="e">
        <f>X9/$X$17</f>
        <v>#DIV/0!</v>
      </c>
      <c r="AB9" s="410"/>
    </row>
    <row r="10" spans="2:30" ht="20.25" customHeight="1">
      <c r="B10" s="211" t="s">
        <v>27</v>
      </c>
      <c r="C10" s="208">
        <f>COUNTIFS('1. All Data'!$AB$3:$AB$136,"Communities and Regulatory Services",'1. All Data'!$H$3:$H$136,"Completed Behind Schedule")</f>
        <v>0</v>
      </c>
      <c r="D10" s="209">
        <f>C10/C16</f>
        <v>0</v>
      </c>
      <c r="E10" s="422">
        <f>D10+D11</f>
        <v>0</v>
      </c>
      <c r="F10" s="210">
        <f>C10/C17</f>
        <v>0</v>
      </c>
      <c r="G10" s="423">
        <f>F10+F11</f>
        <v>0</v>
      </c>
      <c r="I10" s="211" t="s">
        <v>27</v>
      </c>
      <c r="J10" s="208">
        <f>COUNTIFS('1. All Data'!$AB$3:$AB$136,"Communities and Regulatory Services",'1. All Data'!$M$3:$M$136,"Completed Behind Schedule")</f>
        <v>0</v>
      </c>
      <c r="K10" s="209" t="e">
        <f>J10/J16</f>
        <v>#DIV/0!</v>
      </c>
      <c r="L10" s="422" t="e">
        <f>K10+K11</f>
        <v>#DIV/0!</v>
      </c>
      <c r="M10" s="210" t="e">
        <f>J10/J17</f>
        <v>#DIV/0!</v>
      </c>
      <c r="N10" s="423" t="e">
        <f>M10+M11</f>
        <v>#DIV/0!</v>
      </c>
      <c r="P10" s="211" t="s">
        <v>27</v>
      </c>
      <c r="Q10" s="208">
        <f>COUNTIFS('1. All Data'!$AB$3:$AB$136,"Communities and Regulatory Services",'1. All Data'!$R$3:$R$136,"Completed Behind Schedule")</f>
        <v>0</v>
      </c>
      <c r="R10" s="209" t="e">
        <f>Q10/Q16</f>
        <v>#DIV/0!</v>
      </c>
      <c r="S10" s="422" t="e">
        <f>R10+R11</f>
        <v>#DIV/0!</v>
      </c>
      <c r="T10" s="210" t="e">
        <f>Q10/Q17</f>
        <v>#DIV/0!</v>
      </c>
      <c r="U10" s="423" t="e">
        <f>T10+T11</f>
        <v>#DIV/0!</v>
      </c>
      <c r="W10" s="171" t="s">
        <v>21</v>
      </c>
      <c r="X10" s="208">
        <f>COUNTIFS('1. All Data'!$AB$3:$AB$136,"Communities and Regulatory Services",'1. All Data'!$V$3:$V$136,"Completed Significantly After Target Deadline")</f>
        <v>0</v>
      </c>
      <c r="Y10" s="209" t="e">
        <f>X10/X16</f>
        <v>#DIV/0!</v>
      </c>
      <c r="Z10" s="422" t="e">
        <f>Y10+Y11</f>
        <v>#DIV/0!</v>
      </c>
      <c r="AA10" s="168" t="e">
        <f>X10/$X$17</f>
        <v>#DIV/0!</v>
      </c>
      <c r="AB10" s="402" t="e">
        <f>AA10+AA11</f>
        <v>#DIV/0!</v>
      </c>
    </row>
    <row r="11" spans="2:30" ht="20.25" customHeight="1">
      <c r="B11" s="211" t="s">
        <v>20</v>
      </c>
      <c r="C11" s="208">
        <f>COUNTIFS('1. All Data'!$AB$3:$AB$136,"Communities and Regulatory Services",'1. All Data'!$H$3:$H$136,"Off Target")</f>
        <v>0</v>
      </c>
      <c r="D11" s="209">
        <f>C11/C16</f>
        <v>0</v>
      </c>
      <c r="E11" s="422"/>
      <c r="F11" s="210">
        <f>C11/C17</f>
        <v>0</v>
      </c>
      <c r="G11" s="423"/>
      <c r="I11" s="211" t="s">
        <v>20</v>
      </c>
      <c r="J11" s="208">
        <f>COUNTIFS('1. All Data'!$AB$3:$AB$136,"Communities and Regulatory Services",'1. All Data'!$M$3:$M$136,"Off Target")</f>
        <v>0</v>
      </c>
      <c r="K11" s="209" t="e">
        <f>J11/J16</f>
        <v>#DIV/0!</v>
      </c>
      <c r="L11" s="422"/>
      <c r="M11" s="210" t="e">
        <f>J11/J17</f>
        <v>#DIV/0!</v>
      </c>
      <c r="N11" s="423"/>
      <c r="P11" s="211" t="s">
        <v>20</v>
      </c>
      <c r="Q11" s="208">
        <f>COUNTIFS('1. All Data'!$AB$3:$AB$136,"Communities and Regulatory Services",'1. All Data'!$R$3:$R$136,"Off Target")</f>
        <v>0</v>
      </c>
      <c r="R11" s="209" t="e">
        <f>Q11/Q16</f>
        <v>#DIV/0!</v>
      </c>
      <c r="S11" s="422"/>
      <c r="T11" s="210" t="e">
        <f>Q11/Q17</f>
        <v>#DIV/0!</v>
      </c>
      <c r="U11" s="423"/>
      <c r="W11" s="171" t="s">
        <v>20</v>
      </c>
      <c r="X11" s="208">
        <f>COUNTIFS('1. All Data'!$AB$3:$AB$136,"Communities and Regulatory Services",'1. All Data'!$V$3:$V$136,"Off Target")</f>
        <v>0</v>
      </c>
      <c r="Y11" s="209" t="e">
        <f>X11/X16</f>
        <v>#DIV/0!</v>
      </c>
      <c r="Z11" s="422"/>
      <c r="AA11" s="168" t="e">
        <f>X11/$X$17</f>
        <v>#DIV/0!</v>
      </c>
      <c r="AB11" s="402"/>
    </row>
    <row r="12" spans="2:30" ht="15" customHeight="1">
      <c r="B12" s="212" t="s">
        <v>43</v>
      </c>
      <c r="C12" s="208">
        <f>COUNTIFS('1. All Data'!$AB$3:$AB$136,"Communities and Regulatory Services",'1. All Data'!$H$3:$H$136,"Not yet due")</f>
        <v>6</v>
      </c>
      <c r="D12" s="213">
        <f>C12/C16</f>
        <v>0.4</v>
      </c>
      <c r="E12" s="213">
        <f>D12</f>
        <v>0.4</v>
      </c>
      <c r="F12" s="214"/>
      <c r="G12" s="58"/>
      <c r="I12" s="212" t="s">
        <v>43</v>
      </c>
      <c r="J12" s="208">
        <f>COUNTIFS('1. All Data'!$AB$3:$AB$136,"Communities and Regulatory Services",'1. All Data'!$M$3:$M$136,"Not yet due")</f>
        <v>0</v>
      </c>
      <c r="K12" s="213" t="e">
        <f>J12/J16</f>
        <v>#DIV/0!</v>
      </c>
      <c r="L12" s="213" t="e">
        <f>K12</f>
        <v>#DIV/0!</v>
      </c>
      <c r="M12" s="214"/>
      <c r="N12" s="58"/>
      <c r="P12" s="212" t="s">
        <v>43</v>
      </c>
      <c r="Q12" s="208">
        <f>COUNTIFS('1. All Data'!$AB$3:$AB$136,"Communities and Regulatory Services",'1. All Data'!$R$3:$R$136,"Not yet due")</f>
        <v>0</v>
      </c>
      <c r="R12" s="213" t="e">
        <f>Q12/Q16</f>
        <v>#DIV/0!</v>
      </c>
      <c r="S12" s="213" t="e">
        <f>R12</f>
        <v>#DIV/0!</v>
      </c>
      <c r="T12" s="214"/>
      <c r="U12" s="58"/>
      <c r="W12" s="172" t="s">
        <v>43</v>
      </c>
      <c r="X12" s="208">
        <f>COUNTIFS('1. All Data'!$AB$3:$AB$136,"Communities and Regulatory Services",'1. All Data'!$V$3:$V$136,"Not yet due")</f>
        <v>0</v>
      </c>
      <c r="Y12" s="213" t="e">
        <f>X12/X16</f>
        <v>#DIV/0!</v>
      </c>
      <c r="Z12" s="213" t="e">
        <f>Y12</f>
        <v>#DIV/0!</v>
      </c>
      <c r="AA12" s="174"/>
      <c r="AB12" s="58"/>
    </row>
    <row r="13" spans="2:30" ht="15" customHeight="1">
      <c r="B13" s="212" t="s">
        <v>15</v>
      </c>
      <c r="C13" s="208">
        <f>COUNTIFS('1. All Data'!$AB$3:$AB$136,"Communities and Regulatory Services",'1. All Data'!$H$3:$H$136,"Update not provided")</f>
        <v>0</v>
      </c>
      <c r="D13" s="213">
        <f>C13/C16</f>
        <v>0</v>
      </c>
      <c r="E13" s="213">
        <f>D13</f>
        <v>0</v>
      </c>
      <c r="F13" s="214"/>
      <c r="G13" s="2"/>
      <c r="I13" s="212" t="s">
        <v>15</v>
      </c>
      <c r="J13" s="208">
        <f>COUNTIFS('1. All Data'!$AB$3:$AB$136,"Communities and Regulatory Services",'1. All Data'!$M$3:$M$136,"Update not provided")</f>
        <v>0</v>
      </c>
      <c r="K13" s="213" t="e">
        <f>J13/J16</f>
        <v>#DIV/0!</v>
      </c>
      <c r="L13" s="213" t="e">
        <f>K13</f>
        <v>#DIV/0!</v>
      </c>
      <c r="M13" s="214"/>
      <c r="N13" s="2"/>
      <c r="P13" s="212" t="s">
        <v>15</v>
      </c>
      <c r="Q13" s="208">
        <f>COUNTIFS('1. All Data'!$AB$3:$AB$136,"Communities and Regulatory Services",'1. All Data'!$R$3:$R$136,"Update not provided")</f>
        <v>0</v>
      </c>
      <c r="R13" s="213" t="e">
        <f>Q13/Q16</f>
        <v>#DIV/0!</v>
      </c>
      <c r="S13" s="213" t="e">
        <f>R13</f>
        <v>#DIV/0!</v>
      </c>
      <c r="T13" s="214"/>
      <c r="U13" s="2"/>
      <c r="W13" s="172" t="s">
        <v>15</v>
      </c>
      <c r="X13" s="208">
        <f>COUNTIFS('1. All Data'!$AB$3:$AB$136,"Communities and Regulatory Services",'1. All Data'!$V$3:$V$136,"Update not provided")</f>
        <v>0</v>
      </c>
      <c r="Y13" s="213" t="e">
        <f>X13/X16</f>
        <v>#DIV/0!</v>
      </c>
      <c r="Z13" s="213" t="e">
        <f>Y13</f>
        <v>#DIV/0!</v>
      </c>
      <c r="AA13" s="174"/>
      <c r="AB13" s="2"/>
    </row>
    <row r="14" spans="2:30" ht="15.75" customHeight="1">
      <c r="B14" s="215" t="s">
        <v>23</v>
      </c>
      <c r="C14" s="208">
        <f>COUNTIFS('1. All Data'!$AB$3:$AB$136,"Communities and Regulatory Services",'1. All Data'!$H$3:$H$136,"Deferred")</f>
        <v>0</v>
      </c>
      <c r="D14" s="216">
        <f>C14/C16</f>
        <v>0</v>
      </c>
      <c r="E14" s="216">
        <f>D14</f>
        <v>0</v>
      </c>
      <c r="F14" s="217"/>
      <c r="G14" s="58"/>
      <c r="I14" s="215" t="s">
        <v>23</v>
      </c>
      <c r="J14" s="208">
        <f>COUNTIFS('1. All Data'!$AB$3:$AB$136,"Communities and Regulatory Services",'1. All Data'!$M$3:$M$136,"Deferred")</f>
        <v>0</v>
      </c>
      <c r="K14" s="216" t="e">
        <f>J14/J16</f>
        <v>#DIV/0!</v>
      </c>
      <c r="L14" s="216" t="e">
        <f>K14</f>
        <v>#DIV/0!</v>
      </c>
      <c r="M14" s="217"/>
      <c r="N14" s="58"/>
      <c r="P14" s="215" t="s">
        <v>23</v>
      </c>
      <c r="Q14" s="208">
        <f>COUNTIFS('1. All Data'!$AB$3:$AB$136,"Communities and Regulatory Services",'1. All Data'!$R$3:$R$136,"Deferred")</f>
        <v>0</v>
      </c>
      <c r="R14" s="216" t="e">
        <f>Q14/Q16</f>
        <v>#DIV/0!</v>
      </c>
      <c r="S14" s="216" t="e">
        <f>R14</f>
        <v>#DIV/0!</v>
      </c>
      <c r="T14" s="217"/>
      <c r="U14" s="58"/>
      <c r="W14" s="175" t="s">
        <v>23</v>
      </c>
      <c r="X14" s="208">
        <f>COUNTIFS('1. All Data'!$AB$3:$AB$136,"Communities and Regulatory Services",'1. All Data'!$V$3:$V$136,"Deferred")</f>
        <v>0</v>
      </c>
      <c r="Y14" s="216" t="e">
        <f>X14/X16</f>
        <v>#DIV/0!</v>
      </c>
      <c r="Z14" s="216" t="e">
        <f>Y14</f>
        <v>#DIV/0!</v>
      </c>
      <c r="AA14" s="177"/>
      <c r="AB14" s="58"/>
    </row>
    <row r="15" spans="2:30" ht="15.75" customHeight="1">
      <c r="B15" s="215" t="s">
        <v>24</v>
      </c>
      <c r="C15" s="208">
        <f>COUNTIFS('1. All Data'!$AB$3:$AB$136,"Communities and Regulatory Services",'1. All Data'!$H$3:$H$136,"Deleted")</f>
        <v>0</v>
      </c>
      <c r="D15" s="216">
        <f>C15/C16</f>
        <v>0</v>
      </c>
      <c r="E15" s="216">
        <f>D15</f>
        <v>0</v>
      </c>
      <c r="F15" s="217"/>
      <c r="G15" s="29"/>
      <c r="I15" s="215" t="s">
        <v>24</v>
      </c>
      <c r="J15" s="208">
        <f>COUNTIFS('1. All Data'!$AB$3:$AB$136,"Communities and Regulatory Services",'1. All Data'!$M$3:$M$136,"Deleted")</f>
        <v>0</v>
      </c>
      <c r="K15" s="216" t="e">
        <f>J15/J16</f>
        <v>#DIV/0!</v>
      </c>
      <c r="L15" s="216" t="e">
        <f>K15</f>
        <v>#DIV/0!</v>
      </c>
      <c r="M15" s="217"/>
      <c r="N15" s="29"/>
      <c r="P15" s="215" t="s">
        <v>24</v>
      </c>
      <c r="Q15" s="208">
        <f>COUNTIFS('1. All Data'!$AB$3:$AB$136,"Communities and Regulatory Services",'1. All Data'!$R$3:$R$136,"Deleted")</f>
        <v>0</v>
      </c>
      <c r="R15" s="216" t="e">
        <f>Q15/Q16</f>
        <v>#DIV/0!</v>
      </c>
      <c r="S15" s="216" t="e">
        <f>R15</f>
        <v>#DIV/0!</v>
      </c>
      <c r="T15" s="217"/>
      <c r="U15" s="29"/>
      <c r="W15" s="175" t="s">
        <v>24</v>
      </c>
      <c r="X15" s="208">
        <f>COUNTIFS('1. All Data'!$AB$3:$AB$136,"Communities and Regulatory Services",'1. All Data'!$V$3:$V$136,"Deleted")</f>
        <v>0</v>
      </c>
      <c r="Y15" s="216" t="e">
        <f>X15/X16</f>
        <v>#DIV/0!</v>
      </c>
      <c r="Z15" s="216" t="e">
        <f>Y15</f>
        <v>#DIV/0!</v>
      </c>
      <c r="AA15" s="177"/>
      <c r="AD15" s="3"/>
    </row>
    <row r="16" spans="2:30" ht="15.75" customHeight="1">
      <c r="B16" s="218" t="s">
        <v>45</v>
      </c>
      <c r="C16" s="219">
        <f>SUM(C5:C15)</f>
        <v>15</v>
      </c>
      <c r="D16" s="177"/>
      <c r="E16" s="177"/>
      <c r="F16" s="220"/>
      <c r="G16" s="58"/>
      <c r="I16" s="218" t="s">
        <v>45</v>
      </c>
      <c r="J16" s="219">
        <f>SUM(J5:J15)</f>
        <v>0</v>
      </c>
      <c r="K16" s="177"/>
      <c r="L16" s="177"/>
      <c r="M16" s="220"/>
      <c r="N16" s="58"/>
      <c r="P16" s="218" t="s">
        <v>45</v>
      </c>
      <c r="Q16" s="219">
        <f>SUM(Q5:Q15)</f>
        <v>0</v>
      </c>
      <c r="R16" s="177"/>
      <c r="S16" s="177"/>
      <c r="T16" s="220"/>
      <c r="U16" s="58"/>
      <c r="W16" s="178" t="s">
        <v>45</v>
      </c>
      <c r="X16" s="219">
        <f>SUM(X5:X15)</f>
        <v>0</v>
      </c>
      <c r="Y16" s="177"/>
      <c r="Z16" s="177"/>
      <c r="AA16" s="58"/>
      <c r="AB16" s="58"/>
    </row>
    <row r="17" spans="2:29" ht="15.75" customHeight="1">
      <c r="B17" s="218" t="s">
        <v>46</v>
      </c>
      <c r="C17" s="219">
        <f>C16-C15-C14-C13-C12</f>
        <v>9</v>
      </c>
      <c r="D17" s="58"/>
      <c r="E17" s="58"/>
      <c r="F17" s="220"/>
      <c r="G17" s="58"/>
      <c r="I17" s="218" t="s">
        <v>46</v>
      </c>
      <c r="J17" s="219">
        <f>J16-J15-J14-J13-J12</f>
        <v>0</v>
      </c>
      <c r="K17" s="58"/>
      <c r="L17" s="58"/>
      <c r="M17" s="220"/>
      <c r="N17" s="58"/>
      <c r="P17" s="218" t="s">
        <v>46</v>
      </c>
      <c r="Q17" s="219">
        <f>Q16-Q15-Q14-Q13-Q12</f>
        <v>0</v>
      </c>
      <c r="R17" s="58"/>
      <c r="S17" s="58"/>
      <c r="T17" s="220"/>
      <c r="U17" s="58"/>
      <c r="W17" s="178" t="s">
        <v>46</v>
      </c>
      <c r="X17" s="219">
        <f>X16-X15-X14-X13-X12</f>
        <v>0</v>
      </c>
      <c r="Y17" s="58"/>
      <c r="Z17" s="58"/>
      <c r="AA17" s="58"/>
      <c r="AB17" s="58"/>
    </row>
    <row r="18" spans="2:29" ht="15.75" customHeight="1">
      <c r="W18" s="180"/>
      <c r="AA18" s="2"/>
    </row>
    <row r="19" spans="2:29" ht="15.75" customHeight="1">
      <c r="AA19" s="2"/>
    </row>
    <row r="20" spans="2:29" s="166" customFormat="1" ht="15.75" customHeight="1">
      <c r="B20" s="187"/>
      <c r="C20" s="165"/>
      <c r="D20" s="165"/>
      <c r="E20" s="165"/>
      <c r="F20" s="220"/>
      <c r="G20" s="165"/>
      <c r="I20" s="187"/>
      <c r="J20" s="165"/>
      <c r="K20" s="165"/>
      <c r="L20" s="165"/>
      <c r="M20" s="220"/>
      <c r="N20" s="165"/>
      <c r="P20" s="187"/>
      <c r="Q20" s="165"/>
      <c r="R20" s="165"/>
      <c r="S20" s="165"/>
      <c r="T20" s="220"/>
      <c r="U20" s="165"/>
      <c r="W20" s="165"/>
      <c r="X20" s="165"/>
      <c r="Y20" s="165"/>
      <c r="Z20" s="165"/>
      <c r="AA20" s="58"/>
      <c r="AB20" s="186"/>
    </row>
    <row r="21" spans="2:29" ht="15" customHeight="1">
      <c r="W21" s="221"/>
      <c r="X21" s="58"/>
      <c r="Y21" s="58"/>
      <c r="Z21" s="58"/>
      <c r="AA21" s="58"/>
      <c r="AB21" s="177"/>
      <c r="AC21" s="166"/>
    </row>
    <row r="22" spans="2:29" s="166" customFormat="1" ht="15.6">
      <c r="B22" s="203" t="s">
        <v>95</v>
      </c>
      <c r="C22" s="204"/>
      <c r="D22" s="204"/>
      <c r="E22" s="204"/>
      <c r="F22" s="205"/>
      <c r="G22" s="204"/>
      <c r="I22" s="203" t="s">
        <v>95</v>
      </c>
      <c r="J22" s="204"/>
      <c r="K22" s="204"/>
      <c r="L22" s="204"/>
      <c r="M22" s="205"/>
      <c r="N22" s="204"/>
      <c r="P22" s="203" t="s">
        <v>95</v>
      </c>
      <c r="Q22" s="204"/>
      <c r="R22" s="204"/>
      <c r="S22" s="204"/>
      <c r="T22" s="205"/>
      <c r="U22" s="204"/>
      <c r="W22" s="203" t="s">
        <v>95</v>
      </c>
      <c r="X22" s="204"/>
      <c r="Y22" s="204"/>
      <c r="Z22" s="204"/>
      <c r="AA22" s="205"/>
      <c r="AB22" s="204"/>
    </row>
    <row r="23" spans="2:29" ht="42" customHeight="1">
      <c r="B23" s="206" t="s">
        <v>36</v>
      </c>
      <c r="C23" s="207" t="s">
        <v>37</v>
      </c>
      <c r="D23" s="207" t="s">
        <v>38</v>
      </c>
      <c r="E23" s="207" t="s">
        <v>39</v>
      </c>
      <c r="F23" s="206" t="s">
        <v>40</v>
      </c>
      <c r="G23" s="207" t="s">
        <v>41</v>
      </c>
      <c r="I23" s="206" t="s">
        <v>36</v>
      </c>
      <c r="J23" s="207" t="s">
        <v>37</v>
      </c>
      <c r="K23" s="207" t="s">
        <v>38</v>
      </c>
      <c r="L23" s="207" t="s">
        <v>39</v>
      </c>
      <c r="M23" s="206" t="s">
        <v>40</v>
      </c>
      <c r="N23" s="207" t="s">
        <v>41</v>
      </c>
      <c r="P23" s="206" t="s">
        <v>36</v>
      </c>
      <c r="Q23" s="207" t="s">
        <v>37</v>
      </c>
      <c r="R23" s="207" t="s">
        <v>38</v>
      </c>
      <c r="S23" s="207" t="s">
        <v>39</v>
      </c>
      <c r="T23" s="206" t="s">
        <v>40</v>
      </c>
      <c r="U23" s="207" t="s">
        <v>41</v>
      </c>
      <c r="W23" s="164" t="s">
        <v>36</v>
      </c>
      <c r="X23" s="164" t="s">
        <v>37</v>
      </c>
      <c r="Y23" s="164" t="s">
        <v>38</v>
      </c>
      <c r="Z23" s="164" t="s">
        <v>39</v>
      </c>
      <c r="AA23" s="164" t="s">
        <v>40</v>
      </c>
      <c r="AB23" s="164" t="s">
        <v>41</v>
      </c>
      <c r="AC23" s="166"/>
    </row>
    <row r="24" spans="2:29" ht="21.75" customHeight="1">
      <c r="B24" s="228" t="s">
        <v>42</v>
      </c>
      <c r="C24" s="208">
        <f>COUNTIFS('1. All Data'!$AB$3:$AB$136,"Environment and climate change",'1. All Data'!$H$3:$H$136,"Fully Achieved")</f>
        <v>0</v>
      </c>
      <c r="D24" s="209">
        <f>C24/C35</f>
        <v>0</v>
      </c>
      <c r="E24" s="422">
        <f>D24+D25</f>
        <v>0.64</v>
      </c>
      <c r="F24" s="210">
        <f>C24/C36</f>
        <v>0</v>
      </c>
      <c r="G24" s="424">
        <f>F24+F25</f>
        <v>1</v>
      </c>
      <c r="I24" s="228" t="s">
        <v>42</v>
      </c>
      <c r="J24" s="208">
        <f>COUNTIFS('1. All Data'!$AB$3:$AB$136,"Environment and Climate Change",'1. All Data'!$M$3:$M$136,"Fully Achieved")</f>
        <v>0</v>
      </c>
      <c r="K24" s="209" t="e">
        <f>J24/J35</f>
        <v>#DIV/0!</v>
      </c>
      <c r="L24" s="422" t="e">
        <f>K24+K25</f>
        <v>#DIV/0!</v>
      </c>
      <c r="M24" s="210" t="e">
        <f>J24/J36</f>
        <v>#DIV/0!</v>
      </c>
      <c r="N24" s="424" t="e">
        <f>M24+M25</f>
        <v>#DIV/0!</v>
      </c>
      <c r="P24" s="228" t="s">
        <v>42</v>
      </c>
      <c r="Q24" s="208">
        <f>COUNTIFS('1. All Data'!$AB$3:$AB$136,"Environment and Climate Change",'1. All Data'!$R$3:$R$136,"Fully Achieved")</f>
        <v>0</v>
      </c>
      <c r="R24" s="209" t="e">
        <f>Q24/Q35</f>
        <v>#DIV/0!</v>
      </c>
      <c r="S24" s="422" t="e">
        <f>R24+R25</f>
        <v>#DIV/0!</v>
      </c>
      <c r="T24" s="210" t="e">
        <f>Q24/Q36</f>
        <v>#DIV/0!</v>
      </c>
      <c r="U24" s="424" t="e">
        <f>T24+T25</f>
        <v>#DIV/0!</v>
      </c>
      <c r="W24" s="228" t="s">
        <v>42</v>
      </c>
      <c r="X24" s="208">
        <f>COUNTIFS('1. All Data'!$AB$3:$AB$136,"Environment and Climate Change",'1. All Data'!$V$3:$V$136,"Fully Achieved")</f>
        <v>0</v>
      </c>
      <c r="Y24" s="209" t="e">
        <f>X24/X35</f>
        <v>#DIV/0!</v>
      </c>
      <c r="Z24" s="422" t="e">
        <f>Y24+Y25</f>
        <v>#DIV/0!</v>
      </c>
      <c r="AA24" s="209" t="e">
        <f>X24/X36</f>
        <v>#DIV/0!</v>
      </c>
      <c r="AB24" s="403" t="e">
        <f>AA24+AA25</f>
        <v>#DIV/0!</v>
      </c>
      <c r="AC24" s="166"/>
    </row>
    <row r="25" spans="2:29" ht="18.75" customHeight="1">
      <c r="B25" s="228" t="s">
        <v>25</v>
      </c>
      <c r="C25" s="208">
        <f>COUNTIFS('1. All Data'!$AB$3:$AB$136,"Environment and climate change",'1. All Data'!$H$3:$H$136,"On Track to be Achieved")</f>
        <v>16</v>
      </c>
      <c r="D25" s="209">
        <f>C25/C35</f>
        <v>0.64</v>
      </c>
      <c r="E25" s="422"/>
      <c r="F25" s="210">
        <f>C25/C36</f>
        <v>1</v>
      </c>
      <c r="G25" s="424"/>
      <c r="I25" s="228" t="s">
        <v>25</v>
      </c>
      <c r="J25" s="208">
        <f>COUNTIFS('1. All Data'!$AB$3:$AB$136,"Environment and Climate Change",'1. All Data'!$M$3:$M$136,"On Track to be Achieved")</f>
        <v>0</v>
      </c>
      <c r="K25" s="209" t="e">
        <f>J25/J35</f>
        <v>#DIV/0!</v>
      </c>
      <c r="L25" s="422"/>
      <c r="M25" s="210" t="e">
        <f>J25/J36</f>
        <v>#DIV/0!</v>
      </c>
      <c r="N25" s="424"/>
      <c r="P25" s="228" t="s">
        <v>25</v>
      </c>
      <c r="Q25" s="208">
        <f>COUNTIFS('1. All Data'!$AB$3:$AB$136,"Environment and Climate Change",'1. All Data'!$R$3:$R$136,"On Track to be Achieved")</f>
        <v>0</v>
      </c>
      <c r="R25" s="209" t="e">
        <f>Q25/Q35</f>
        <v>#DIV/0!</v>
      </c>
      <c r="S25" s="422"/>
      <c r="T25" s="210" t="e">
        <f>Q25/Q36</f>
        <v>#DIV/0!</v>
      </c>
      <c r="U25" s="424"/>
      <c r="W25" s="228" t="s">
        <v>17</v>
      </c>
      <c r="X25" s="208">
        <f>COUNTIFS('1. All Data'!$AB$3:$AB$136,"Environment and Climate Change",'1. All Data'!$V$3:$V$136,"Numerical Outturn Within 5% Tolerance")</f>
        <v>0</v>
      </c>
      <c r="Y25" s="209" t="e">
        <f>X25/X35</f>
        <v>#DIV/0!</v>
      </c>
      <c r="Z25" s="422"/>
      <c r="AA25" s="209" t="e">
        <f>X25/X36</f>
        <v>#DIV/0!</v>
      </c>
      <c r="AB25" s="403"/>
      <c r="AC25" s="166"/>
    </row>
    <row r="26" spans="2:29" ht="21" customHeight="1">
      <c r="B26" s="434" t="s">
        <v>26</v>
      </c>
      <c r="C26" s="437">
        <f>COUNTIFS('1. All Data'!$AB$3:$AB$136,"Environment and climate change",'1. All Data'!$H$3:$H$136,"In Danger of Falling Behind Target")</f>
        <v>0</v>
      </c>
      <c r="D26" s="425">
        <f>C26/C35</f>
        <v>0</v>
      </c>
      <c r="E26" s="425">
        <f>D26</f>
        <v>0</v>
      </c>
      <c r="F26" s="428">
        <f>C26/C36</f>
        <v>0</v>
      </c>
      <c r="G26" s="431">
        <f>F26</f>
        <v>0</v>
      </c>
      <c r="I26" s="434" t="s">
        <v>26</v>
      </c>
      <c r="J26" s="437">
        <f>COUNTIFS('1. All Data'!$AB$3:$AB$136,"Environment and Climate Change",'1. All Data'!$M$3:$M$136,"In Danger of Falling Behind Target")</f>
        <v>0</v>
      </c>
      <c r="K26" s="425" t="e">
        <f>J26/J35</f>
        <v>#DIV/0!</v>
      </c>
      <c r="L26" s="425" t="e">
        <f>K26</f>
        <v>#DIV/0!</v>
      </c>
      <c r="M26" s="428" t="e">
        <f>J26/J36</f>
        <v>#DIV/0!</v>
      </c>
      <c r="N26" s="431" t="e">
        <f>M26</f>
        <v>#DIV/0!</v>
      </c>
      <c r="P26" s="434" t="s">
        <v>26</v>
      </c>
      <c r="Q26" s="437">
        <f>COUNTIFS('1. All Data'!$AB$3:$AB$136,"Environment and Climate Change",'1. All Data'!$R$3:$R$136,"In Danger of Falling Behind Target")</f>
        <v>0</v>
      </c>
      <c r="R26" s="425" t="e">
        <f>Q26/Q35</f>
        <v>#DIV/0!</v>
      </c>
      <c r="S26" s="425" t="e">
        <f>R26</f>
        <v>#DIV/0!</v>
      </c>
      <c r="T26" s="428" t="e">
        <f>Q26/Q36</f>
        <v>#DIV/0!</v>
      </c>
      <c r="U26" s="431" t="e">
        <f>T26</f>
        <v>#DIV/0!</v>
      </c>
      <c r="W26" s="169" t="s">
        <v>18</v>
      </c>
      <c r="X26" s="170">
        <f>COUNTIFS('1. All Data'!$AB$3:$AB$136,"Environment and Climate Change",'1. All Data'!$V$3:$V$136,"Numerical Outturn Within 10% Tolerance")</f>
        <v>0</v>
      </c>
      <c r="Y26" s="168" t="e">
        <f>X26/X35</f>
        <v>#DIV/0!</v>
      </c>
      <c r="Z26" s="401" t="e">
        <f>SUM(Y26:Y28)</f>
        <v>#DIV/0!</v>
      </c>
      <c r="AA26" s="168" t="e">
        <f>X26/X36</f>
        <v>#DIV/0!</v>
      </c>
      <c r="AB26" s="410" t="e">
        <f>SUM(AA26:AA28)</f>
        <v>#DIV/0!</v>
      </c>
      <c r="AC26" s="166"/>
    </row>
    <row r="27" spans="2:29" ht="20.25" customHeight="1">
      <c r="B27" s="435"/>
      <c r="C27" s="438"/>
      <c r="D27" s="426"/>
      <c r="E27" s="426"/>
      <c r="F27" s="429"/>
      <c r="G27" s="432"/>
      <c r="I27" s="435"/>
      <c r="J27" s="438"/>
      <c r="K27" s="426"/>
      <c r="L27" s="426"/>
      <c r="M27" s="429"/>
      <c r="N27" s="432"/>
      <c r="P27" s="435"/>
      <c r="Q27" s="438"/>
      <c r="R27" s="426"/>
      <c r="S27" s="426"/>
      <c r="T27" s="429"/>
      <c r="U27" s="432"/>
      <c r="W27" s="169" t="s">
        <v>19</v>
      </c>
      <c r="X27" s="170">
        <f>COUNTIFS('1. All Data'!$AB$3:$AB$136,"Environment and Climate Change",'1. All Data'!$V$3:$V$136,"Target Partially Met")</f>
        <v>0</v>
      </c>
      <c r="Y27" s="168" t="e">
        <f>X27/X35</f>
        <v>#DIV/0!</v>
      </c>
      <c r="Z27" s="401"/>
      <c r="AA27" s="168" t="e">
        <f>X27/X36</f>
        <v>#DIV/0!</v>
      </c>
      <c r="AB27" s="410"/>
      <c r="AC27" s="166"/>
    </row>
    <row r="28" spans="2:29" ht="15.75" customHeight="1">
      <c r="B28" s="436"/>
      <c r="C28" s="439"/>
      <c r="D28" s="427"/>
      <c r="E28" s="427"/>
      <c r="F28" s="430"/>
      <c r="G28" s="433"/>
      <c r="I28" s="436"/>
      <c r="J28" s="439"/>
      <c r="K28" s="427"/>
      <c r="L28" s="427"/>
      <c r="M28" s="430"/>
      <c r="N28" s="433"/>
      <c r="P28" s="436"/>
      <c r="Q28" s="439"/>
      <c r="R28" s="427"/>
      <c r="S28" s="427"/>
      <c r="T28" s="430"/>
      <c r="U28" s="433"/>
      <c r="W28" s="169" t="s">
        <v>22</v>
      </c>
      <c r="X28" s="170">
        <f>COUNTIFS('1. All Data'!$AB$3:$AB$136,"Environment and Climate Change",'1. All Data'!$V$3:$V$136,"Completion Date Within Reasonable Tolerance")</f>
        <v>0</v>
      </c>
      <c r="Y28" s="168" t="e">
        <f>X28/X35</f>
        <v>#DIV/0!</v>
      </c>
      <c r="Z28" s="401"/>
      <c r="AA28" s="168" t="e">
        <f>X28/X36</f>
        <v>#DIV/0!</v>
      </c>
      <c r="AB28" s="410"/>
      <c r="AC28" s="166"/>
    </row>
    <row r="29" spans="2:29" ht="20.25" customHeight="1">
      <c r="B29" s="211" t="s">
        <v>27</v>
      </c>
      <c r="C29" s="208">
        <f>COUNTIFS('1. All Data'!$AB$3:$AB$136,"Environment and climate change",'1. All Data'!$H$3:$H$136,"Completed Behind Schedule")</f>
        <v>0</v>
      </c>
      <c r="D29" s="209">
        <f>C29/C35</f>
        <v>0</v>
      </c>
      <c r="E29" s="422">
        <f>D29+D30</f>
        <v>0</v>
      </c>
      <c r="F29" s="210">
        <f>C29/C36</f>
        <v>0</v>
      </c>
      <c r="G29" s="423">
        <f>F29+F30</f>
        <v>0</v>
      </c>
      <c r="I29" s="211" t="s">
        <v>27</v>
      </c>
      <c r="J29" s="208">
        <f>COUNTIFS('1. All Data'!$AB$3:$AB$136,"Environment and Climate Change",'1. All Data'!$M$3:$M$136,"Completed Behind Schedule")</f>
        <v>0</v>
      </c>
      <c r="K29" s="209" t="e">
        <f>J29/J35</f>
        <v>#DIV/0!</v>
      </c>
      <c r="L29" s="422" t="e">
        <f>K29+K30</f>
        <v>#DIV/0!</v>
      </c>
      <c r="M29" s="210" t="e">
        <f>J29/J36</f>
        <v>#DIV/0!</v>
      </c>
      <c r="N29" s="423" t="e">
        <f>M29+M30</f>
        <v>#DIV/0!</v>
      </c>
      <c r="P29" s="211" t="s">
        <v>27</v>
      </c>
      <c r="Q29" s="208">
        <f>COUNTIFS('1. All Data'!$AB$3:$AB$136,"Environment and Climate Change",'1. All Data'!$R$3:$R$136,"Completed Behind Schedule")</f>
        <v>0</v>
      </c>
      <c r="R29" s="209" t="e">
        <f>Q29/Q35</f>
        <v>#DIV/0!</v>
      </c>
      <c r="S29" s="422" t="e">
        <f>R29+R30</f>
        <v>#DIV/0!</v>
      </c>
      <c r="T29" s="210" t="e">
        <f>Q29/Q36</f>
        <v>#DIV/0!</v>
      </c>
      <c r="U29" s="423" t="e">
        <f>T29+T30</f>
        <v>#DIV/0!</v>
      </c>
      <c r="W29" s="171" t="s">
        <v>21</v>
      </c>
      <c r="X29" s="208">
        <f>COUNTIFS('1. All Data'!$AB$3:$AB$136,"Environment and Climate Change",'1. All Data'!$V$3:$V$136,"Completed Significantly After Target Deadline")</f>
        <v>0</v>
      </c>
      <c r="Y29" s="209" t="e">
        <f>X29/X35</f>
        <v>#DIV/0!</v>
      </c>
      <c r="Z29" s="422" t="e">
        <f>Y29+Y30</f>
        <v>#DIV/0!</v>
      </c>
      <c r="AA29" s="209" t="e">
        <f>X29/X36</f>
        <v>#DIV/0!</v>
      </c>
      <c r="AB29" s="402" t="e">
        <f>AA29+AA30</f>
        <v>#DIV/0!</v>
      </c>
      <c r="AC29" s="166"/>
    </row>
    <row r="30" spans="2:29" ht="20.25" customHeight="1">
      <c r="B30" s="211" t="s">
        <v>20</v>
      </c>
      <c r="C30" s="208">
        <f>COUNTIFS('1. All Data'!$AB$3:$AB$136,"Environment and climate change",'1. All Data'!$H$3:$H$136,"Off Target")</f>
        <v>0</v>
      </c>
      <c r="D30" s="209">
        <f>C30/C35</f>
        <v>0</v>
      </c>
      <c r="E30" s="422"/>
      <c r="F30" s="210">
        <f>C30/C36</f>
        <v>0</v>
      </c>
      <c r="G30" s="423"/>
      <c r="I30" s="211" t="s">
        <v>20</v>
      </c>
      <c r="J30" s="208">
        <f>COUNTIFS('1. All Data'!$AB$3:$AB$136,"Environment and Climate Change",'1. All Data'!$M$3:$M$136,"Off Target")</f>
        <v>0</v>
      </c>
      <c r="K30" s="209" t="e">
        <f>J30/J35</f>
        <v>#DIV/0!</v>
      </c>
      <c r="L30" s="422"/>
      <c r="M30" s="210" t="e">
        <f>J30/J36</f>
        <v>#DIV/0!</v>
      </c>
      <c r="N30" s="423"/>
      <c r="P30" s="211" t="s">
        <v>20</v>
      </c>
      <c r="Q30" s="208">
        <f>COUNTIFS('1. All Data'!$AB$3:$AB$136,"Environment and Climate Change",'1. All Data'!$R$3:$R$136,"Off Target")</f>
        <v>0</v>
      </c>
      <c r="R30" s="209" t="e">
        <f>Q30/Q35</f>
        <v>#DIV/0!</v>
      </c>
      <c r="S30" s="422"/>
      <c r="T30" s="210" t="e">
        <f>Q30/Q36</f>
        <v>#DIV/0!</v>
      </c>
      <c r="U30" s="423"/>
      <c r="W30" s="171" t="s">
        <v>20</v>
      </c>
      <c r="X30" s="208">
        <f>COUNTIFS('1. All Data'!$AB$3:$AB$136,"Environment and Climate Change",'1. All Data'!$V$3:$V$136,"Off Target")</f>
        <v>0</v>
      </c>
      <c r="Y30" s="209" t="e">
        <f>X30/X35</f>
        <v>#DIV/0!</v>
      </c>
      <c r="Z30" s="422"/>
      <c r="AA30" s="209" t="e">
        <f>X30/X36</f>
        <v>#DIV/0!</v>
      </c>
      <c r="AB30" s="402"/>
      <c r="AC30" s="166"/>
    </row>
    <row r="31" spans="2:29" ht="15" customHeight="1">
      <c r="B31" s="212" t="s">
        <v>43</v>
      </c>
      <c r="C31" s="208">
        <f>COUNTIFS('1. All Data'!$AB$3:$AB$136,"Environment and climate change",'1. All Data'!$H$3:$H$136,"Not yet due")</f>
        <v>9</v>
      </c>
      <c r="D31" s="213">
        <f>C31/C35</f>
        <v>0.36</v>
      </c>
      <c r="E31" s="213">
        <f>D31</f>
        <v>0.36</v>
      </c>
      <c r="F31" s="214"/>
      <c r="G31" s="58"/>
      <c r="I31" s="212" t="s">
        <v>43</v>
      </c>
      <c r="J31" s="208">
        <f>COUNTIFS('1. All Data'!$AB$3:$AB$136,"Environment and Climate Change",'1. All Data'!$M$3:$M$136,"Not yet due")</f>
        <v>0</v>
      </c>
      <c r="K31" s="213" t="e">
        <f>J31/J35</f>
        <v>#DIV/0!</v>
      </c>
      <c r="L31" s="213" t="e">
        <f>K31</f>
        <v>#DIV/0!</v>
      </c>
      <c r="M31" s="214"/>
      <c r="N31" s="58"/>
      <c r="P31" s="212" t="s">
        <v>43</v>
      </c>
      <c r="Q31" s="208">
        <f>COUNTIFS('1. All Data'!$AB$3:$AB$136,"Environment and Climate Change",'1. All Data'!$R$3:$R$136,"Not yet due")</f>
        <v>0</v>
      </c>
      <c r="R31" s="213" t="e">
        <f>Q31/Q35</f>
        <v>#DIV/0!</v>
      </c>
      <c r="S31" s="213" t="e">
        <f>R31</f>
        <v>#DIV/0!</v>
      </c>
      <c r="T31" s="214"/>
      <c r="U31" s="58"/>
      <c r="W31" s="172" t="s">
        <v>43</v>
      </c>
      <c r="X31" s="208">
        <f>COUNTIFS('1. All Data'!$AB$3:$AB$136,"Environment and Climate Change",'1. All Data'!$V$3:$V$136,"Not yet due")</f>
        <v>0</v>
      </c>
      <c r="Y31" s="213" t="e">
        <f>X31/X35</f>
        <v>#DIV/0!</v>
      </c>
      <c r="Z31" s="213" t="e">
        <f>Y31</f>
        <v>#DIV/0!</v>
      </c>
      <c r="AA31" s="174"/>
      <c r="AB31" s="58"/>
      <c r="AC31" s="166"/>
    </row>
    <row r="32" spans="2:29" ht="15" customHeight="1">
      <c r="B32" s="212" t="s">
        <v>15</v>
      </c>
      <c r="C32" s="208">
        <f>COUNTIFS('1. All Data'!$AB$3:$AB$136,"Environment and climate change",'1. All Data'!$H$3:$H$136,"Update not provided")</f>
        <v>0</v>
      </c>
      <c r="D32" s="213">
        <f>C32/C35</f>
        <v>0</v>
      </c>
      <c r="E32" s="213">
        <f>D32</f>
        <v>0</v>
      </c>
      <c r="F32" s="214"/>
      <c r="G32" s="2"/>
      <c r="I32" s="212" t="s">
        <v>15</v>
      </c>
      <c r="J32" s="208">
        <f>COUNTIFS('1. All Data'!$AB$3:$AB$136,"Environment and Climate Change",'1. All Data'!$M$3:$M$136,"Update not provided")</f>
        <v>0</v>
      </c>
      <c r="K32" s="213" t="e">
        <f>J32/J35</f>
        <v>#DIV/0!</v>
      </c>
      <c r="L32" s="213" t="e">
        <f>K32</f>
        <v>#DIV/0!</v>
      </c>
      <c r="M32" s="214"/>
      <c r="N32" s="2"/>
      <c r="P32" s="212" t="s">
        <v>15</v>
      </c>
      <c r="Q32" s="208">
        <f>COUNTIFS('1. All Data'!$AB$3:$AB$136,"Environment and Climate Change",'1. All Data'!$R$3:$R$136,"Update not provided")</f>
        <v>0</v>
      </c>
      <c r="R32" s="213" t="e">
        <f>Q32/Q35</f>
        <v>#DIV/0!</v>
      </c>
      <c r="S32" s="213" t="e">
        <f>R32</f>
        <v>#DIV/0!</v>
      </c>
      <c r="T32" s="214"/>
      <c r="U32" s="2"/>
      <c r="W32" s="172" t="s">
        <v>15</v>
      </c>
      <c r="X32" s="208">
        <f>COUNTIFS('1. All Data'!$AB$3:$AB$136,"Environment and Climate Change",'1. All Data'!$V$3:$V$136,"Update not provided")</f>
        <v>0</v>
      </c>
      <c r="Y32" s="213" t="e">
        <f>X32/X35</f>
        <v>#DIV/0!</v>
      </c>
      <c r="Z32" s="213" t="e">
        <f>Y32</f>
        <v>#DIV/0!</v>
      </c>
      <c r="AA32" s="174"/>
      <c r="AB32" s="2"/>
      <c r="AC32" s="166"/>
    </row>
    <row r="33" spans="2:29" ht="15.75" customHeight="1">
      <c r="B33" s="215" t="s">
        <v>23</v>
      </c>
      <c r="C33" s="208">
        <f>COUNTIFS('1. All Data'!$AB$3:$AB$136,"Environment and climate change",'1. All Data'!$H$3:$H$136,"Deferred")</f>
        <v>0</v>
      </c>
      <c r="D33" s="216">
        <f>C33/C35</f>
        <v>0</v>
      </c>
      <c r="E33" s="216">
        <f>D33</f>
        <v>0</v>
      </c>
      <c r="F33" s="217"/>
      <c r="G33" s="58"/>
      <c r="I33" s="215" t="s">
        <v>23</v>
      </c>
      <c r="J33" s="208">
        <f>COUNTIFS('1. All Data'!$AB$3:$AB$136,"Environment and Climate Change",'1. All Data'!$M$3:$M$136,"Deferred")</f>
        <v>0</v>
      </c>
      <c r="K33" s="216" t="e">
        <f>J33/J35</f>
        <v>#DIV/0!</v>
      </c>
      <c r="L33" s="216" t="e">
        <f>K33</f>
        <v>#DIV/0!</v>
      </c>
      <c r="M33" s="217"/>
      <c r="N33" s="58"/>
      <c r="P33" s="215" t="s">
        <v>23</v>
      </c>
      <c r="Q33" s="208">
        <f>COUNTIFS('1. All Data'!$AB$3:$AB$136,"Environment and Climate Change",'1. All Data'!$R$3:$R$136,"Deferred")</f>
        <v>0</v>
      </c>
      <c r="R33" s="216" t="e">
        <f>Q33/Q35</f>
        <v>#DIV/0!</v>
      </c>
      <c r="S33" s="216" t="e">
        <f>R33</f>
        <v>#DIV/0!</v>
      </c>
      <c r="T33" s="217"/>
      <c r="U33" s="58"/>
      <c r="W33" s="175" t="s">
        <v>23</v>
      </c>
      <c r="X33" s="208">
        <f>COUNTIFS('1. All Data'!$AB$3:$AB$136,"Environment and Climate Change",'1. All Data'!$V$3:$V$136,"Deferred")</f>
        <v>0</v>
      </c>
      <c r="Y33" s="216" t="e">
        <f>X33/X35</f>
        <v>#DIV/0!</v>
      </c>
      <c r="Z33" s="216" t="e">
        <f>Y33</f>
        <v>#DIV/0!</v>
      </c>
      <c r="AA33" s="177"/>
      <c r="AB33" s="58"/>
      <c r="AC33" s="166"/>
    </row>
    <row r="34" spans="2:29" ht="15.75" customHeight="1">
      <c r="B34" s="215" t="s">
        <v>24</v>
      </c>
      <c r="C34" s="208">
        <f>COUNTIFS('1. All Data'!$AB$3:$AB$136,"Environment and climate change",'1. All Data'!$H$3:$H$136,"Deleted")</f>
        <v>0</v>
      </c>
      <c r="D34" s="216">
        <f>C34/C35</f>
        <v>0</v>
      </c>
      <c r="E34" s="216">
        <f>D34</f>
        <v>0</v>
      </c>
      <c r="F34" s="217"/>
      <c r="G34" s="29"/>
      <c r="I34" s="215" t="s">
        <v>24</v>
      </c>
      <c r="J34" s="208">
        <f>COUNTIFS('1. All Data'!$AB$3:$AB$136,"Environment and Climate Change",'1. All Data'!$M$3:$M$136,"Deleted")</f>
        <v>0</v>
      </c>
      <c r="K34" s="216" t="e">
        <f>J34/J35</f>
        <v>#DIV/0!</v>
      </c>
      <c r="L34" s="216" t="e">
        <f>K34</f>
        <v>#DIV/0!</v>
      </c>
      <c r="M34" s="217"/>
      <c r="N34" s="29"/>
      <c r="P34" s="215" t="s">
        <v>24</v>
      </c>
      <c r="Q34" s="208">
        <f>COUNTIFS('1. All Data'!$AB$3:$AB$136,"Environment and Climate Change",'1. All Data'!$R$3:$R$136,"Deleted")</f>
        <v>0</v>
      </c>
      <c r="R34" s="216" t="e">
        <f>Q34/Q35</f>
        <v>#DIV/0!</v>
      </c>
      <c r="S34" s="216" t="e">
        <f>R34</f>
        <v>#DIV/0!</v>
      </c>
      <c r="T34" s="217"/>
      <c r="U34" s="29"/>
      <c r="W34" s="175" t="s">
        <v>24</v>
      </c>
      <c r="X34" s="208">
        <f>COUNTIFS('1. All Data'!$AB$3:$AB$136,"Environment and Climate Change",'1. All Data'!$V$3:$V$136,"Deleted")</f>
        <v>0</v>
      </c>
      <c r="Y34" s="216" t="e">
        <f>X34/X35</f>
        <v>#DIV/0!</v>
      </c>
      <c r="Z34" s="216" t="e">
        <f>Y34</f>
        <v>#DIV/0!</v>
      </c>
      <c r="AA34" s="177"/>
      <c r="AB34" s="3"/>
      <c r="AC34" s="166"/>
    </row>
    <row r="35" spans="2:29" ht="15.75" customHeight="1">
      <c r="B35" s="218" t="s">
        <v>45</v>
      </c>
      <c r="C35" s="219">
        <f>SUM(C24:C34)</f>
        <v>25</v>
      </c>
      <c r="D35" s="177"/>
      <c r="E35" s="177"/>
      <c r="F35" s="220"/>
      <c r="G35" s="58"/>
      <c r="I35" s="218" t="s">
        <v>45</v>
      </c>
      <c r="J35" s="219">
        <f>SUM(J24:J34)</f>
        <v>0</v>
      </c>
      <c r="K35" s="177"/>
      <c r="L35" s="177"/>
      <c r="M35" s="220"/>
      <c r="N35" s="58"/>
      <c r="P35" s="218" t="s">
        <v>45</v>
      </c>
      <c r="Q35" s="219">
        <f>SUM(Q24:Q34)</f>
        <v>0</v>
      </c>
      <c r="R35" s="177"/>
      <c r="S35" s="177"/>
      <c r="T35" s="220"/>
      <c r="U35" s="58"/>
      <c r="W35" s="178" t="s">
        <v>45</v>
      </c>
      <c r="X35" s="219">
        <f>SUM(X24:X34)</f>
        <v>0</v>
      </c>
      <c r="Y35" s="177"/>
      <c r="Z35" s="177"/>
      <c r="AA35" s="58"/>
      <c r="AB35" s="58"/>
      <c r="AC35" s="166"/>
    </row>
    <row r="36" spans="2:29" ht="15.75" customHeight="1">
      <c r="B36" s="218" t="s">
        <v>46</v>
      </c>
      <c r="C36" s="219">
        <f>C35-C34-C33-C32-C31</f>
        <v>16</v>
      </c>
      <c r="D36" s="58"/>
      <c r="E36" s="58"/>
      <c r="F36" s="220"/>
      <c r="G36" s="58"/>
      <c r="I36" s="218" t="s">
        <v>46</v>
      </c>
      <c r="J36" s="219">
        <f>J35-J34-J33-J32-J31</f>
        <v>0</v>
      </c>
      <c r="K36" s="58"/>
      <c r="L36" s="58"/>
      <c r="M36" s="220"/>
      <c r="N36" s="58"/>
      <c r="P36" s="218" t="s">
        <v>46</v>
      </c>
      <c r="Q36" s="219">
        <f>Q35-Q34-Q33-Q32-Q31</f>
        <v>0</v>
      </c>
      <c r="R36" s="58"/>
      <c r="S36" s="58"/>
      <c r="T36" s="220"/>
      <c r="U36" s="58"/>
      <c r="W36" s="178" t="s">
        <v>46</v>
      </c>
      <c r="X36" s="219">
        <f>X35-X34-X33-X32-X31</f>
        <v>0</v>
      </c>
      <c r="Y36" s="58"/>
      <c r="Z36" s="58"/>
      <c r="AA36" s="58"/>
      <c r="AB36" s="58"/>
      <c r="AC36" s="166"/>
    </row>
    <row r="37" spans="2:29" ht="15.75" customHeight="1">
      <c r="W37" s="180"/>
      <c r="AA37" s="2"/>
      <c r="AC37" s="166"/>
    </row>
    <row r="38" spans="2:29" ht="15.75" customHeight="1">
      <c r="W38" s="165"/>
      <c r="X38" s="165"/>
      <c r="Y38" s="165"/>
      <c r="Z38" s="165"/>
      <c r="AA38" s="165"/>
      <c r="AB38" s="186"/>
      <c r="AC38" s="166"/>
    </row>
    <row r="39" spans="2:29" s="166" customFormat="1" ht="15.75" customHeight="1">
      <c r="B39" s="187"/>
      <c r="C39" s="165"/>
      <c r="D39" s="165"/>
      <c r="E39" s="165"/>
      <c r="F39" s="220"/>
      <c r="G39" s="165"/>
      <c r="I39" s="187"/>
      <c r="J39" s="165"/>
      <c r="K39" s="165"/>
      <c r="L39" s="165"/>
      <c r="M39" s="220"/>
      <c r="N39" s="165"/>
      <c r="P39" s="187"/>
      <c r="Q39" s="165"/>
      <c r="R39" s="165"/>
      <c r="S39" s="165"/>
      <c r="T39" s="220"/>
      <c r="U39" s="165"/>
      <c r="W39" s="221"/>
      <c r="X39" s="58"/>
      <c r="Y39" s="58"/>
      <c r="Z39" s="58"/>
      <c r="AA39" s="58"/>
      <c r="AB39" s="177"/>
    </row>
    <row r="40" spans="2:29" s="166" customFormat="1" ht="15.75" customHeight="1">
      <c r="B40" s="203" t="s">
        <v>118</v>
      </c>
      <c r="C40" s="204"/>
      <c r="D40" s="204"/>
      <c r="E40" s="204"/>
      <c r="F40" s="205"/>
      <c r="G40" s="204"/>
      <c r="I40" s="203" t="s">
        <v>118</v>
      </c>
      <c r="J40" s="204"/>
      <c r="K40" s="204"/>
      <c r="L40" s="204"/>
      <c r="M40" s="205"/>
      <c r="N40" s="204"/>
      <c r="P40" s="203" t="s">
        <v>118</v>
      </c>
      <c r="Q40" s="204"/>
      <c r="R40" s="204"/>
      <c r="S40" s="204"/>
      <c r="T40" s="205"/>
      <c r="U40" s="204"/>
      <c r="W40" s="203" t="s">
        <v>118</v>
      </c>
      <c r="X40" s="204"/>
      <c r="Y40" s="204"/>
      <c r="Z40" s="204"/>
      <c r="AA40" s="205"/>
      <c r="AB40" s="204"/>
    </row>
    <row r="41" spans="2:29" ht="36" customHeight="1">
      <c r="B41" s="206" t="s">
        <v>36</v>
      </c>
      <c r="C41" s="207" t="s">
        <v>37</v>
      </c>
      <c r="D41" s="207" t="s">
        <v>38</v>
      </c>
      <c r="E41" s="207" t="s">
        <v>39</v>
      </c>
      <c r="F41" s="206" t="s">
        <v>40</v>
      </c>
      <c r="G41" s="207" t="s">
        <v>41</v>
      </c>
      <c r="I41" s="206" t="s">
        <v>36</v>
      </c>
      <c r="J41" s="207" t="s">
        <v>37</v>
      </c>
      <c r="K41" s="207" t="s">
        <v>38</v>
      </c>
      <c r="L41" s="207" t="s">
        <v>39</v>
      </c>
      <c r="M41" s="206" t="s">
        <v>40</v>
      </c>
      <c r="N41" s="207" t="s">
        <v>41</v>
      </c>
      <c r="P41" s="206" t="s">
        <v>36</v>
      </c>
      <c r="Q41" s="207" t="s">
        <v>37</v>
      </c>
      <c r="R41" s="207" t="s">
        <v>38</v>
      </c>
      <c r="S41" s="207" t="s">
        <v>39</v>
      </c>
      <c r="T41" s="206" t="s">
        <v>40</v>
      </c>
      <c r="U41" s="207" t="s">
        <v>41</v>
      </c>
      <c r="W41" s="164" t="s">
        <v>36</v>
      </c>
      <c r="X41" s="164" t="s">
        <v>37</v>
      </c>
      <c r="Y41" s="164" t="s">
        <v>38</v>
      </c>
      <c r="Z41" s="164" t="s">
        <v>39</v>
      </c>
      <c r="AA41" s="164" t="s">
        <v>40</v>
      </c>
      <c r="AB41" s="164" t="s">
        <v>41</v>
      </c>
      <c r="AC41" s="166"/>
    </row>
    <row r="42" spans="2:29" ht="18.75" customHeight="1">
      <c r="B42" s="228" t="s">
        <v>42</v>
      </c>
      <c r="C42" s="208">
        <f>COUNTIFS('1. All Data'!$AB$3:$AB$136,"Finance and treasury management",'1. All Data'!$H$3:$H$136,"Fully Achieved")</f>
        <v>0</v>
      </c>
      <c r="D42" s="209">
        <f>C42/C53</f>
        <v>0</v>
      </c>
      <c r="E42" s="422">
        <f>D42+D43</f>
        <v>0.5714285714285714</v>
      </c>
      <c r="F42" s="210">
        <f>C42/C54</f>
        <v>0</v>
      </c>
      <c r="G42" s="424">
        <f>F42+F43</f>
        <v>0.88888888888888884</v>
      </c>
      <c r="I42" s="228" t="s">
        <v>42</v>
      </c>
      <c r="J42" s="208">
        <f>COUNTIFS('1. All Data'!$AB$3:$AB$136,"Finance and Treasury Management",'1. All Data'!$M$3:$M$136,"Fully Achieved")</f>
        <v>0</v>
      </c>
      <c r="K42" s="209" t="e">
        <f>J42/J53</f>
        <v>#DIV/0!</v>
      </c>
      <c r="L42" s="422" t="e">
        <f>K42+K43</f>
        <v>#DIV/0!</v>
      </c>
      <c r="M42" s="210" t="e">
        <f>J42/J54</f>
        <v>#DIV/0!</v>
      </c>
      <c r="N42" s="424" t="e">
        <f>M42+M43</f>
        <v>#DIV/0!</v>
      </c>
      <c r="P42" s="228" t="s">
        <v>42</v>
      </c>
      <c r="Q42" s="208">
        <f>COUNTIFS('1. All Data'!$AB$3:$AB$136,"Finance and Treasury Management",'1. All Data'!$R$3:$R$136,"Fully Achieved")</f>
        <v>0</v>
      </c>
      <c r="R42" s="209" t="e">
        <f>Q42/Q53</f>
        <v>#DIV/0!</v>
      </c>
      <c r="S42" s="422" t="e">
        <f>R42+R43</f>
        <v>#DIV/0!</v>
      </c>
      <c r="T42" s="210" t="e">
        <f>Q42/Q54</f>
        <v>#DIV/0!</v>
      </c>
      <c r="U42" s="424" t="e">
        <f>T42+T43</f>
        <v>#DIV/0!</v>
      </c>
      <c r="W42" s="228" t="s">
        <v>42</v>
      </c>
      <c r="X42" s="208">
        <f>COUNTIFS('1. All Data'!$AB$3:$AB$136,"Finance and Treasury Management",'1. All Data'!$V$3:$V$136,"Fully Achieved")</f>
        <v>0</v>
      </c>
      <c r="Y42" s="209" t="e">
        <f>X42/X53</f>
        <v>#DIV/0!</v>
      </c>
      <c r="Z42" s="422" t="e">
        <f>Y42+Y43</f>
        <v>#DIV/0!</v>
      </c>
      <c r="AA42" s="209" t="e">
        <f>X42/X54</f>
        <v>#DIV/0!</v>
      </c>
      <c r="AB42" s="403" t="e">
        <f>AA42+AA43</f>
        <v>#DIV/0!</v>
      </c>
      <c r="AC42" s="166"/>
    </row>
    <row r="43" spans="2:29" ht="18.75" customHeight="1">
      <c r="B43" s="228" t="s">
        <v>25</v>
      </c>
      <c r="C43" s="208">
        <f>COUNTIFS('1. All Data'!$AB$3:$AB$136,"Finance and treasury management",'1. All Data'!$H$3:$H$136,"On Track to be Achieved")</f>
        <v>8</v>
      </c>
      <c r="D43" s="209">
        <f>C43/C53</f>
        <v>0.5714285714285714</v>
      </c>
      <c r="E43" s="422"/>
      <c r="F43" s="210">
        <f>C43/C54</f>
        <v>0.88888888888888884</v>
      </c>
      <c r="G43" s="424"/>
      <c r="I43" s="228" t="s">
        <v>25</v>
      </c>
      <c r="J43" s="208">
        <f>COUNTIFS('1. All Data'!$AB$3:$AB$136,"Finance and Treasury Management",'1. All Data'!$M$3:$M$136,"On Track to be Achieved")</f>
        <v>0</v>
      </c>
      <c r="K43" s="209" t="e">
        <f>J43/J53</f>
        <v>#DIV/0!</v>
      </c>
      <c r="L43" s="422"/>
      <c r="M43" s="210" t="e">
        <f>J43/J54</f>
        <v>#DIV/0!</v>
      </c>
      <c r="N43" s="424"/>
      <c r="P43" s="228" t="s">
        <v>25</v>
      </c>
      <c r="Q43" s="208">
        <f>COUNTIFS('1. All Data'!$AB$3:$AB$136,"Finance and Treasury Management",'1. All Data'!$R$3:$R$136,"On Track to be Achieved")</f>
        <v>0</v>
      </c>
      <c r="R43" s="209" t="e">
        <f>Q43/Q53</f>
        <v>#DIV/0!</v>
      </c>
      <c r="S43" s="422"/>
      <c r="T43" s="210" t="e">
        <f>Q43/Q54</f>
        <v>#DIV/0!</v>
      </c>
      <c r="U43" s="424"/>
      <c r="W43" s="228" t="s">
        <v>17</v>
      </c>
      <c r="X43" s="208">
        <f>COUNTIFS('1. All Data'!$AB$3:$AB$136,"Finance and Treasury Management",'1. All Data'!$V$3:$V$136,"Numerical Outturn Within 5% Tolerance")</f>
        <v>0</v>
      </c>
      <c r="Y43" s="209" t="e">
        <f>X43/X53</f>
        <v>#DIV/0!</v>
      </c>
      <c r="Z43" s="422"/>
      <c r="AA43" s="209" t="e">
        <f>X43/X54</f>
        <v>#DIV/0!</v>
      </c>
      <c r="AB43" s="403"/>
      <c r="AC43" s="166"/>
    </row>
    <row r="44" spans="2:29" ht="16.5" customHeight="1">
      <c r="B44" s="434" t="s">
        <v>26</v>
      </c>
      <c r="C44" s="437">
        <f>COUNTIFS('1. All Data'!$AB$3:$AB$136,"Finance and treasury management",'1. All Data'!$H$3:$H$136,"In Danger of Falling Behind Target")</f>
        <v>0</v>
      </c>
      <c r="D44" s="425">
        <f>C44/C53</f>
        <v>0</v>
      </c>
      <c r="E44" s="425">
        <f>D44</f>
        <v>0</v>
      </c>
      <c r="F44" s="428">
        <f>C44/C54</f>
        <v>0</v>
      </c>
      <c r="G44" s="431">
        <f>F44</f>
        <v>0</v>
      </c>
      <c r="I44" s="434" t="s">
        <v>26</v>
      </c>
      <c r="J44" s="437">
        <f>COUNTIFS('1. All Data'!$AB$3:$AB$136,"Finance and Treasury Management",'1. All Data'!$M$3:$M$136,"In Danger of Falling Behind Target")</f>
        <v>0</v>
      </c>
      <c r="K44" s="425" t="e">
        <f>J44/J53</f>
        <v>#DIV/0!</v>
      </c>
      <c r="L44" s="425" t="e">
        <f>K44</f>
        <v>#DIV/0!</v>
      </c>
      <c r="M44" s="428" t="e">
        <f>J44/J54</f>
        <v>#DIV/0!</v>
      </c>
      <c r="N44" s="431" t="e">
        <f>M44</f>
        <v>#DIV/0!</v>
      </c>
      <c r="P44" s="434" t="s">
        <v>26</v>
      </c>
      <c r="Q44" s="437">
        <f>COUNTIFS('1. All Data'!$AB$3:$AB$136,"Finance and Treasury Management",'1. All Data'!$R$3:$R$136,"In Danger of Falling Behind Target")</f>
        <v>0</v>
      </c>
      <c r="R44" s="425" t="e">
        <f>Q44/Q53</f>
        <v>#DIV/0!</v>
      </c>
      <c r="S44" s="425" t="e">
        <f>R44</f>
        <v>#DIV/0!</v>
      </c>
      <c r="T44" s="428" t="e">
        <f>Q44/Q54</f>
        <v>#DIV/0!</v>
      </c>
      <c r="U44" s="431" t="e">
        <f>T44</f>
        <v>#DIV/0!</v>
      </c>
      <c r="W44" s="169" t="s">
        <v>18</v>
      </c>
      <c r="X44" s="170">
        <f>COUNTIFS('1. All Data'!$AB$3:$AB$136,"Finance and Treasury Management",'1. All Data'!$V$3:$V$136,"Numerical Outturn Within 10% Tolerance")</f>
        <v>0</v>
      </c>
      <c r="Y44" s="168" t="e">
        <f>X44/X53</f>
        <v>#DIV/0!</v>
      </c>
      <c r="Z44" s="401" t="e">
        <f>SUM(Y44:Y46)</f>
        <v>#DIV/0!</v>
      </c>
      <c r="AA44" s="168" t="e">
        <f>X44/X54</f>
        <v>#DIV/0!</v>
      </c>
      <c r="AB44" s="410" t="e">
        <f>SUM(AA44:AA46)</f>
        <v>#DIV/0!</v>
      </c>
      <c r="AC44" s="166"/>
    </row>
    <row r="45" spans="2:29" ht="16.5" customHeight="1">
      <c r="B45" s="435"/>
      <c r="C45" s="438"/>
      <c r="D45" s="426"/>
      <c r="E45" s="426"/>
      <c r="F45" s="429"/>
      <c r="G45" s="432"/>
      <c r="I45" s="435"/>
      <c r="J45" s="438"/>
      <c r="K45" s="426"/>
      <c r="L45" s="426"/>
      <c r="M45" s="429"/>
      <c r="N45" s="432"/>
      <c r="P45" s="435"/>
      <c r="Q45" s="438"/>
      <c r="R45" s="426"/>
      <c r="S45" s="426"/>
      <c r="T45" s="429"/>
      <c r="U45" s="432"/>
      <c r="W45" s="169" t="s">
        <v>19</v>
      </c>
      <c r="X45" s="170">
        <f>COUNTIFS('1. All Data'!$AB$3:$AB$136,"Finance and Treasury Management",'1. All Data'!$V$3:$V$136,"Target Partially Met")</f>
        <v>0</v>
      </c>
      <c r="Y45" s="168" t="e">
        <f>X45/X53</f>
        <v>#DIV/0!</v>
      </c>
      <c r="Z45" s="401"/>
      <c r="AA45" s="168" t="e">
        <f>X45/X54</f>
        <v>#DIV/0!</v>
      </c>
      <c r="AB45" s="410"/>
      <c r="AC45" s="166"/>
    </row>
    <row r="46" spans="2:29" ht="16.5" customHeight="1">
      <c r="B46" s="436"/>
      <c r="C46" s="439"/>
      <c r="D46" s="427"/>
      <c r="E46" s="427"/>
      <c r="F46" s="430"/>
      <c r="G46" s="433"/>
      <c r="I46" s="436"/>
      <c r="J46" s="439"/>
      <c r="K46" s="427"/>
      <c r="L46" s="427"/>
      <c r="M46" s="430"/>
      <c r="N46" s="433"/>
      <c r="P46" s="436"/>
      <c r="Q46" s="439"/>
      <c r="R46" s="427"/>
      <c r="S46" s="427"/>
      <c r="T46" s="430"/>
      <c r="U46" s="433"/>
      <c r="W46" s="169" t="s">
        <v>22</v>
      </c>
      <c r="X46" s="170">
        <f>COUNTIFS('1. All Data'!$AB$3:$AB$136,"Finance and Treasury Management",'1. All Data'!$V$3:$V$136,"Completion Date Within Reasonable Tolerance")</f>
        <v>0</v>
      </c>
      <c r="Y46" s="168" t="e">
        <f>X46/X53</f>
        <v>#DIV/0!</v>
      </c>
      <c r="Z46" s="401"/>
      <c r="AA46" s="168" t="e">
        <f>X46/X54</f>
        <v>#DIV/0!</v>
      </c>
      <c r="AB46" s="410"/>
      <c r="AC46" s="166"/>
    </row>
    <row r="47" spans="2:29" ht="22.5" customHeight="1">
      <c r="B47" s="211" t="s">
        <v>27</v>
      </c>
      <c r="C47" s="208">
        <f>COUNTIFS('1. All Data'!$AB$3:$AB$136,"Finance and treasury management",'1. All Data'!$H$3:$H$136,"Completed Behind Schedule")</f>
        <v>1</v>
      </c>
      <c r="D47" s="209">
        <f>C47/C53</f>
        <v>7.1428571428571425E-2</v>
      </c>
      <c r="E47" s="422">
        <f>D47+D48</f>
        <v>7.1428571428571425E-2</v>
      </c>
      <c r="F47" s="210">
        <f>C47/C54</f>
        <v>0.1111111111111111</v>
      </c>
      <c r="G47" s="423">
        <f>F47+F48</f>
        <v>0.1111111111111111</v>
      </c>
      <c r="I47" s="211" t="s">
        <v>27</v>
      </c>
      <c r="J47" s="208">
        <f>COUNTIFS('1. All Data'!$AB$3:$AB$136,"Finance and Treasury Management",'1. All Data'!$M$3:$M$136,"Completed Behind Schedule")</f>
        <v>0</v>
      </c>
      <c r="K47" s="209" t="e">
        <f>J47/J53</f>
        <v>#DIV/0!</v>
      </c>
      <c r="L47" s="422" t="e">
        <f>K47+K48</f>
        <v>#DIV/0!</v>
      </c>
      <c r="M47" s="210" t="e">
        <f>J47/J54</f>
        <v>#DIV/0!</v>
      </c>
      <c r="N47" s="423" t="e">
        <f>M47+M48</f>
        <v>#DIV/0!</v>
      </c>
      <c r="P47" s="211" t="s">
        <v>27</v>
      </c>
      <c r="Q47" s="208">
        <f>COUNTIFS('1. All Data'!$AB$3:$AB$136,"Finance and Treasury Management",'1. All Data'!$R$3:$R$136,"Completed Behind Schedule")</f>
        <v>0</v>
      </c>
      <c r="R47" s="209" t="e">
        <f>Q47/Q53</f>
        <v>#DIV/0!</v>
      </c>
      <c r="S47" s="422" t="e">
        <f>R47+R48</f>
        <v>#DIV/0!</v>
      </c>
      <c r="T47" s="210" t="e">
        <f>Q47/Q54</f>
        <v>#DIV/0!</v>
      </c>
      <c r="U47" s="423" t="e">
        <f>T47+T48</f>
        <v>#DIV/0!</v>
      </c>
      <c r="W47" s="171" t="s">
        <v>21</v>
      </c>
      <c r="X47" s="208">
        <f>COUNTIFS('1. All Data'!$AB$3:$AB$136,"Finance and Treasury Management",'1. All Data'!$V$3:$V$136,"Completed Significantly After Target Deadline")</f>
        <v>0</v>
      </c>
      <c r="Y47" s="209" t="e">
        <f>X47/X53</f>
        <v>#DIV/0!</v>
      </c>
      <c r="Z47" s="422" t="e">
        <f>Y47+Y48</f>
        <v>#DIV/0!</v>
      </c>
      <c r="AA47" s="209" t="e">
        <f>X47/X54</f>
        <v>#DIV/0!</v>
      </c>
      <c r="AB47" s="402" t="e">
        <f>AA47+AA48</f>
        <v>#DIV/0!</v>
      </c>
      <c r="AC47" s="166"/>
    </row>
    <row r="48" spans="2:29" ht="22.5" customHeight="1">
      <c r="B48" s="211" t="s">
        <v>20</v>
      </c>
      <c r="C48" s="208">
        <f>COUNTIFS('1. All Data'!$AB$3:$AB$136,"Finance and treasury management",'1. All Data'!$H$3:$H$136,"Off Target")</f>
        <v>0</v>
      </c>
      <c r="D48" s="209">
        <f>C48/C53</f>
        <v>0</v>
      </c>
      <c r="E48" s="422"/>
      <c r="F48" s="210">
        <f>C48/C54</f>
        <v>0</v>
      </c>
      <c r="G48" s="423"/>
      <c r="I48" s="211" t="s">
        <v>20</v>
      </c>
      <c r="J48" s="208">
        <f>COUNTIFS('1. All Data'!$AB$3:$AB$136,"Finance and Treasury Management",'1. All Data'!$M$3:$M$136,"Off Target")</f>
        <v>0</v>
      </c>
      <c r="K48" s="209" t="e">
        <f>J48/J53</f>
        <v>#DIV/0!</v>
      </c>
      <c r="L48" s="422"/>
      <c r="M48" s="210" t="e">
        <f>J48/J54</f>
        <v>#DIV/0!</v>
      </c>
      <c r="N48" s="423"/>
      <c r="P48" s="211" t="s">
        <v>20</v>
      </c>
      <c r="Q48" s="208">
        <f>COUNTIFS('1. All Data'!$AB$3:$AB$136,"Finance and Treasury Management",'1. All Data'!$R$3:$R$136,"Off Target")</f>
        <v>0</v>
      </c>
      <c r="R48" s="209" t="e">
        <f>Q48/Q53</f>
        <v>#DIV/0!</v>
      </c>
      <c r="S48" s="422"/>
      <c r="T48" s="210" t="e">
        <f>Q48/Q54</f>
        <v>#DIV/0!</v>
      </c>
      <c r="U48" s="423"/>
      <c r="W48" s="171" t="s">
        <v>20</v>
      </c>
      <c r="X48" s="208">
        <f>COUNTIFS('1. All Data'!$AB$3:$AB$136,"Finance and Treasury Management",'1. All Data'!$V$3:$V$136,"Off Target")</f>
        <v>0</v>
      </c>
      <c r="Y48" s="209" t="e">
        <f>X48/X53</f>
        <v>#DIV/0!</v>
      </c>
      <c r="Z48" s="422"/>
      <c r="AA48" s="209" t="e">
        <f>X48/X54</f>
        <v>#DIV/0!</v>
      </c>
      <c r="AB48" s="402"/>
      <c r="AC48" s="166"/>
    </row>
    <row r="49" spans="2:29" ht="15.75" customHeight="1">
      <c r="B49" s="212" t="s">
        <v>43</v>
      </c>
      <c r="C49" s="208">
        <f>COUNTIFS('1. All Data'!$AB$3:$AB$136,"Finance and treasury management",'1. All Data'!$H$3:$H$136,"Not yet due")</f>
        <v>5</v>
      </c>
      <c r="D49" s="213">
        <f>C49/C53</f>
        <v>0.35714285714285715</v>
      </c>
      <c r="E49" s="213">
        <f>D49</f>
        <v>0.35714285714285715</v>
      </c>
      <c r="F49" s="214"/>
      <c r="G49" s="58"/>
      <c r="I49" s="212" t="s">
        <v>43</v>
      </c>
      <c r="J49" s="208">
        <f>COUNTIFS('1. All Data'!$AB$3:$AB$136,"Finance and Treasury Management",'1. All Data'!$M$3:$M$136,"Not yet due")</f>
        <v>0</v>
      </c>
      <c r="K49" s="213" t="e">
        <f>J49/J53</f>
        <v>#DIV/0!</v>
      </c>
      <c r="L49" s="213" t="e">
        <f>K49</f>
        <v>#DIV/0!</v>
      </c>
      <c r="M49" s="214"/>
      <c r="N49" s="58"/>
      <c r="P49" s="212" t="s">
        <v>43</v>
      </c>
      <c r="Q49" s="208">
        <f>COUNTIFS('1. All Data'!$AB$3:$AB$136,"Finance and Treasury Management",'1. All Data'!$R$3:$R$136,"Not yet due")</f>
        <v>0</v>
      </c>
      <c r="R49" s="213" t="e">
        <f>Q49/Q53</f>
        <v>#DIV/0!</v>
      </c>
      <c r="S49" s="213" t="e">
        <f>R49</f>
        <v>#DIV/0!</v>
      </c>
      <c r="T49" s="214"/>
      <c r="U49" s="58"/>
      <c r="W49" s="172" t="s">
        <v>43</v>
      </c>
      <c r="X49" s="208">
        <f>COUNTIFS('1. All Data'!$AB$3:$AB$136,"Finance and Treasury Management",'1. All Data'!$V$3:$V$136,"Not yet due")</f>
        <v>0</v>
      </c>
      <c r="Y49" s="213" t="e">
        <f>X49/X53</f>
        <v>#DIV/0!</v>
      </c>
      <c r="Z49" s="213" t="e">
        <f>Y49</f>
        <v>#DIV/0!</v>
      </c>
      <c r="AA49" s="174"/>
      <c r="AB49" s="58"/>
      <c r="AC49" s="166"/>
    </row>
    <row r="50" spans="2:29" ht="15.75" customHeight="1">
      <c r="B50" s="212" t="s">
        <v>15</v>
      </c>
      <c r="C50" s="208">
        <f>COUNTIFS('1. All Data'!$AB$3:$AB$136,"Finance and treasury management",'1. All Data'!$H$3:$H$136,"Update not provided")</f>
        <v>0</v>
      </c>
      <c r="D50" s="213">
        <f>C50/C53</f>
        <v>0</v>
      </c>
      <c r="E50" s="213">
        <f>D50</f>
        <v>0</v>
      </c>
      <c r="F50" s="214"/>
      <c r="G50" s="2"/>
      <c r="I50" s="212" t="s">
        <v>15</v>
      </c>
      <c r="J50" s="208">
        <f>COUNTIFS('1. All Data'!$AB$3:$AB$136,"Finance and Treasury Management",'1. All Data'!$M$3:$M$136,"Update not provided")</f>
        <v>0</v>
      </c>
      <c r="K50" s="213" t="e">
        <f>J50/J53</f>
        <v>#DIV/0!</v>
      </c>
      <c r="L50" s="213" t="e">
        <f>K50</f>
        <v>#DIV/0!</v>
      </c>
      <c r="M50" s="214"/>
      <c r="N50" s="2"/>
      <c r="P50" s="212" t="s">
        <v>15</v>
      </c>
      <c r="Q50" s="208">
        <f>COUNTIFS('1. All Data'!$AB$3:$AB$136,"Finance and Treasury Management",'1. All Data'!$R$3:$R$136,"Update not provided")</f>
        <v>0</v>
      </c>
      <c r="R50" s="213" t="e">
        <f>Q50/Q53</f>
        <v>#DIV/0!</v>
      </c>
      <c r="S50" s="213" t="e">
        <f>R50</f>
        <v>#DIV/0!</v>
      </c>
      <c r="T50" s="214"/>
      <c r="U50" s="2"/>
      <c r="W50" s="172" t="s">
        <v>15</v>
      </c>
      <c r="X50" s="208">
        <f>COUNTIFS('1. All Data'!$AB$3:$AB$136,"Finance and Treasury Management",'1. All Data'!$V$3:$V$136,"Update not provided")</f>
        <v>0</v>
      </c>
      <c r="Y50" s="213" t="e">
        <f>X50/X53</f>
        <v>#DIV/0!</v>
      </c>
      <c r="Z50" s="213" t="e">
        <f>Y50</f>
        <v>#DIV/0!</v>
      </c>
      <c r="AA50" s="174"/>
      <c r="AB50" s="2"/>
      <c r="AC50" s="166"/>
    </row>
    <row r="51" spans="2:29" ht="15.75" customHeight="1">
      <c r="B51" s="215" t="s">
        <v>23</v>
      </c>
      <c r="C51" s="208">
        <f>COUNTIFS('1. All Data'!$AB$3:$AB$136,"Finance and treasury management",'1. All Data'!$H$3:$H$136,"Deferred")</f>
        <v>0</v>
      </c>
      <c r="D51" s="216">
        <f>C51/C53</f>
        <v>0</v>
      </c>
      <c r="E51" s="216">
        <f>D51</f>
        <v>0</v>
      </c>
      <c r="F51" s="217"/>
      <c r="G51" s="58"/>
      <c r="I51" s="215" t="s">
        <v>23</v>
      </c>
      <c r="J51" s="208">
        <f>COUNTIFS('1. All Data'!$AB$3:$AB$136,"Finance and Treasury Management",'1. All Data'!$M$3:$M$136,"Deferred")</f>
        <v>0</v>
      </c>
      <c r="K51" s="216" t="e">
        <f>J51/J53</f>
        <v>#DIV/0!</v>
      </c>
      <c r="L51" s="216" t="e">
        <f>K51</f>
        <v>#DIV/0!</v>
      </c>
      <c r="M51" s="217"/>
      <c r="N51" s="58"/>
      <c r="P51" s="215" t="s">
        <v>23</v>
      </c>
      <c r="Q51" s="208">
        <f>COUNTIFS('1. All Data'!$AB$3:$AB$136,"Finance and Treasury Management",'1. All Data'!$R$3:$R$136,"Deferred")</f>
        <v>0</v>
      </c>
      <c r="R51" s="216" t="e">
        <f>Q51/Q53</f>
        <v>#DIV/0!</v>
      </c>
      <c r="S51" s="216" t="e">
        <f>R51</f>
        <v>#DIV/0!</v>
      </c>
      <c r="T51" s="217"/>
      <c r="U51" s="58"/>
      <c r="W51" s="175" t="s">
        <v>23</v>
      </c>
      <c r="X51" s="208">
        <f>COUNTIFS('1. All Data'!$AB$3:$AB$136,"Finance and Treasury Management",'1. All Data'!$V$3:$V$136,"Deferred")</f>
        <v>0</v>
      </c>
      <c r="Y51" s="216" t="e">
        <f>X51/X53</f>
        <v>#DIV/0!</v>
      </c>
      <c r="Z51" s="216" t="e">
        <f>Y51</f>
        <v>#DIV/0!</v>
      </c>
      <c r="AA51" s="177"/>
      <c r="AB51" s="58"/>
      <c r="AC51" s="166"/>
    </row>
    <row r="52" spans="2:29" ht="15.75" customHeight="1">
      <c r="B52" s="215" t="s">
        <v>24</v>
      </c>
      <c r="C52" s="208">
        <f>COUNTIFS('1. All Data'!$AB$3:$AB$136,"Finance and treasury management",'1. All Data'!$H$3:$H$136,"Deleted")</f>
        <v>0</v>
      </c>
      <c r="D52" s="216">
        <f>C52/C53</f>
        <v>0</v>
      </c>
      <c r="E52" s="216">
        <f>D52</f>
        <v>0</v>
      </c>
      <c r="F52" s="217"/>
      <c r="G52" s="29"/>
      <c r="I52" s="215" t="s">
        <v>24</v>
      </c>
      <c r="J52" s="208">
        <f>COUNTIFS('1. All Data'!$AB$3:$AB$136,"Finance and Treasury Management",'1. All Data'!$M$3:$M$136,"Deleted")</f>
        <v>0</v>
      </c>
      <c r="K52" s="216" t="e">
        <f>J52/J53</f>
        <v>#DIV/0!</v>
      </c>
      <c r="L52" s="216" t="e">
        <f>K52</f>
        <v>#DIV/0!</v>
      </c>
      <c r="M52" s="217"/>
      <c r="N52" s="29"/>
      <c r="P52" s="215" t="s">
        <v>24</v>
      </c>
      <c r="Q52" s="208">
        <f>COUNTIFS('1. All Data'!$AB$3:$AB$136,"Finance and Treasury Management",'1. All Data'!$R$3:$R$136,"Deleted")</f>
        <v>0</v>
      </c>
      <c r="R52" s="216" t="e">
        <f>Q52/Q53</f>
        <v>#DIV/0!</v>
      </c>
      <c r="S52" s="216" t="e">
        <f>R52</f>
        <v>#DIV/0!</v>
      </c>
      <c r="T52" s="217"/>
      <c r="U52" s="29"/>
      <c r="W52" s="175" t="s">
        <v>24</v>
      </c>
      <c r="X52" s="208">
        <f>COUNTIFS('1. All Data'!$AB$3:$AB$136,"Finance and Treasury Management",'1. All Data'!$V$3:$V$136,"Deleted")</f>
        <v>0</v>
      </c>
      <c r="Y52" s="216" t="e">
        <f>X52/X53</f>
        <v>#DIV/0!</v>
      </c>
      <c r="Z52" s="216" t="e">
        <f>Y52</f>
        <v>#DIV/0!</v>
      </c>
      <c r="AA52" s="177"/>
      <c r="AB52" s="3"/>
      <c r="AC52" s="166"/>
    </row>
    <row r="53" spans="2:29" ht="15.75" customHeight="1">
      <c r="B53" s="218" t="s">
        <v>45</v>
      </c>
      <c r="C53" s="219">
        <f>SUM(C42:C52)</f>
        <v>14</v>
      </c>
      <c r="D53" s="177"/>
      <c r="E53" s="177"/>
      <c r="F53" s="220"/>
      <c r="G53" s="58"/>
      <c r="I53" s="218" t="s">
        <v>45</v>
      </c>
      <c r="J53" s="219">
        <f>SUM(J42:J52)</f>
        <v>0</v>
      </c>
      <c r="K53" s="177"/>
      <c r="L53" s="177"/>
      <c r="M53" s="220"/>
      <c r="N53" s="58"/>
      <c r="P53" s="218" t="s">
        <v>45</v>
      </c>
      <c r="Q53" s="219">
        <f>SUM(Q42:Q52)</f>
        <v>0</v>
      </c>
      <c r="R53" s="177"/>
      <c r="S53" s="177"/>
      <c r="T53" s="220"/>
      <c r="U53" s="58"/>
      <c r="W53" s="178" t="s">
        <v>45</v>
      </c>
      <c r="X53" s="219">
        <f>SUM(X42:X52)</f>
        <v>0</v>
      </c>
      <c r="Y53" s="177"/>
      <c r="Z53" s="177"/>
      <c r="AA53" s="58"/>
      <c r="AB53" s="58"/>
      <c r="AC53" s="166"/>
    </row>
    <row r="54" spans="2:29" ht="15.75" customHeight="1">
      <c r="B54" s="218" t="s">
        <v>46</v>
      </c>
      <c r="C54" s="219">
        <f>C53-C52-C51-C50-C49</f>
        <v>9</v>
      </c>
      <c r="D54" s="58"/>
      <c r="E54" s="58"/>
      <c r="F54" s="220"/>
      <c r="G54" s="58"/>
      <c r="I54" s="218" t="s">
        <v>46</v>
      </c>
      <c r="J54" s="219">
        <f>J53-J52-J51-J50-J49</f>
        <v>0</v>
      </c>
      <c r="K54" s="58"/>
      <c r="L54" s="58"/>
      <c r="M54" s="220"/>
      <c r="N54" s="58"/>
      <c r="P54" s="218" t="s">
        <v>46</v>
      </c>
      <c r="Q54" s="219">
        <f>Q53-Q52-Q51-Q50-Q49</f>
        <v>0</v>
      </c>
      <c r="R54" s="58"/>
      <c r="S54" s="58"/>
      <c r="T54" s="220"/>
      <c r="U54" s="58"/>
      <c r="W54" s="178" t="s">
        <v>46</v>
      </c>
      <c r="X54" s="219">
        <f>X53-X52-X51-X50-X49</f>
        <v>0</v>
      </c>
      <c r="Y54" s="58"/>
      <c r="Z54" s="58"/>
      <c r="AA54" s="58"/>
      <c r="AB54" s="58"/>
      <c r="AC54" s="166"/>
    </row>
    <row r="55" spans="2:29" ht="15.75" customHeight="1">
      <c r="W55" s="180"/>
      <c r="AA55" s="2"/>
      <c r="AC55" s="166"/>
    </row>
    <row r="56" spans="2:29" ht="15.75" customHeight="1">
      <c r="W56" s="165"/>
      <c r="X56" s="222"/>
      <c r="Y56" s="165"/>
      <c r="Z56" s="165"/>
      <c r="AA56" s="165"/>
      <c r="AB56" s="186"/>
      <c r="AC56" s="166"/>
    </row>
    <row r="57" spans="2:29" ht="15.75" customHeight="1">
      <c r="W57" s="223"/>
      <c r="X57" s="224"/>
      <c r="Y57" s="58"/>
      <c r="Z57" s="58"/>
      <c r="AA57" s="58"/>
      <c r="AB57" s="177"/>
      <c r="AC57" s="166"/>
    </row>
    <row r="58" spans="2:29" s="166" customFormat="1" ht="15.6">
      <c r="B58" s="225" t="s">
        <v>129</v>
      </c>
      <c r="C58" s="204"/>
      <c r="D58" s="204"/>
      <c r="E58" s="204"/>
      <c r="F58" s="205"/>
      <c r="G58" s="204"/>
      <c r="I58" s="225" t="s">
        <v>129</v>
      </c>
      <c r="J58" s="204"/>
      <c r="K58" s="204"/>
      <c r="L58" s="204"/>
      <c r="M58" s="205"/>
      <c r="N58" s="204"/>
      <c r="P58" s="225" t="s">
        <v>129</v>
      </c>
      <c r="Q58" s="204"/>
      <c r="R58" s="204"/>
      <c r="S58" s="204"/>
      <c r="T58" s="205"/>
      <c r="U58" s="204"/>
      <c r="W58" s="225" t="s">
        <v>129</v>
      </c>
      <c r="X58" s="204"/>
      <c r="Y58" s="204"/>
      <c r="Z58" s="204"/>
      <c r="AA58" s="205"/>
      <c r="AB58" s="204"/>
    </row>
    <row r="59" spans="2:29" ht="41.25" customHeight="1">
      <c r="B59" s="206" t="s">
        <v>36</v>
      </c>
      <c r="C59" s="207" t="s">
        <v>37</v>
      </c>
      <c r="D59" s="207" t="s">
        <v>38</v>
      </c>
      <c r="E59" s="207" t="s">
        <v>39</v>
      </c>
      <c r="F59" s="206" t="s">
        <v>40</v>
      </c>
      <c r="G59" s="207" t="s">
        <v>41</v>
      </c>
      <c r="I59" s="206" t="s">
        <v>36</v>
      </c>
      <c r="J59" s="207" t="s">
        <v>37</v>
      </c>
      <c r="K59" s="207" t="s">
        <v>38</v>
      </c>
      <c r="L59" s="207" t="s">
        <v>39</v>
      </c>
      <c r="M59" s="206" t="s">
        <v>40</v>
      </c>
      <c r="N59" s="207" t="s">
        <v>41</v>
      </c>
      <c r="P59" s="206" t="s">
        <v>36</v>
      </c>
      <c r="Q59" s="207" t="s">
        <v>37</v>
      </c>
      <c r="R59" s="207" t="s">
        <v>38</v>
      </c>
      <c r="S59" s="207" t="s">
        <v>39</v>
      </c>
      <c r="T59" s="206" t="s">
        <v>40</v>
      </c>
      <c r="U59" s="207" t="s">
        <v>41</v>
      </c>
      <c r="W59" s="164" t="s">
        <v>36</v>
      </c>
      <c r="X59" s="164" t="s">
        <v>37</v>
      </c>
      <c r="Y59" s="164" t="s">
        <v>38</v>
      </c>
      <c r="Z59" s="164" t="s">
        <v>39</v>
      </c>
      <c r="AA59" s="164" t="s">
        <v>40</v>
      </c>
      <c r="AB59" s="164" t="s">
        <v>41</v>
      </c>
      <c r="AC59" s="166"/>
    </row>
    <row r="60" spans="2:29" ht="27.75" customHeight="1">
      <c r="B60" s="228" t="s">
        <v>42</v>
      </c>
      <c r="C60" s="208">
        <f>COUNTIFS('1. All Data'!$AB$3:$AB$136,"Leader",'1. All Data'!$H$3:$H$136,"Fully Achieved")</f>
        <v>2</v>
      </c>
      <c r="D60" s="209">
        <f>C60/C71</f>
        <v>0.14285714285714285</v>
      </c>
      <c r="E60" s="422">
        <f>D60+D61</f>
        <v>0.85714285714285721</v>
      </c>
      <c r="F60" s="210">
        <f>C60/C72</f>
        <v>0.16666666666666666</v>
      </c>
      <c r="G60" s="424">
        <f>F60+F61</f>
        <v>1</v>
      </c>
      <c r="I60" s="228" t="s">
        <v>42</v>
      </c>
      <c r="J60" s="208">
        <f>COUNTIFS('1. All Data'!$AB$3:$AB$136,"Leader",'1. All Data'!$M$3:$M$136,"Fully Achieved")</f>
        <v>0</v>
      </c>
      <c r="K60" s="209" t="e">
        <f>J60/J71</f>
        <v>#DIV/0!</v>
      </c>
      <c r="L60" s="422" t="e">
        <f>K60+K61</f>
        <v>#DIV/0!</v>
      </c>
      <c r="M60" s="210" t="e">
        <f>J60/J72</f>
        <v>#DIV/0!</v>
      </c>
      <c r="N60" s="424" t="e">
        <f>M60+M61</f>
        <v>#DIV/0!</v>
      </c>
      <c r="P60" s="228" t="s">
        <v>42</v>
      </c>
      <c r="Q60" s="208">
        <f>COUNTIFS('1. All Data'!$AB$3:$AB$136,"Leader",'1. All Data'!$R$3:$R$136,"Fully Achieved")</f>
        <v>0</v>
      </c>
      <c r="R60" s="209" t="e">
        <f>Q60/Q71</f>
        <v>#DIV/0!</v>
      </c>
      <c r="S60" s="422" t="e">
        <f>R60+R61</f>
        <v>#DIV/0!</v>
      </c>
      <c r="T60" s="210" t="e">
        <f>Q60/Q72</f>
        <v>#DIV/0!</v>
      </c>
      <c r="U60" s="424" t="e">
        <f>T60+T61</f>
        <v>#DIV/0!</v>
      </c>
      <c r="W60" s="228" t="s">
        <v>42</v>
      </c>
      <c r="X60" s="208">
        <f>COUNTIFS('1. All Data'!$AB$3:$AB$136,"Leader",'1. All Data'!$V$3:$V$136,"Fully Achieved")</f>
        <v>0</v>
      </c>
      <c r="Y60" s="209" t="e">
        <f>X60/X71</f>
        <v>#DIV/0!</v>
      </c>
      <c r="Z60" s="422" t="e">
        <f>Y60+Y61</f>
        <v>#DIV/0!</v>
      </c>
      <c r="AA60" s="209" t="e">
        <f>X60/X72</f>
        <v>#DIV/0!</v>
      </c>
      <c r="AB60" s="403" t="e">
        <f>AA60+AA61</f>
        <v>#DIV/0!</v>
      </c>
      <c r="AC60" s="166"/>
    </row>
    <row r="61" spans="2:29" ht="27.75" customHeight="1">
      <c r="B61" s="228" t="s">
        <v>25</v>
      </c>
      <c r="C61" s="208">
        <f>COUNTIFS('1. All Data'!$AB$3:$AB$136,"Leader",'1. All Data'!$H$3:$H$136,"On Track to be Achieved")</f>
        <v>10</v>
      </c>
      <c r="D61" s="209">
        <f>C61/C71</f>
        <v>0.7142857142857143</v>
      </c>
      <c r="E61" s="422"/>
      <c r="F61" s="210">
        <f>C61/C72</f>
        <v>0.83333333333333337</v>
      </c>
      <c r="G61" s="424"/>
      <c r="I61" s="228" t="s">
        <v>25</v>
      </c>
      <c r="J61" s="208">
        <f>COUNTIFS('1. All Data'!$AB$3:$AB$136,"Leader",'1. All Data'!$M$3:$M$136,"On Track to be Achieved")</f>
        <v>0</v>
      </c>
      <c r="K61" s="209" t="e">
        <f>J61/J71</f>
        <v>#DIV/0!</v>
      </c>
      <c r="L61" s="422"/>
      <c r="M61" s="210" t="e">
        <f>J61/J72</f>
        <v>#DIV/0!</v>
      </c>
      <c r="N61" s="424"/>
      <c r="P61" s="228" t="s">
        <v>25</v>
      </c>
      <c r="Q61" s="208">
        <f>COUNTIFS('1. All Data'!$AB$3:$AB$136,"Leader",'1. All Data'!$R$3:$R$136,"On Track to be Achieved")</f>
        <v>0</v>
      </c>
      <c r="R61" s="209" t="e">
        <f>Q61/Q71</f>
        <v>#DIV/0!</v>
      </c>
      <c r="S61" s="422"/>
      <c r="T61" s="210" t="e">
        <f>Q61/Q72</f>
        <v>#DIV/0!</v>
      </c>
      <c r="U61" s="424"/>
      <c r="W61" s="228" t="s">
        <v>17</v>
      </c>
      <c r="X61" s="208">
        <f>COUNTIFS('1. All Data'!$AB$3:$AB$136,"Leader",'1. All Data'!$V$3:$V$136,"Numerical Outturn Within 5% Tolerance")</f>
        <v>0</v>
      </c>
      <c r="Y61" s="209" t="e">
        <f>X61/X71</f>
        <v>#DIV/0!</v>
      </c>
      <c r="Z61" s="422"/>
      <c r="AA61" s="209" t="e">
        <f>X61/X72</f>
        <v>#DIV/0!</v>
      </c>
      <c r="AB61" s="403"/>
      <c r="AC61" s="166"/>
    </row>
    <row r="62" spans="2:29" ht="21" customHeight="1">
      <c r="B62" s="434" t="s">
        <v>26</v>
      </c>
      <c r="C62" s="437">
        <f>COUNTIFS('1. All Data'!$AB$3:$AB$136,"Leader",'1. All Data'!$H$3:$H$136,"In Danger of Falling Behind Target")</f>
        <v>0</v>
      </c>
      <c r="D62" s="425">
        <f>C62/C71</f>
        <v>0</v>
      </c>
      <c r="E62" s="425">
        <f>D62</f>
        <v>0</v>
      </c>
      <c r="F62" s="428">
        <f>C62/C72</f>
        <v>0</v>
      </c>
      <c r="G62" s="431">
        <f>F62</f>
        <v>0</v>
      </c>
      <c r="I62" s="434" t="s">
        <v>26</v>
      </c>
      <c r="J62" s="437">
        <f>COUNTIFS('1. All Data'!$AB$3:$AB$136,"Leader",'1. All Data'!$M$3:$M$136,"In Danger of Falling Behind Target")</f>
        <v>0</v>
      </c>
      <c r="K62" s="425" t="e">
        <f>J62/J71</f>
        <v>#DIV/0!</v>
      </c>
      <c r="L62" s="425" t="e">
        <f>K62</f>
        <v>#DIV/0!</v>
      </c>
      <c r="M62" s="428" t="e">
        <f>J62/J72</f>
        <v>#DIV/0!</v>
      </c>
      <c r="N62" s="431" t="e">
        <f>M62</f>
        <v>#DIV/0!</v>
      </c>
      <c r="P62" s="434" t="s">
        <v>26</v>
      </c>
      <c r="Q62" s="437">
        <f>COUNTIFS('1. All Data'!$AB$3:$AB$136,"Leader",'1. All Data'!$R$3:$R$136,"In Danger of Falling Behind Target")</f>
        <v>0</v>
      </c>
      <c r="R62" s="425" t="e">
        <f>Q62/Q71</f>
        <v>#DIV/0!</v>
      </c>
      <c r="S62" s="425" t="e">
        <f>R62</f>
        <v>#DIV/0!</v>
      </c>
      <c r="T62" s="428" t="e">
        <f>Q62/Q72</f>
        <v>#DIV/0!</v>
      </c>
      <c r="U62" s="431" t="e">
        <f>T62</f>
        <v>#DIV/0!</v>
      </c>
      <c r="W62" s="169" t="s">
        <v>18</v>
      </c>
      <c r="X62" s="170">
        <f>COUNTIFS('1. All Data'!$AB$3:$AB$136,"Leader",'1. All Data'!$V$3:$V$136,"Numerical Outturn Within 10% Tolerance")</f>
        <v>0</v>
      </c>
      <c r="Y62" s="168" t="e">
        <f>X62/X71</f>
        <v>#DIV/0!</v>
      </c>
      <c r="Z62" s="401" t="e">
        <f>SUM(Y62:Y64)</f>
        <v>#DIV/0!</v>
      </c>
      <c r="AA62" s="168" t="e">
        <f>X62/X72</f>
        <v>#DIV/0!</v>
      </c>
      <c r="AB62" s="410" t="e">
        <f>SUM(AA62:AA64)</f>
        <v>#DIV/0!</v>
      </c>
      <c r="AC62" s="166"/>
    </row>
    <row r="63" spans="2:29" ht="18.75" customHeight="1">
      <c r="B63" s="435"/>
      <c r="C63" s="438"/>
      <c r="D63" s="426"/>
      <c r="E63" s="426"/>
      <c r="F63" s="429"/>
      <c r="G63" s="432"/>
      <c r="I63" s="435"/>
      <c r="J63" s="438"/>
      <c r="K63" s="426"/>
      <c r="L63" s="426"/>
      <c r="M63" s="429"/>
      <c r="N63" s="432"/>
      <c r="P63" s="435"/>
      <c r="Q63" s="438"/>
      <c r="R63" s="426"/>
      <c r="S63" s="426"/>
      <c r="T63" s="429"/>
      <c r="U63" s="432"/>
      <c r="W63" s="169" t="s">
        <v>19</v>
      </c>
      <c r="X63" s="170">
        <f>COUNTIFS('1. All Data'!$AB$3:$AB$136,"Leader",'1. All Data'!$V$3:$V$136,"Target Partially Met")</f>
        <v>0</v>
      </c>
      <c r="Y63" s="168" t="e">
        <f>X63/X71</f>
        <v>#DIV/0!</v>
      </c>
      <c r="Z63" s="401"/>
      <c r="AA63" s="168" t="e">
        <f>X63/X72</f>
        <v>#DIV/0!</v>
      </c>
      <c r="AB63" s="410"/>
      <c r="AC63" s="166"/>
    </row>
    <row r="64" spans="2:29" ht="20.25" customHeight="1">
      <c r="B64" s="436"/>
      <c r="C64" s="439"/>
      <c r="D64" s="427"/>
      <c r="E64" s="427"/>
      <c r="F64" s="430"/>
      <c r="G64" s="433"/>
      <c r="I64" s="436"/>
      <c r="J64" s="439"/>
      <c r="K64" s="427"/>
      <c r="L64" s="427"/>
      <c r="M64" s="430"/>
      <c r="N64" s="433"/>
      <c r="P64" s="436"/>
      <c r="Q64" s="439"/>
      <c r="R64" s="427"/>
      <c r="S64" s="427"/>
      <c r="T64" s="430"/>
      <c r="U64" s="433"/>
      <c r="W64" s="169" t="s">
        <v>22</v>
      </c>
      <c r="X64" s="170">
        <f>COUNTIFS('1. All Data'!$AB$3:$AB$136,"Leader",'1. All Data'!$V$3:$V$136,"Completion Date Within Reasonable Tolerance")</f>
        <v>0</v>
      </c>
      <c r="Y64" s="168" t="e">
        <f>X64/X71</f>
        <v>#DIV/0!</v>
      </c>
      <c r="Z64" s="401"/>
      <c r="AA64" s="168" t="e">
        <f>X64/X72</f>
        <v>#DIV/0!</v>
      </c>
      <c r="AB64" s="410"/>
      <c r="AC64" s="166"/>
    </row>
    <row r="65" spans="2:29" ht="30" customHeight="1">
      <c r="B65" s="211" t="s">
        <v>27</v>
      </c>
      <c r="C65" s="208">
        <f>COUNTIFS('1. All Data'!$AB$3:$AB$136,"Leader",'1. All Data'!$H$3:$H$136,"Completed Behind Schedule")</f>
        <v>0</v>
      </c>
      <c r="D65" s="209">
        <f>C65/C71</f>
        <v>0</v>
      </c>
      <c r="E65" s="422">
        <f>D65+D66</f>
        <v>0</v>
      </c>
      <c r="F65" s="210">
        <f>C65/C72</f>
        <v>0</v>
      </c>
      <c r="G65" s="423">
        <f>F65+F66</f>
        <v>0</v>
      </c>
      <c r="I65" s="211" t="s">
        <v>27</v>
      </c>
      <c r="J65" s="208">
        <f>COUNTIFS('1. All Data'!$AB$3:$AB$136,"Leader",'1. All Data'!$M$3:$M$136,"Completed Behind Schedule")</f>
        <v>0</v>
      </c>
      <c r="K65" s="209" t="e">
        <f>J65/J71</f>
        <v>#DIV/0!</v>
      </c>
      <c r="L65" s="422" t="e">
        <f>K65+K66</f>
        <v>#DIV/0!</v>
      </c>
      <c r="M65" s="210" t="e">
        <f>J65/J72</f>
        <v>#DIV/0!</v>
      </c>
      <c r="N65" s="423" t="e">
        <f>M65+M66</f>
        <v>#DIV/0!</v>
      </c>
      <c r="P65" s="211" t="s">
        <v>27</v>
      </c>
      <c r="Q65" s="208">
        <f>COUNTIFS('1. All Data'!$AB$3:$AB$136,"Leader",'1. All Data'!$R$3:$R$136,"Completed Behind Schedule")</f>
        <v>0</v>
      </c>
      <c r="R65" s="209" t="e">
        <f>Q65/Q71</f>
        <v>#DIV/0!</v>
      </c>
      <c r="S65" s="422" t="e">
        <f>R65+R66</f>
        <v>#DIV/0!</v>
      </c>
      <c r="T65" s="210" t="e">
        <f>Q65/Q72</f>
        <v>#DIV/0!</v>
      </c>
      <c r="U65" s="423" t="e">
        <f>T65+T66</f>
        <v>#DIV/0!</v>
      </c>
      <c r="W65" s="171" t="s">
        <v>21</v>
      </c>
      <c r="X65" s="208">
        <f>COUNTIFS('1. All Data'!$AB$3:$AB$136,"Leader",'1. All Data'!$V$3:$V$136,"Completed Significantly After Target Deadline")</f>
        <v>0</v>
      </c>
      <c r="Y65" s="209" t="e">
        <f>X65/X71</f>
        <v>#DIV/0!</v>
      </c>
      <c r="Z65" s="422" t="e">
        <f>Y65+Y66</f>
        <v>#DIV/0!</v>
      </c>
      <c r="AA65" s="168" t="e">
        <f>X65/X72</f>
        <v>#DIV/0!</v>
      </c>
      <c r="AB65" s="402" t="e">
        <f>AA65+AA66</f>
        <v>#DIV/0!</v>
      </c>
      <c r="AC65" s="166"/>
    </row>
    <row r="66" spans="2:29" ht="30" customHeight="1">
      <c r="B66" s="211" t="s">
        <v>20</v>
      </c>
      <c r="C66" s="208">
        <f>COUNTIFS('1. All Data'!$AB$3:$AB$136,"Leader",'1. All Data'!$H$3:$H$136,"Off Target")</f>
        <v>0</v>
      </c>
      <c r="D66" s="209">
        <f>C66/C71</f>
        <v>0</v>
      </c>
      <c r="E66" s="422"/>
      <c r="F66" s="210">
        <f>C66/C72</f>
        <v>0</v>
      </c>
      <c r="G66" s="423"/>
      <c r="I66" s="211" t="s">
        <v>20</v>
      </c>
      <c r="J66" s="208">
        <f>COUNTIFS('1. All Data'!$AB$3:$AB$136,"Leader",'1. All Data'!$M$3:$M$136,"Off Target")</f>
        <v>0</v>
      </c>
      <c r="K66" s="209" t="e">
        <f>J66/J71</f>
        <v>#DIV/0!</v>
      </c>
      <c r="L66" s="422"/>
      <c r="M66" s="210" t="e">
        <f>J66/J72</f>
        <v>#DIV/0!</v>
      </c>
      <c r="N66" s="423"/>
      <c r="P66" s="211" t="s">
        <v>20</v>
      </c>
      <c r="Q66" s="208">
        <f>COUNTIFS('1. All Data'!$AB$3:$AB$136,"Leader",'1. All Data'!$R$3:$R$136,"Off Target")</f>
        <v>0</v>
      </c>
      <c r="R66" s="209" t="e">
        <f>Q66/Q71</f>
        <v>#DIV/0!</v>
      </c>
      <c r="S66" s="422"/>
      <c r="T66" s="210" t="e">
        <f>Q66/Q72</f>
        <v>#DIV/0!</v>
      </c>
      <c r="U66" s="423"/>
      <c r="W66" s="171" t="s">
        <v>20</v>
      </c>
      <c r="X66" s="208">
        <f>COUNTIFS('1. All Data'!$AB$3:$AB$136,"Leader",'1. All Data'!$V$3:$V$136,"Off Target")</f>
        <v>0</v>
      </c>
      <c r="Y66" s="209" t="e">
        <f>X66/X71</f>
        <v>#DIV/0!</v>
      </c>
      <c r="Z66" s="422"/>
      <c r="AA66" s="168" t="e">
        <f>X66/X72</f>
        <v>#DIV/0!</v>
      </c>
      <c r="AB66" s="402"/>
      <c r="AC66" s="166"/>
    </row>
    <row r="67" spans="2:29" ht="15.75" customHeight="1">
      <c r="B67" s="212" t="s">
        <v>43</v>
      </c>
      <c r="C67" s="208">
        <f>COUNTIFS('1. All Data'!$AB$3:$AB$136,"Leader",'1. All Data'!$H$3:$H$136,"Not yet due")</f>
        <v>2</v>
      </c>
      <c r="D67" s="213">
        <f>C67/C71</f>
        <v>0.14285714285714285</v>
      </c>
      <c r="E67" s="213">
        <f>D67</f>
        <v>0.14285714285714285</v>
      </c>
      <c r="F67" s="214"/>
      <c r="G67" s="58"/>
      <c r="I67" s="212" t="s">
        <v>43</v>
      </c>
      <c r="J67" s="208">
        <f>COUNTIFS('1. All Data'!$AB$3:$AB$136,"Leader",'1. All Data'!$M$3:$M$136,"Not yet due")</f>
        <v>0</v>
      </c>
      <c r="K67" s="213" t="e">
        <f>J67/J71</f>
        <v>#DIV/0!</v>
      </c>
      <c r="L67" s="213" t="e">
        <f>K67</f>
        <v>#DIV/0!</v>
      </c>
      <c r="M67" s="214"/>
      <c r="N67" s="58"/>
      <c r="P67" s="212" t="s">
        <v>43</v>
      </c>
      <c r="Q67" s="208">
        <f>COUNTIFS('1. All Data'!$AB$3:$AB$136,"Leader",'1. All Data'!$R$3:$R$136,"Not yet due")</f>
        <v>0</v>
      </c>
      <c r="R67" s="213" t="e">
        <f>Q67/Q71</f>
        <v>#DIV/0!</v>
      </c>
      <c r="S67" s="213" t="e">
        <f>R67</f>
        <v>#DIV/0!</v>
      </c>
      <c r="T67" s="214"/>
      <c r="U67" s="58"/>
      <c r="W67" s="172" t="s">
        <v>43</v>
      </c>
      <c r="X67" s="208">
        <f>COUNTIFS('1. All Data'!$AB$3:$AB$136,"Leader",'1. All Data'!$V$3:$V$136,"Not yet due")</f>
        <v>0</v>
      </c>
      <c r="Y67" s="213" t="e">
        <f>X67/X71</f>
        <v>#DIV/0!</v>
      </c>
      <c r="Z67" s="213" t="e">
        <f>Y67</f>
        <v>#DIV/0!</v>
      </c>
      <c r="AA67" s="174"/>
      <c r="AB67" s="58"/>
      <c r="AC67" s="166"/>
    </row>
    <row r="68" spans="2:29" ht="15.75" customHeight="1">
      <c r="B68" s="212" t="s">
        <v>15</v>
      </c>
      <c r="C68" s="208">
        <f>COUNTIFS('1. All Data'!$AB$3:$AB$136,"Leader",'1. All Data'!$H$3:$H$136,"Update not provided")</f>
        <v>0</v>
      </c>
      <c r="D68" s="213">
        <f>C68/C71</f>
        <v>0</v>
      </c>
      <c r="E68" s="213">
        <f>D68</f>
        <v>0</v>
      </c>
      <c r="F68" s="214"/>
      <c r="G68" s="2"/>
      <c r="I68" s="212" t="s">
        <v>15</v>
      </c>
      <c r="J68" s="208">
        <f>COUNTIFS('1. All Data'!$AB$3:$AB$136,"Leader",'1. All Data'!$M$3:$M$136,"Update not provided")</f>
        <v>0</v>
      </c>
      <c r="K68" s="213" t="e">
        <f>J68/J71</f>
        <v>#DIV/0!</v>
      </c>
      <c r="L68" s="213" t="e">
        <f>K68</f>
        <v>#DIV/0!</v>
      </c>
      <c r="M68" s="214"/>
      <c r="N68" s="2"/>
      <c r="P68" s="212" t="s">
        <v>15</v>
      </c>
      <c r="Q68" s="208">
        <f>COUNTIFS('1. All Data'!$AB$3:$AB$136,"Leader",'1. All Data'!$R$3:$R$136,"Update not provided")</f>
        <v>0</v>
      </c>
      <c r="R68" s="213" t="e">
        <f>Q68/Q71</f>
        <v>#DIV/0!</v>
      </c>
      <c r="S68" s="213" t="e">
        <f>R68</f>
        <v>#DIV/0!</v>
      </c>
      <c r="T68" s="214"/>
      <c r="U68" s="2"/>
      <c r="W68" s="172" t="s">
        <v>15</v>
      </c>
      <c r="X68" s="208">
        <f>COUNTIFS('1. All Data'!$AB$3:$AB$136,"Leader",'1. All Data'!$V$3:$V$136,"Update not provided")</f>
        <v>0</v>
      </c>
      <c r="Y68" s="213" t="e">
        <f>X68/X71</f>
        <v>#DIV/0!</v>
      </c>
      <c r="Z68" s="213" t="e">
        <f>Y68</f>
        <v>#DIV/0!</v>
      </c>
      <c r="AA68" s="174"/>
      <c r="AB68" s="2"/>
      <c r="AC68" s="166"/>
    </row>
    <row r="69" spans="2:29" ht="15.75" customHeight="1">
      <c r="B69" s="215" t="s">
        <v>23</v>
      </c>
      <c r="C69" s="208">
        <f>COUNTIFS('1. All Data'!$AB$3:$AB$136,"Leader",'1. All Data'!$H$3:$H$136,"Deferred")</f>
        <v>0</v>
      </c>
      <c r="D69" s="216">
        <f>C69/C71</f>
        <v>0</v>
      </c>
      <c r="E69" s="216">
        <f>D69</f>
        <v>0</v>
      </c>
      <c r="F69" s="217"/>
      <c r="G69" s="58"/>
      <c r="I69" s="215" t="s">
        <v>23</v>
      </c>
      <c r="J69" s="208">
        <f>COUNTIFS('1. All Data'!$AB$3:$AB$136,"Leader",'1. All Data'!$M$3:$M$136,"Deferred")</f>
        <v>0</v>
      </c>
      <c r="K69" s="216" t="e">
        <f>J69/J71</f>
        <v>#DIV/0!</v>
      </c>
      <c r="L69" s="216" t="e">
        <f>K69</f>
        <v>#DIV/0!</v>
      </c>
      <c r="M69" s="217"/>
      <c r="N69" s="58"/>
      <c r="P69" s="215" t="s">
        <v>23</v>
      </c>
      <c r="Q69" s="208">
        <f>COUNTIFS('1. All Data'!$AB$3:$AB$136,"Leader",'1. All Data'!$R$3:$R$136,"Deferred")</f>
        <v>0</v>
      </c>
      <c r="R69" s="216" t="e">
        <f>Q69/Q71</f>
        <v>#DIV/0!</v>
      </c>
      <c r="S69" s="216" t="e">
        <f>R69</f>
        <v>#DIV/0!</v>
      </c>
      <c r="T69" s="217"/>
      <c r="U69" s="58"/>
      <c r="W69" s="175" t="s">
        <v>23</v>
      </c>
      <c r="X69" s="208">
        <f>COUNTIFS('1. All Data'!$AB$3:$AB$136,"Leader",'1. All Data'!$V$3:$V$136,"Deferred")</f>
        <v>0</v>
      </c>
      <c r="Y69" s="216" t="e">
        <f>X69/X71</f>
        <v>#DIV/0!</v>
      </c>
      <c r="Z69" s="216" t="e">
        <f>Y69</f>
        <v>#DIV/0!</v>
      </c>
      <c r="AA69" s="177"/>
      <c r="AB69" s="58"/>
      <c r="AC69" s="166"/>
    </row>
    <row r="70" spans="2:29" ht="15.75" customHeight="1">
      <c r="B70" s="215" t="s">
        <v>24</v>
      </c>
      <c r="C70" s="208">
        <f>COUNTIFS('1. All Data'!$AB$3:$AB$136,"Leader",'1. All Data'!$H$3:$H$136,"Deleted")</f>
        <v>0</v>
      </c>
      <c r="D70" s="216">
        <f>C70/C71</f>
        <v>0</v>
      </c>
      <c r="E70" s="216">
        <f>D70</f>
        <v>0</v>
      </c>
      <c r="F70" s="217"/>
      <c r="G70" s="29"/>
      <c r="I70" s="215" t="s">
        <v>24</v>
      </c>
      <c r="J70" s="208">
        <f>COUNTIFS('1. All Data'!$AB$3:$AB$136,"Leader",'1. All Data'!$M$3:$M$136,"Deleted")</f>
        <v>0</v>
      </c>
      <c r="K70" s="216" t="e">
        <f>J70/J71</f>
        <v>#DIV/0!</v>
      </c>
      <c r="L70" s="216" t="e">
        <f>K70</f>
        <v>#DIV/0!</v>
      </c>
      <c r="M70" s="217"/>
      <c r="N70" s="29"/>
      <c r="P70" s="215" t="s">
        <v>24</v>
      </c>
      <c r="Q70" s="208">
        <f>COUNTIFS('1. All Data'!$AB$3:$AB$136,"Leader",'1. All Data'!$R$3:$R$136,"Deleted")</f>
        <v>0</v>
      </c>
      <c r="R70" s="216" t="e">
        <f>Q70/Q71</f>
        <v>#DIV/0!</v>
      </c>
      <c r="S70" s="216" t="e">
        <f>R70</f>
        <v>#DIV/0!</v>
      </c>
      <c r="T70" s="217"/>
      <c r="U70" s="29"/>
      <c r="W70" s="175" t="s">
        <v>24</v>
      </c>
      <c r="X70" s="208">
        <f>COUNTIFS('1. All Data'!$AB$3:$AB$136,"Leader",'1. All Data'!$V$3:$V$136,"Deleted")</f>
        <v>0</v>
      </c>
      <c r="Y70" s="216" t="e">
        <f>X70/X71</f>
        <v>#DIV/0!</v>
      </c>
      <c r="Z70" s="216" t="e">
        <f>Y70</f>
        <v>#DIV/0!</v>
      </c>
      <c r="AA70" s="177"/>
      <c r="AB70" s="3"/>
      <c r="AC70" s="166"/>
    </row>
    <row r="71" spans="2:29" ht="15.75" customHeight="1">
      <c r="B71" s="218" t="s">
        <v>45</v>
      </c>
      <c r="C71" s="219">
        <f>SUM(C60:C70)</f>
        <v>14</v>
      </c>
      <c r="D71" s="177"/>
      <c r="E71" s="177"/>
      <c r="F71" s="220"/>
      <c r="G71" s="58"/>
      <c r="I71" s="218" t="s">
        <v>45</v>
      </c>
      <c r="J71" s="219">
        <f>SUM(J60:J70)</f>
        <v>0</v>
      </c>
      <c r="K71" s="177"/>
      <c r="L71" s="177"/>
      <c r="M71" s="220"/>
      <c r="N71" s="58"/>
      <c r="P71" s="218" t="s">
        <v>45</v>
      </c>
      <c r="Q71" s="219">
        <f>SUM(Q60:Q70)</f>
        <v>0</v>
      </c>
      <c r="R71" s="177"/>
      <c r="S71" s="177"/>
      <c r="T71" s="220"/>
      <c r="U71" s="58"/>
      <c r="W71" s="178" t="s">
        <v>45</v>
      </c>
      <c r="X71" s="219">
        <f>SUM(X60:X70)</f>
        <v>0</v>
      </c>
      <c r="Y71" s="177"/>
      <c r="Z71" s="177"/>
      <c r="AA71" s="58"/>
      <c r="AB71" s="58"/>
      <c r="AC71" s="166"/>
    </row>
    <row r="72" spans="2:29" ht="15.75" customHeight="1">
      <c r="B72" s="218" t="s">
        <v>46</v>
      </c>
      <c r="C72" s="219">
        <f>C71-C70-C69-C68-C67</f>
        <v>12</v>
      </c>
      <c r="D72" s="58"/>
      <c r="E72" s="58"/>
      <c r="F72" s="220"/>
      <c r="G72" s="58"/>
      <c r="I72" s="218" t="s">
        <v>46</v>
      </c>
      <c r="J72" s="219">
        <f>J71-J70-J69-J68-J67</f>
        <v>0</v>
      </c>
      <c r="K72" s="58"/>
      <c r="L72" s="58"/>
      <c r="M72" s="220"/>
      <c r="N72" s="58"/>
      <c r="P72" s="218" t="s">
        <v>46</v>
      </c>
      <c r="Q72" s="219">
        <f>Q71-Q70-Q69-Q68-Q67</f>
        <v>0</v>
      </c>
      <c r="R72" s="58"/>
      <c r="S72" s="58"/>
      <c r="T72" s="220"/>
      <c r="U72" s="58"/>
      <c r="W72" s="178" t="s">
        <v>46</v>
      </c>
      <c r="X72" s="219">
        <f>X71-X70-X69-X68-X67</f>
        <v>0</v>
      </c>
      <c r="Y72" s="58"/>
      <c r="Z72" s="58"/>
      <c r="AA72" s="58"/>
      <c r="AB72" s="58"/>
      <c r="AC72" s="166"/>
    </row>
    <row r="73" spans="2:29" ht="15.75" customHeight="1">
      <c r="W73" s="180"/>
      <c r="AA73" s="2"/>
      <c r="AC73" s="166"/>
    </row>
    <row r="74" spans="2:29" ht="15.75" customHeight="1">
      <c r="W74" s="165"/>
      <c r="X74" s="165"/>
      <c r="Y74" s="165"/>
      <c r="Z74" s="165"/>
      <c r="AA74" s="165"/>
      <c r="AB74" s="186"/>
      <c r="AC74" s="166"/>
    </row>
    <row r="75" spans="2:29" s="166" customFormat="1" ht="15.75" customHeight="1">
      <c r="B75" s="187"/>
      <c r="C75" s="165"/>
      <c r="D75" s="165"/>
      <c r="E75" s="165"/>
      <c r="F75" s="220"/>
      <c r="G75" s="165"/>
      <c r="I75" s="187"/>
      <c r="J75" s="165"/>
      <c r="K75" s="165"/>
      <c r="L75" s="165"/>
      <c r="M75" s="220"/>
      <c r="N75" s="165"/>
      <c r="P75" s="187"/>
      <c r="Q75" s="165"/>
      <c r="R75" s="165"/>
      <c r="S75" s="165"/>
      <c r="T75" s="220"/>
      <c r="U75" s="165"/>
      <c r="W75" s="165"/>
      <c r="X75" s="165"/>
      <c r="Y75" s="165"/>
      <c r="Z75" s="165"/>
      <c r="AA75" s="165"/>
      <c r="AB75" s="186"/>
    </row>
    <row r="76" spans="2:29" s="166" customFormat="1" ht="15.6">
      <c r="B76" s="225" t="s">
        <v>116</v>
      </c>
      <c r="C76" s="204"/>
      <c r="D76" s="204"/>
      <c r="E76" s="204"/>
      <c r="F76" s="205"/>
      <c r="G76" s="204"/>
      <c r="I76" s="225" t="s">
        <v>116</v>
      </c>
      <c r="J76" s="204"/>
      <c r="K76" s="204"/>
      <c r="L76" s="204"/>
      <c r="M76" s="205"/>
      <c r="N76" s="204"/>
      <c r="P76" s="225" t="s">
        <v>116</v>
      </c>
      <c r="Q76" s="204"/>
      <c r="R76" s="204"/>
      <c r="S76" s="204"/>
      <c r="T76" s="205"/>
      <c r="U76" s="204"/>
      <c r="W76" s="225" t="s">
        <v>116</v>
      </c>
      <c r="X76" s="204"/>
      <c r="Y76" s="204"/>
      <c r="Z76" s="204"/>
      <c r="AA76" s="205"/>
      <c r="AB76" s="204"/>
    </row>
    <row r="77" spans="2:29" ht="36" customHeight="1">
      <c r="B77" s="206" t="s">
        <v>36</v>
      </c>
      <c r="C77" s="207" t="s">
        <v>37</v>
      </c>
      <c r="D77" s="207" t="s">
        <v>38</v>
      </c>
      <c r="E77" s="207" t="s">
        <v>39</v>
      </c>
      <c r="F77" s="206" t="s">
        <v>40</v>
      </c>
      <c r="G77" s="207" t="s">
        <v>41</v>
      </c>
      <c r="I77" s="206" t="s">
        <v>36</v>
      </c>
      <c r="J77" s="207" t="s">
        <v>37</v>
      </c>
      <c r="K77" s="207" t="s">
        <v>38</v>
      </c>
      <c r="L77" s="207" t="s">
        <v>39</v>
      </c>
      <c r="M77" s="206" t="s">
        <v>40</v>
      </c>
      <c r="N77" s="207" t="s">
        <v>41</v>
      </c>
      <c r="P77" s="206" t="s">
        <v>36</v>
      </c>
      <c r="Q77" s="207" t="s">
        <v>37</v>
      </c>
      <c r="R77" s="207" t="s">
        <v>38</v>
      </c>
      <c r="S77" s="207" t="s">
        <v>39</v>
      </c>
      <c r="T77" s="206" t="s">
        <v>40</v>
      </c>
      <c r="U77" s="207" t="s">
        <v>41</v>
      </c>
      <c r="W77" s="164" t="s">
        <v>36</v>
      </c>
      <c r="X77" s="164" t="s">
        <v>37</v>
      </c>
      <c r="Y77" s="164" t="s">
        <v>38</v>
      </c>
      <c r="Z77" s="164" t="s">
        <v>39</v>
      </c>
      <c r="AA77" s="164" t="s">
        <v>40</v>
      </c>
      <c r="AB77" s="164" t="s">
        <v>41</v>
      </c>
      <c r="AC77" s="166"/>
    </row>
    <row r="78" spans="2:29" ht="18.75" customHeight="1">
      <c r="B78" s="228" t="s">
        <v>42</v>
      </c>
      <c r="C78" s="208">
        <f>COUNTIFS('1. All Data'!$AB$3:$AB$136,"Regeneration and Development",'1. All Data'!$H$3:$H$136,"Fully Achieved")</f>
        <v>3</v>
      </c>
      <c r="D78" s="209">
        <f>C78/C89</f>
        <v>0.15</v>
      </c>
      <c r="E78" s="422">
        <f>D78+D79</f>
        <v>0.85</v>
      </c>
      <c r="F78" s="210">
        <f>C78/C90</f>
        <v>0.15789473684210525</v>
      </c>
      <c r="G78" s="424">
        <f>F78+F79</f>
        <v>0.89473684210526305</v>
      </c>
      <c r="I78" s="228" t="s">
        <v>42</v>
      </c>
      <c r="J78" s="208">
        <f>COUNTIFS('1. All Data'!$AB$3:$AB$136,"Regeneration and Development",'1. All Data'!$M$3:$M$136,"Fully Achieved")</f>
        <v>0</v>
      </c>
      <c r="K78" s="209" t="e">
        <f>J78/J89</f>
        <v>#DIV/0!</v>
      </c>
      <c r="L78" s="422" t="e">
        <f>K78+K79</f>
        <v>#DIV/0!</v>
      </c>
      <c r="M78" s="210" t="e">
        <f>J78/J90</f>
        <v>#DIV/0!</v>
      </c>
      <c r="N78" s="424" t="e">
        <f>M78+M79</f>
        <v>#DIV/0!</v>
      </c>
      <c r="P78" s="228" t="s">
        <v>42</v>
      </c>
      <c r="Q78" s="208">
        <f>COUNTIFS('1. All Data'!$AB$3:$AB$136,"Regeneration and Development",'1. All Data'!$R$3:$R$136,"Fully Achieved")</f>
        <v>0</v>
      </c>
      <c r="R78" s="209" t="e">
        <f>Q78/Q89</f>
        <v>#DIV/0!</v>
      </c>
      <c r="S78" s="422" t="e">
        <f>R78+R79</f>
        <v>#DIV/0!</v>
      </c>
      <c r="T78" s="210" t="e">
        <f>Q78/Q90</f>
        <v>#DIV/0!</v>
      </c>
      <c r="U78" s="424" t="e">
        <f>T78+T79</f>
        <v>#DIV/0!</v>
      </c>
      <c r="W78" s="228" t="s">
        <v>42</v>
      </c>
      <c r="X78" s="208">
        <f>COUNTIFS('1. All Data'!$AB$3:$AB$136,"Regeneration and Development",'1. All Data'!$V$3:$V$136,"Fully Achieved")</f>
        <v>0</v>
      </c>
      <c r="Y78" s="209" t="e">
        <f>X78/X89</f>
        <v>#DIV/0!</v>
      </c>
      <c r="Z78" s="422" t="e">
        <f>Y78+Y79</f>
        <v>#DIV/0!</v>
      </c>
      <c r="AA78" s="209" t="e">
        <f>X78/X90</f>
        <v>#DIV/0!</v>
      </c>
      <c r="AB78" s="403" t="e">
        <f>AA78+AA79</f>
        <v>#DIV/0!</v>
      </c>
      <c r="AC78" s="166"/>
    </row>
    <row r="79" spans="2:29" ht="18.75" customHeight="1">
      <c r="B79" s="228" t="s">
        <v>25</v>
      </c>
      <c r="C79" s="208">
        <f>COUNTIFS('1. All Data'!$AB$3:$AB$136,"Regeneration and Development",'1. All Data'!$H$3:$H$136,"On Track to be Achieved")</f>
        <v>14</v>
      </c>
      <c r="D79" s="209">
        <f>C79/C89</f>
        <v>0.7</v>
      </c>
      <c r="E79" s="422"/>
      <c r="F79" s="210">
        <f>C79/C90</f>
        <v>0.73684210526315785</v>
      </c>
      <c r="G79" s="424"/>
      <c r="I79" s="228" t="s">
        <v>25</v>
      </c>
      <c r="J79" s="208">
        <f>COUNTIFS('1. All Data'!$AB$3:$AB$136,"Regeneration and Development",'1. All Data'!$M$3:$M$136,"On Track to be Achieved")</f>
        <v>0</v>
      </c>
      <c r="K79" s="209" t="e">
        <f>J79/J89</f>
        <v>#DIV/0!</v>
      </c>
      <c r="L79" s="422"/>
      <c r="M79" s="210" t="e">
        <f>J79/J90</f>
        <v>#DIV/0!</v>
      </c>
      <c r="N79" s="424"/>
      <c r="P79" s="228" t="s">
        <v>25</v>
      </c>
      <c r="Q79" s="208">
        <f>COUNTIFS('1. All Data'!$AB$3:$AB$136,"Regeneration and Development",'1. All Data'!$R$3:$R$136,"On Track to be Achieved")</f>
        <v>0</v>
      </c>
      <c r="R79" s="209" t="e">
        <f>Q79/Q89</f>
        <v>#DIV/0!</v>
      </c>
      <c r="S79" s="422"/>
      <c r="T79" s="210" t="e">
        <f>Q79/Q90</f>
        <v>#DIV/0!</v>
      </c>
      <c r="U79" s="424"/>
      <c r="W79" s="228" t="s">
        <v>17</v>
      </c>
      <c r="X79" s="208">
        <f>COUNTIFS('1. All Data'!$AB$3:$AB$136,"Regeneration and Development",'1. All Data'!$V$3:$V$136,"Numerical Outturn Within 5% Tolerance")</f>
        <v>0</v>
      </c>
      <c r="Y79" s="209" t="e">
        <f>X79/X89</f>
        <v>#DIV/0!</v>
      </c>
      <c r="Z79" s="422"/>
      <c r="AA79" s="209" t="e">
        <f>X79/X90</f>
        <v>#DIV/0!</v>
      </c>
      <c r="AB79" s="403"/>
      <c r="AC79" s="166"/>
    </row>
    <row r="80" spans="2:29" ht="16.5" customHeight="1">
      <c r="B80" s="434" t="s">
        <v>26</v>
      </c>
      <c r="C80" s="437">
        <f>COUNTIFS('1. All Data'!$AB$3:$AB$136,"Regeneration and Development",'1. All Data'!$H$3:$H$136,"In Danger of Falling Behind Target")</f>
        <v>1</v>
      </c>
      <c r="D80" s="425">
        <f>C80/C89</f>
        <v>0.05</v>
      </c>
      <c r="E80" s="425">
        <f>D80</f>
        <v>0.05</v>
      </c>
      <c r="F80" s="428">
        <f>C80/C90</f>
        <v>5.2631578947368418E-2</v>
      </c>
      <c r="G80" s="431">
        <f>F80</f>
        <v>5.2631578947368418E-2</v>
      </c>
      <c r="I80" s="434" t="s">
        <v>26</v>
      </c>
      <c r="J80" s="437">
        <f>COUNTIFS('1. All Data'!$AB$3:$AB$136,"Regeneration and Development",'1. All Data'!$M$3:$M$136,"In Danger of Falling Behind Target")</f>
        <v>0</v>
      </c>
      <c r="K80" s="425" t="e">
        <f>J80/J89</f>
        <v>#DIV/0!</v>
      </c>
      <c r="L80" s="425" t="e">
        <f>K80</f>
        <v>#DIV/0!</v>
      </c>
      <c r="M80" s="428" t="e">
        <f>J80/J90</f>
        <v>#DIV/0!</v>
      </c>
      <c r="N80" s="431" t="e">
        <f>M80</f>
        <v>#DIV/0!</v>
      </c>
      <c r="P80" s="434" t="s">
        <v>26</v>
      </c>
      <c r="Q80" s="437">
        <f>COUNTIFS('1. All Data'!$AB$3:$AB$136,"Regeneration and Development",'1. All Data'!$R$3:$R$136,"In Danger of Falling Behind Target")</f>
        <v>0</v>
      </c>
      <c r="R80" s="425" t="e">
        <f>Q80/Q89</f>
        <v>#DIV/0!</v>
      </c>
      <c r="S80" s="425" t="e">
        <f>R80</f>
        <v>#DIV/0!</v>
      </c>
      <c r="T80" s="428" t="e">
        <f>Q80/Q90</f>
        <v>#DIV/0!</v>
      </c>
      <c r="U80" s="431" t="e">
        <f>T80</f>
        <v>#DIV/0!</v>
      </c>
      <c r="W80" s="169" t="s">
        <v>18</v>
      </c>
      <c r="X80" s="170">
        <f>COUNTIFS('1. All Data'!$AB$3:$AB$136,"Regeneration and Development",'1. All Data'!$V$3:$V$136,"Numerical Outturn Within 10% Tolerance")</f>
        <v>0</v>
      </c>
      <c r="Y80" s="168" t="e">
        <f>X80/X89</f>
        <v>#DIV/0!</v>
      </c>
      <c r="Z80" s="401" t="e">
        <f>SUM(Y80:Y82)</f>
        <v>#DIV/0!</v>
      </c>
      <c r="AA80" s="168" t="e">
        <f>X80/X90</f>
        <v>#DIV/0!</v>
      </c>
      <c r="AB80" s="410" t="e">
        <f>SUM(AA80:AA82)</f>
        <v>#DIV/0!</v>
      </c>
      <c r="AC80" s="166"/>
    </row>
    <row r="81" spans="2:29" ht="16.5" customHeight="1">
      <c r="B81" s="435"/>
      <c r="C81" s="438"/>
      <c r="D81" s="426"/>
      <c r="E81" s="426"/>
      <c r="F81" s="429"/>
      <c r="G81" s="432"/>
      <c r="I81" s="435"/>
      <c r="J81" s="438"/>
      <c r="K81" s="426"/>
      <c r="L81" s="426"/>
      <c r="M81" s="429"/>
      <c r="N81" s="432"/>
      <c r="P81" s="435"/>
      <c r="Q81" s="438"/>
      <c r="R81" s="426"/>
      <c r="S81" s="426"/>
      <c r="T81" s="429"/>
      <c r="U81" s="432"/>
      <c r="W81" s="169" t="s">
        <v>19</v>
      </c>
      <c r="X81" s="170">
        <f>COUNTIFS('1. All Data'!$AB$3:$AB$136,"Regeneration and Development",'1. All Data'!$V$3:$V$136,"Target Partially Met")</f>
        <v>0</v>
      </c>
      <c r="Y81" s="168" t="e">
        <f>X81/X89</f>
        <v>#DIV/0!</v>
      </c>
      <c r="Z81" s="401"/>
      <c r="AA81" s="168" t="e">
        <f>X81/X90</f>
        <v>#DIV/0!</v>
      </c>
      <c r="AB81" s="410"/>
      <c r="AC81" s="166"/>
    </row>
    <row r="82" spans="2:29" ht="16.5" customHeight="1">
      <c r="B82" s="436"/>
      <c r="C82" s="439"/>
      <c r="D82" s="427"/>
      <c r="E82" s="427"/>
      <c r="F82" s="430"/>
      <c r="G82" s="433"/>
      <c r="I82" s="436"/>
      <c r="J82" s="439"/>
      <c r="K82" s="427"/>
      <c r="L82" s="427"/>
      <c r="M82" s="430"/>
      <c r="N82" s="433"/>
      <c r="P82" s="436"/>
      <c r="Q82" s="439"/>
      <c r="R82" s="427"/>
      <c r="S82" s="427"/>
      <c r="T82" s="430"/>
      <c r="U82" s="433"/>
      <c r="W82" s="169" t="s">
        <v>22</v>
      </c>
      <c r="X82" s="170">
        <f>COUNTIFS('1. All Data'!$AB$3:$AB$136,"Regeneration and Development",'1. All Data'!$V$3:$V$136,"Completion Date Within Reasonable Tolerance")</f>
        <v>0</v>
      </c>
      <c r="Y82" s="168" t="e">
        <f>X82/X89</f>
        <v>#DIV/0!</v>
      </c>
      <c r="Z82" s="401"/>
      <c r="AA82" s="168" t="e">
        <f>X82/X90</f>
        <v>#DIV/0!</v>
      </c>
      <c r="AB82" s="410"/>
      <c r="AC82" s="166"/>
    </row>
    <row r="83" spans="2:29" ht="22.5" customHeight="1">
      <c r="B83" s="211" t="s">
        <v>27</v>
      </c>
      <c r="C83" s="208">
        <f>COUNTIFS('1. All Data'!$AB$3:$AB$136,"Regeneration and Development",'1. All Data'!$H$3:$H$136,"Completed Behind Schedule")</f>
        <v>0</v>
      </c>
      <c r="D83" s="209">
        <f>C83/C89</f>
        <v>0</v>
      </c>
      <c r="E83" s="422">
        <f>D83+D84</f>
        <v>0.05</v>
      </c>
      <c r="F83" s="210">
        <f>C83/C90</f>
        <v>0</v>
      </c>
      <c r="G83" s="423">
        <f>F83+F84</f>
        <v>5.2631578947368418E-2</v>
      </c>
      <c r="I83" s="211" t="s">
        <v>27</v>
      </c>
      <c r="J83" s="208">
        <f>COUNTIFS('1. All Data'!$AB$3:$AB$136,"Regeneration and Development",'1. All Data'!$M$3:$M$136,"Completed Behind Schedule")</f>
        <v>0</v>
      </c>
      <c r="K83" s="209" t="e">
        <f>J83/J89</f>
        <v>#DIV/0!</v>
      </c>
      <c r="L83" s="422" t="e">
        <f>K83+K84</f>
        <v>#DIV/0!</v>
      </c>
      <c r="M83" s="210" t="e">
        <f>J83/J90</f>
        <v>#DIV/0!</v>
      </c>
      <c r="N83" s="423" t="e">
        <f>M83+M84</f>
        <v>#DIV/0!</v>
      </c>
      <c r="P83" s="211" t="s">
        <v>27</v>
      </c>
      <c r="Q83" s="208">
        <f>COUNTIFS('1. All Data'!$AB$3:$AB$136,"Regeneration and Development",'1. All Data'!$R$3:$R$136,"Completed Behind Schedule")</f>
        <v>0</v>
      </c>
      <c r="R83" s="209" t="e">
        <f>Q83/Q89</f>
        <v>#DIV/0!</v>
      </c>
      <c r="S83" s="422" t="e">
        <f>R83+R84</f>
        <v>#DIV/0!</v>
      </c>
      <c r="T83" s="210" t="e">
        <f>Q83/Q90</f>
        <v>#DIV/0!</v>
      </c>
      <c r="U83" s="423" t="e">
        <f>T83+T84</f>
        <v>#DIV/0!</v>
      </c>
      <c r="W83" s="171" t="s">
        <v>21</v>
      </c>
      <c r="X83" s="208">
        <f>COUNTIFS('1. All Data'!$AB$3:$AB$136,"Regeneration and Development",'1. All Data'!$V$3:$V$136,"Completed Significantly After Target Deadline")</f>
        <v>0</v>
      </c>
      <c r="Y83" s="209" t="e">
        <f>X83/X89</f>
        <v>#DIV/0!</v>
      </c>
      <c r="Z83" s="422" t="e">
        <f>Y83+Y84</f>
        <v>#DIV/0!</v>
      </c>
      <c r="AA83" s="168" t="e">
        <f>X83/X90</f>
        <v>#DIV/0!</v>
      </c>
      <c r="AB83" s="402" t="e">
        <f>AA83+AA84</f>
        <v>#DIV/0!</v>
      </c>
      <c r="AC83" s="166"/>
    </row>
    <row r="84" spans="2:29" ht="22.5" customHeight="1">
      <c r="B84" s="211" t="s">
        <v>20</v>
      </c>
      <c r="C84" s="208">
        <f>COUNTIFS('1. All Data'!$AB$3:$AB$136,"Regeneration and Development",'1. All Data'!$H$3:$H$136,"Off Target")</f>
        <v>1</v>
      </c>
      <c r="D84" s="209">
        <f>C84/C89</f>
        <v>0.05</v>
      </c>
      <c r="E84" s="422"/>
      <c r="F84" s="210">
        <f>C84/C90</f>
        <v>5.2631578947368418E-2</v>
      </c>
      <c r="G84" s="423"/>
      <c r="I84" s="211" t="s">
        <v>20</v>
      </c>
      <c r="J84" s="208">
        <f>COUNTIFS('1. All Data'!$AB$3:$AB$136,"Regeneration and Development",'1. All Data'!$M$3:$M$136,"Off Target")</f>
        <v>0</v>
      </c>
      <c r="K84" s="209" t="e">
        <f>J84/J89</f>
        <v>#DIV/0!</v>
      </c>
      <c r="L84" s="422"/>
      <c r="M84" s="210" t="e">
        <f>J84/J90</f>
        <v>#DIV/0!</v>
      </c>
      <c r="N84" s="423"/>
      <c r="P84" s="211" t="s">
        <v>20</v>
      </c>
      <c r="Q84" s="208">
        <f>COUNTIFS('1. All Data'!$AB$3:$AB$136,"Regeneration and Development",'1. All Data'!$R$3:$R$136,"Off Target")</f>
        <v>0</v>
      </c>
      <c r="R84" s="209" t="e">
        <f>Q84/Q89</f>
        <v>#DIV/0!</v>
      </c>
      <c r="S84" s="422"/>
      <c r="T84" s="210" t="e">
        <f>Q84/Q90</f>
        <v>#DIV/0!</v>
      </c>
      <c r="U84" s="423"/>
      <c r="W84" s="171" t="s">
        <v>20</v>
      </c>
      <c r="X84" s="208">
        <f>COUNTIFS('1. All Data'!$AB$3:$AB$136,"Regeneration and Development",'1. All Data'!$V$3:$V$136,"Off Target")</f>
        <v>0</v>
      </c>
      <c r="Y84" s="209" t="e">
        <f>X84/X89</f>
        <v>#DIV/0!</v>
      </c>
      <c r="Z84" s="422"/>
      <c r="AA84" s="168" t="e">
        <f>X84/X90</f>
        <v>#DIV/0!</v>
      </c>
      <c r="AB84" s="402"/>
      <c r="AC84" s="166"/>
    </row>
    <row r="85" spans="2:29" ht="15.75" customHeight="1">
      <c r="B85" s="212" t="s">
        <v>43</v>
      </c>
      <c r="C85" s="208">
        <f>COUNTIFS('1. All Data'!$AB$3:$AB$136,"Regeneration and Development",'1. All Data'!$H$3:$H$136,"Not yet due")</f>
        <v>1</v>
      </c>
      <c r="D85" s="213">
        <f>C85/C89</f>
        <v>0.05</v>
      </c>
      <c r="E85" s="213">
        <f>D85</f>
        <v>0.05</v>
      </c>
      <c r="F85" s="214"/>
      <c r="G85" s="58"/>
      <c r="I85" s="212" t="s">
        <v>43</v>
      </c>
      <c r="J85" s="208">
        <f>COUNTIFS('1. All Data'!$AB$3:$AB$136,"Regeneration and Development",'1. All Data'!$M$3:$M$136,"Not yet due")</f>
        <v>0</v>
      </c>
      <c r="K85" s="213" t="e">
        <f>J85/J89</f>
        <v>#DIV/0!</v>
      </c>
      <c r="L85" s="213" t="e">
        <f>K85</f>
        <v>#DIV/0!</v>
      </c>
      <c r="M85" s="214"/>
      <c r="N85" s="58"/>
      <c r="P85" s="212" t="s">
        <v>43</v>
      </c>
      <c r="Q85" s="208">
        <f>COUNTIFS('1. All Data'!$AB$3:$AB$136,"Regeneration and Development",'1. All Data'!$R$3:$R$136,"Not yet due")</f>
        <v>0</v>
      </c>
      <c r="R85" s="213" t="e">
        <f>Q85/Q89</f>
        <v>#DIV/0!</v>
      </c>
      <c r="S85" s="213" t="e">
        <f>R85</f>
        <v>#DIV/0!</v>
      </c>
      <c r="T85" s="214"/>
      <c r="U85" s="58"/>
      <c r="W85" s="172" t="s">
        <v>43</v>
      </c>
      <c r="X85" s="208">
        <f>COUNTIFS('1. All Data'!$AB$3:$AB$136,"Regeneration and Development",'1. All Data'!$V$3:$V$136,"Not yet due")</f>
        <v>0</v>
      </c>
      <c r="Y85" s="213" t="e">
        <f>X85/X89</f>
        <v>#DIV/0!</v>
      </c>
      <c r="Z85" s="213" t="e">
        <f>Y85</f>
        <v>#DIV/0!</v>
      </c>
      <c r="AA85" s="174"/>
      <c r="AB85" s="58"/>
      <c r="AC85" s="166"/>
    </row>
    <row r="86" spans="2:29" ht="15.75" customHeight="1">
      <c r="B86" s="212" t="s">
        <v>15</v>
      </c>
      <c r="C86" s="208">
        <f>COUNTIFS('1. All Data'!$AB$3:$AB$136,"Regeneration and Development",'1. All Data'!$H$3:$H$136,"Update not provided")</f>
        <v>0</v>
      </c>
      <c r="D86" s="213">
        <f>C86/C89</f>
        <v>0</v>
      </c>
      <c r="E86" s="213">
        <f>D86</f>
        <v>0</v>
      </c>
      <c r="F86" s="214"/>
      <c r="G86" s="2"/>
      <c r="I86" s="212" t="s">
        <v>15</v>
      </c>
      <c r="J86" s="208">
        <f>COUNTIFS('1. All Data'!$AB$3:$AB$136,"Regeneration and Development",'1. All Data'!$M$3:$M$136,"Update not provided")</f>
        <v>0</v>
      </c>
      <c r="K86" s="213" t="e">
        <f>J86/J89</f>
        <v>#DIV/0!</v>
      </c>
      <c r="L86" s="213" t="e">
        <f>K86</f>
        <v>#DIV/0!</v>
      </c>
      <c r="M86" s="214"/>
      <c r="N86" s="2"/>
      <c r="P86" s="212" t="s">
        <v>15</v>
      </c>
      <c r="Q86" s="208">
        <f>COUNTIFS('1. All Data'!$AB$3:$AB$136,"Regeneration and Development",'1. All Data'!$R$3:$R$136,"Update not provided")</f>
        <v>0</v>
      </c>
      <c r="R86" s="213" t="e">
        <f>Q86/Q89</f>
        <v>#DIV/0!</v>
      </c>
      <c r="S86" s="213" t="e">
        <f>R86</f>
        <v>#DIV/0!</v>
      </c>
      <c r="T86" s="214"/>
      <c r="U86" s="2"/>
      <c r="W86" s="172" t="s">
        <v>15</v>
      </c>
      <c r="X86" s="208">
        <f>COUNTIFS('1. All Data'!$AB$3:$AB$136,"Regeneration and Development",'1. All Data'!$V$3:$V$136,"Update not provided")</f>
        <v>0</v>
      </c>
      <c r="Y86" s="213" t="e">
        <f>X86/X89</f>
        <v>#DIV/0!</v>
      </c>
      <c r="Z86" s="213" t="e">
        <f>Y86</f>
        <v>#DIV/0!</v>
      </c>
      <c r="AA86" s="174"/>
      <c r="AB86" s="2"/>
      <c r="AC86" s="166"/>
    </row>
    <row r="87" spans="2:29" ht="15.75" customHeight="1">
      <c r="B87" s="215" t="s">
        <v>23</v>
      </c>
      <c r="C87" s="208">
        <f>COUNTIFS('1. All Data'!$AB$3:$AB$136,"Regeneration and Development",'1. All Data'!$H$3:$H$136,"Deferred")</f>
        <v>0</v>
      </c>
      <c r="D87" s="216">
        <f>C87/C89</f>
        <v>0</v>
      </c>
      <c r="E87" s="216">
        <f>D87</f>
        <v>0</v>
      </c>
      <c r="F87" s="217"/>
      <c r="G87" s="58"/>
      <c r="I87" s="215" t="s">
        <v>23</v>
      </c>
      <c r="J87" s="208">
        <f>COUNTIFS('1. All Data'!$AB$3:$AB$136,"Regeneration and Development",'1. All Data'!$M$3:$M$136,"Deferred")</f>
        <v>0</v>
      </c>
      <c r="K87" s="216" t="e">
        <f>J87/J89</f>
        <v>#DIV/0!</v>
      </c>
      <c r="L87" s="216" t="e">
        <f>K87</f>
        <v>#DIV/0!</v>
      </c>
      <c r="M87" s="217"/>
      <c r="N87" s="58"/>
      <c r="P87" s="215" t="s">
        <v>23</v>
      </c>
      <c r="Q87" s="208">
        <f>COUNTIFS('1. All Data'!$AB$3:$AB$136,"Regeneration and Development",'1. All Data'!$R$3:$R$136,"Deferred")</f>
        <v>0</v>
      </c>
      <c r="R87" s="216" t="e">
        <f>Q87/Q89</f>
        <v>#DIV/0!</v>
      </c>
      <c r="S87" s="216" t="e">
        <f>R87</f>
        <v>#DIV/0!</v>
      </c>
      <c r="T87" s="217"/>
      <c r="U87" s="58"/>
      <c r="W87" s="175" t="s">
        <v>23</v>
      </c>
      <c r="X87" s="208">
        <f>COUNTIFS('1. All Data'!$AB$3:$AB$136,"Regeneration and Development",'1. All Data'!$V$3:$V$136,"Deferred")</f>
        <v>0</v>
      </c>
      <c r="Y87" s="216" t="e">
        <f>X87/X89</f>
        <v>#DIV/0!</v>
      </c>
      <c r="Z87" s="216" t="e">
        <f>Y87</f>
        <v>#DIV/0!</v>
      </c>
      <c r="AA87" s="177"/>
      <c r="AB87" s="58"/>
      <c r="AC87" s="166"/>
    </row>
    <row r="88" spans="2:29" ht="15.75" customHeight="1">
      <c r="B88" s="215" t="s">
        <v>24</v>
      </c>
      <c r="C88" s="208">
        <f>COUNTIFS('1. All Data'!$AB$3:$AB$136,"Regeneration and Development",'1. All Data'!$H$3:$H$136,"Deleted")</f>
        <v>0</v>
      </c>
      <c r="D88" s="216">
        <f>C88/C89</f>
        <v>0</v>
      </c>
      <c r="E88" s="216">
        <f>D88</f>
        <v>0</v>
      </c>
      <c r="F88" s="217"/>
      <c r="G88" s="29"/>
      <c r="I88" s="215" t="s">
        <v>24</v>
      </c>
      <c r="J88" s="208">
        <f>COUNTIFS('1. All Data'!$AB$3:$AB$136,"Regeneration and Development",'1. All Data'!$M$3:$M$136,"Deleted")</f>
        <v>0</v>
      </c>
      <c r="K88" s="216" t="e">
        <f>J88/J89</f>
        <v>#DIV/0!</v>
      </c>
      <c r="L88" s="216" t="e">
        <f>K88</f>
        <v>#DIV/0!</v>
      </c>
      <c r="M88" s="217"/>
      <c r="N88" s="29"/>
      <c r="P88" s="215" t="s">
        <v>24</v>
      </c>
      <c r="Q88" s="208">
        <f>COUNTIFS('1. All Data'!$AB$3:$AB$136,"Regeneration and Development",'1. All Data'!$R$3:$R$136,"Deleted")</f>
        <v>0</v>
      </c>
      <c r="R88" s="216" t="e">
        <f>Q88/Q89</f>
        <v>#DIV/0!</v>
      </c>
      <c r="S88" s="216" t="e">
        <f>R88</f>
        <v>#DIV/0!</v>
      </c>
      <c r="T88" s="217"/>
      <c r="U88" s="29"/>
      <c r="W88" s="175" t="s">
        <v>24</v>
      </c>
      <c r="X88" s="208">
        <f>COUNTIFS('1. All Data'!$AB$3:$AB$136,"Regeneration and Development",'1. All Data'!$V$3:$V$136,"Deleted")</f>
        <v>0</v>
      </c>
      <c r="Y88" s="216" t="e">
        <f>X88/X89</f>
        <v>#DIV/0!</v>
      </c>
      <c r="Z88" s="216" t="e">
        <f>Y88</f>
        <v>#DIV/0!</v>
      </c>
      <c r="AA88" s="177"/>
      <c r="AB88" s="3"/>
      <c r="AC88" s="166"/>
    </row>
    <row r="89" spans="2:29" ht="15.75" customHeight="1">
      <c r="B89" s="218" t="s">
        <v>45</v>
      </c>
      <c r="C89" s="219">
        <f>SUM(C78:C88)</f>
        <v>20</v>
      </c>
      <c r="D89" s="177"/>
      <c r="E89" s="177"/>
      <c r="F89" s="220"/>
      <c r="G89" s="58"/>
      <c r="I89" s="218" t="s">
        <v>45</v>
      </c>
      <c r="J89" s="219">
        <f>SUM(J78:J88)</f>
        <v>0</v>
      </c>
      <c r="K89" s="177"/>
      <c r="L89" s="177"/>
      <c r="M89" s="220"/>
      <c r="N89" s="58"/>
      <c r="P89" s="218" t="s">
        <v>45</v>
      </c>
      <c r="Q89" s="219">
        <f>SUM(Q78:Q88)</f>
        <v>0</v>
      </c>
      <c r="R89" s="177"/>
      <c r="S89" s="177"/>
      <c r="T89" s="220"/>
      <c r="U89" s="58"/>
      <c r="W89" s="178" t="s">
        <v>45</v>
      </c>
      <c r="X89" s="219">
        <f>SUM(X78:X88)</f>
        <v>0</v>
      </c>
      <c r="Y89" s="177"/>
      <c r="Z89" s="177"/>
      <c r="AA89" s="58"/>
      <c r="AB89" s="58"/>
      <c r="AC89" s="166"/>
    </row>
    <row r="90" spans="2:29" ht="15.75" customHeight="1">
      <c r="B90" s="218" t="s">
        <v>46</v>
      </c>
      <c r="C90" s="219">
        <f>C89-C88-C87-C86-C85</f>
        <v>19</v>
      </c>
      <c r="D90" s="58"/>
      <c r="E90" s="58"/>
      <c r="F90" s="220"/>
      <c r="G90" s="58"/>
      <c r="I90" s="218" t="s">
        <v>46</v>
      </c>
      <c r="J90" s="219">
        <f>J89-J88-J87-J86-J85</f>
        <v>0</v>
      </c>
      <c r="K90" s="58"/>
      <c r="L90" s="58"/>
      <c r="M90" s="220"/>
      <c r="N90" s="58"/>
      <c r="P90" s="218" t="s">
        <v>46</v>
      </c>
      <c r="Q90" s="219">
        <f>Q89-Q88-Q87-Q86-Q85</f>
        <v>0</v>
      </c>
      <c r="R90" s="58"/>
      <c r="S90" s="58"/>
      <c r="T90" s="220"/>
      <c r="U90" s="58"/>
      <c r="W90" s="178" t="s">
        <v>46</v>
      </c>
      <c r="X90" s="219">
        <f>X89-X88-X87-X86-X85</f>
        <v>0</v>
      </c>
      <c r="Y90" s="58"/>
      <c r="Z90" s="58"/>
      <c r="AA90" s="58"/>
      <c r="AB90" s="58"/>
      <c r="AC90" s="166"/>
    </row>
    <row r="91" spans="2:29" ht="15.75" customHeight="1">
      <c r="W91" s="180"/>
      <c r="AA91" s="2"/>
      <c r="AC91" s="166"/>
    </row>
    <row r="92" spans="2:29" ht="15.75" customHeight="1">
      <c r="W92" s="165"/>
      <c r="X92" s="165"/>
      <c r="Y92" s="165"/>
      <c r="Z92" s="165"/>
      <c r="AA92" s="165"/>
      <c r="AB92" s="186"/>
      <c r="AC92" s="166"/>
    </row>
    <row r="93" spans="2:29" ht="15.75" customHeight="1">
      <c r="W93" s="165"/>
      <c r="X93" s="165"/>
      <c r="Y93" s="165"/>
      <c r="Z93" s="165"/>
      <c r="AA93" s="165"/>
      <c r="AB93" s="186"/>
      <c r="AC93" s="166"/>
    </row>
    <row r="94" spans="2:29" ht="15.6">
      <c r="B94" s="225" t="s">
        <v>94</v>
      </c>
      <c r="C94" s="204"/>
      <c r="D94" s="204"/>
      <c r="E94" s="204"/>
      <c r="F94" s="205"/>
      <c r="G94" s="204"/>
      <c r="I94" s="225" t="s">
        <v>94</v>
      </c>
      <c r="J94" s="204"/>
      <c r="K94" s="204"/>
      <c r="L94" s="204"/>
      <c r="M94" s="205"/>
      <c r="N94" s="204"/>
      <c r="O94" s="166"/>
      <c r="P94" s="225" t="s">
        <v>94</v>
      </c>
      <c r="Q94" s="204"/>
      <c r="R94" s="204"/>
      <c r="S94" s="204"/>
      <c r="T94" s="205"/>
      <c r="U94" s="204"/>
      <c r="V94" s="166"/>
      <c r="W94" s="225" t="s">
        <v>94</v>
      </c>
      <c r="X94" s="204"/>
      <c r="Y94" s="204"/>
      <c r="Z94" s="204"/>
      <c r="AA94" s="205"/>
      <c r="AB94" s="204"/>
      <c r="AC94" s="166"/>
    </row>
    <row r="95" spans="2:29" ht="31.2">
      <c r="B95" s="206" t="s">
        <v>36</v>
      </c>
      <c r="C95" s="207" t="s">
        <v>37</v>
      </c>
      <c r="D95" s="207" t="s">
        <v>38</v>
      </c>
      <c r="E95" s="207" t="s">
        <v>39</v>
      </c>
      <c r="F95" s="206" t="s">
        <v>40</v>
      </c>
      <c r="G95" s="207" t="s">
        <v>41</v>
      </c>
      <c r="I95" s="206" t="s">
        <v>36</v>
      </c>
      <c r="J95" s="207" t="s">
        <v>37</v>
      </c>
      <c r="K95" s="207" t="s">
        <v>38</v>
      </c>
      <c r="L95" s="207" t="s">
        <v>39</v>
      </c>
      <c r="M95" s="206" t="s">
        <v>40</v>
      </c>
      <c r="N95" s="207" t="s">
        <v>41</v>
      </c>
      <c r="P95" s="206" t="s">
        <v>36</v>
      </c>
      <c r="Q95" s="207" t="s">
        <v>37</v>
      </c>
      <c r="R95" s="207" t="s">
        <v>38</v>
      </c>
      <c r="S95" s="207" t="s">
        <v>39</v>
      </c>
      <c r="T95" s="206" t="s">
        <v>40</v>
      </c>
      <c r="U95" s="207" t="s">
        <v>41</v>
      </c>
      <c r="W95" s="164" t="s">
        <v>36</v>
      </c>
      <c r="X95" s="164" t="s">
        <v>37</v>
      </c>
      <c r="Y95" s="164" t="s">
        <v>38</v>
      </c>
      <c r="Z95" s="164" t="s">
        <v>39</v>
      </c>
      <c r="AA95" s="164" t="s">
        <v>40</v>
      </c>
      <c r="AB95" s="164" t="s">
        <v>41</v>
      </c>
      <c r="AC95" s="166"/>
    </row>
    <row r="96" spans="2:29" ht="15.6">
      <c r="B96" s="228" t="s">
        <v>42</v>
      </c>
      <c r="C96" s="208">
        <f>COUNTIFS('1. All Data'!$AB$3:$AB$136,"Tourism and Cultural Development",'1. All Data'!$H$3:$H$136,"Fully Achieved")</f>
        <v>1</v>
      </c>
      <c r="D96" s="279">
        <f>C96/C107</f>
        <v>7.1428571428571425E-2</v>
      </c>
      <c r="E96" s="422">
        <f>D96+D97</f>
        <v>0.92857142857142849</v>
      </c>
      <c r="F96" s="210">
        <f>C96/C108</f>
        <v>7.1428571428571425E-2</v>
      </c>
      <c r="G96" s="424">
        <f>F96+F97</f>
        <v>0.92857142857142849</v>
      </c>
      <c r="I96" s="228" t="s">
        <v>42</v>
      </c>
      <c r="J96" s="208">
        <f>COUNTIFS('1. All Data'!$AB$3:$AB$136,"Tourism and Cultural Development",'1. All Data'!$M$3:$M$136,"Fully Achieved")</f>
        <v>0</v>
      </c>
      <c r="K96" s="279" t="e">
        <f>J96/J107</f>
        <v>#DIV/0!</v>
      </c>
      <c r="L96" s="422" t="e">
        <f>K96+K97</f>
        <v>#DIV/0!</v>
      </c>
      <c r="M96" s="210" t="e">
        <f>J96/J108</f>
        <v>#DIV/0!</v>
      </c>
      <c r="N96" s="424" t="e">
        <f>M96+M97</f>
        <v>#DIV/0!</v>
      </c>
      <c r="P96" s="228" t="s">
        <v>42</v>
      </c>
      <c r="Q96" s="208">
        <f>COUNTIFS('1. All Data'!$AB$3:$AB$136,"Tourism and Cultural Development",'1. All Data'!$R$3:$R$136,"Fully Achieved")</f>
        <v>0</v>
      </c>
      <c r="R96" s="279" t="e">
        <f>Q96/Q107</f>
        <v>#DIV/0!</v>
      </c>
      <c r="S96" s="422" t="e">
        <f>R96+R97</f>
        <v>#DIV/0!</v>
      </c>
      <c r="T96" s="210" t="e">
        <f>Q96/Q108</f>
        <v>#DIV/0!</v>
      </c>
      <c r="U96" s="424" t="e">
        <f>T96+T97</f>
        <v>#DIV/0!</v>
      </c>
      <c r="W96" s="228" t="s">
        <v>42</v>
      </c>
      <c r="X96" s="208">
        <f>COUNTIFS('1. All Data'!$AB$3:$AB$136,"Tourism and Cultural Development",'1. All Data'!$V$3:$V$136,"Fully Achieved")</f>
        <v>0</v>
      </c>
      <c r="Y96" s="279" t="e">
        <f>X96/X107</f>
        <v>#DIV/0!</v>
      </c>
      <c r="Z96" s="422" t="e">
        <f>Y96+Y97</f>
        <v>#DIV/0!</v>
      </c>
      <c r="AA96" s="279" t="e">
        <f>X96/X108</f>
        <v>#DIV/0!</v>
      </c>
      <c r="AB96" s="403" t="e">
        <f>AA96+AA97</f>
        <v>#DIV/0!</v>
      </c>
      <c r="AC96" s="166"/>
    </row>
    <row r="97" spans="2:29" ht="15.6">
      <c r="B97" s="228" t="s">
        <v>25</v>
      </c>
      <c r="C97" s="208">
        <f>COUNTIFS('1. All Data'!$AB$3:$AB$136,"Tourism and Cultural Development",'1. All Data'!$H$3:$H$136,"On Track to be Achieved")</f>
        <v>12</v>
      </c>
      <c r="D97" s="279">
        <f>C97/C107</f>
        <v>0.8571428571428571</v>
      </c>
      <c r="E97" s="422"/>
      <c r="F97" s="210">
        <f>C97/C108</f>
        <v>0.8571428571428571</v>
      </c>
      <c r="G97" s="424"/>
      <c r="I97" s="228" t="s">
        <v>25</v>
      </c>
      <c r="J97" s="208">
        <f>COUNTIFS('1. All Data'!$AB$3:$AB$136,"Tourism and Cultural Development",'1. All Data'!$M$3:$M$136,"On Track to be Achieved")</f>
        <v>0</v>
      </c>
      <c r="K97" s="279" t="e">
        <f>J97/J107</f>
        <v>#DIV/0!</v>
      </c>
      <c r="L97" s="422"/>
      <c r="M97" s="210" t="e">
        <f>J97/J108</f>
        <v>#DIV/0!</v>
      </c>
      <c r="N97" s="424"/>
      <c r="P97" s="228" t="s">
        <v>25</v>
      </c>
      <c r="Q97" s="208">
        <f>COUNTIFS('1. All Data'!$AB$3:$AB$136,"Tourism and Cultural Development",'1. All Data'!$R$3:$R$136,"On Track to be Achieved")</f>
        <v>0</v>
      </c>
      <c r="R97" s="279" t="e">
        <f>Q97/Q107</f>
        <v>#DIV/0!</v>
      </c>
      <c r="S97" s="422"/>
      <c r="T97" s="210" t="e">
        <f>Q97/Q108</f>
        <v>#DIV/0!</v>
      </c>
      <c r="U97" s="424"/>
      <c r="W97" s="228" t="s">
        <v>17</v>
      </c>
      <c r="X97" s="208">
        <f>COUNTIFS('1. All Data'!$AB$3:$AB$136,"Tourism and Cultural Development",'1. All Data'!$V$3:$V$136,"Numerical Outturn Within 5% Tolerance")</f>
        <v>0</v>
      </c>
      <c r="Y97" s="279" t="e">
        <f>X97/X107</f>
        <v>#DIV/0!</v>
      </c>
      <c r="Z97" s="422"/>
      <c r="AA97" s="279" t="e">
        <f>X97/X108</f>
        <v>#DIV/0!</v>
      </c>
      <c r="AB97" s="403"/>
      <c r="AC97" s="166"/>
    </row>
    <row r="98" spans="2:29" ht="15.6">
      <c r="B98" s="434" t="s">
        <v>26</v>
      </c>
      <c r="C98" s="437">
        <f>COUNTIFS('1. All Data'!$AB$3:$AB$136,"Tourism and Cultural Development",'1. All Data'!$H$3:$H$136,"In Danger of Falling Behind Target")</f>
        <v>0</v>
      </c>
      <c r="D98" s="425">
        <f>C98/C107</f>
        <v>0</v>
      </c>
      <c r="E98" s="425">
        <f>D98</f>
        <v>0</v>
      </c>
      <c r="F98" s="428">
        <f>C98/C108</f>
        <v>0</v>
      </c>
      <c r="G98" s="431">
        <f>F98</f>
        <v>0</v>
      </c>
      <c r="I98" s="434" t="s">
        <v>26</v>
      </c>
      <c r="J98" s="437">
        <f>COUNTIFS('1. All Data'!$AB$3:$AB$136,"Tourism and Cultural Development",'1. All Data'!$M$3:$M$136,"In Danger of Falling Behind Target")</f>
        <v>0</v>
      </c>
      <c r="K98" s="425" t="e">
        <f>J98/J107</f>
        <v>#DIV/0!</v>
      </c>
      <c r="L98" s="425" t="e">
        <f>K98</f>
        <v>#DIV/0!</v>
      </c>
      <c r="M98" s="428" t="e">
        <f>J98/J108</f>
        <v>#DIV/0!</v>
      </c>
      <c r="N98" s="431" t="e">
        <f>M98</f>
        <v>#DIV/0!</v>
      </c>
      <c r="P98" s="434" t="s">
        <v>26</v>
      </c>
      <c r="Q98" s="437">
        <f>COUNTIFS('1. All Data'!$AB$3:$AB$136,"Tourism and Cultural Development",'1. All Data'!$R$3:$R$136,"In Danger of Falling Behind Target")</f>
        <v>0</v>
      </c>
      <c r="R98" s="425" t="e">
        <f>Q98/Q107</f>
        <v>#DIV/0!</v>
      </c>
      <c r="S98" s="425" t="e">
        <f>R98</f>
        <v>#DIV/0!</v>
      </c>
      <c r="T98" s="428" t="e">
        <f>Q98/Q108</f>
        <v>#DIV/0!</v>
      </c>
      <c r="U98" s="431" t="e">
        <f>T98</f>
        <v>#DIV/0!</v>
      </c>
      <c r="W98" s="169" t="s">
        <v>18</v>
      </c>
      <c r="X98" s="170">
        <f>COUNTIFS('1. All Data'!$AB$3:$AB$136,"Tourism and Cultural Development",'1. All Data'!$V$3:$V$136,"Numerical Outturn Within 10% Tolerance")</f>
        <v>0</v>
      </c>
      <c r="Y98" s="278" t="e">
        <f>X98/X107</f>
        <v>#DIV/0!</v>
      </c>
      <c r="Z98" s="401" t="e">
        <f>SUM(Y98:Y100)</f>
        <v>#DIV/0!</v>
      </c>
      <c r="AA98" s="278" t="e">
        <f>X98/X108</f>
        <v>#DIV/0!</v>
      </c>
      <c r="AB98" s="410" t="e">
        <f>SUM(AA98:AA100)</f>
        <v>#DIV/0!</v>
      </c>
      <c r="AC98" s="166"/>
    </row>
    <row r="99" spans="2:29" ht="15.6">
      <c r="B99" s="435"/>
      <c r="C99" s="438"/>
      <c r="D99" s="426"/>
      <c r="E99" s="426"/>
      <c r="F99" s="429"/>
      <c r="G99" s="432"/>
      <c r="I99" s="435"/>
      <c r="J99" s="438"/>
      <c r="K99" s="426"/>
      <c r="L99" s="426"/>
      <c r="M99" s="429"/>
      <c r="N99" s="432"/>
      <c r="P99" s="435"/>
      <c r="Q99" s="438"/>
      <c r="R99" s="426"/>
      <c r="S99" s="426"/>
      <c r="T99" s="429"/>
      <c r="U99" s="432"/>
      <c r="W99" s="169" t="s">
        <v>19</v>
      </c>
      <c r="X99" s="170">
        <f>COUNTIFS('1. All Data'!$AB$3:$AB$136,"Tourism and Cultural Development",'1. All Data'!$V$3:$V$136,"Target Partially Met")</f>
        <v>0</v>
      </c>
      <c r="Y99" s="278" t="e">
        <f>X99/X107</f>
        <v>#DIV/0!</v>
      </c>
      <c r="Z99" s="401"/>
      <c r="AA99" s="278" t="e">
        <f>X99/X108</f>
        <v>#DIV/0!</v>
      </c>
      <c r="AB99" s="410"/>
      <c r="AC99" s="166"/>
    </row>
    <row r="100" spans="2:29" ht="15.6">
      <c r="B100" s="436"/>
      <c r="C100" s="439"/>
      <c r="D100" s="427"/>
      <c r="E100" s="427"/>
      <c r="F100" s="430"/>
      <c r="G100" s="433"/>
      <c r="I100" s="436"/>
      <c r="J100" s="439"/>
      <c r="K100" s="427"/>
      <c r="L100" s="427"/>
      <c r="M100" s="430"/>
      <c r="N100" s="433"/>
      <c r="P100" s="436"/>
      <c r="Q100" s="439"/>
      <c r="R100" s="427"/>
      <c r="S100" s="427"/>
      <c r="T100" s="430"/>
      <c r="U100" s="433"/>
      <c r="W100" s="169" t="s">
        <v>22</v>
      </c>
      <c r="X100" s="170">
        <f>COUNTIFS('1. All Data'!$AB$3:$AB$136,"Tourism and Cultural Development",'1. All Data'!$V$3:$V$136,"Completion Date Within Reasonable Tolerance")</f>
        <v>0</v>
      </c>
      <c r="Y100" s="278" t="e">
        <f>X100/X107</f>
        <v>#DIV/0!</v>
      </c>
      <c r="Z100" s="401"/>
      <c r="AA100" s="278" t="e">
        <f>X100/X108</f>
        <v>#DIV/0!</v>
      </c>
      <c r="AB100" s="410"/>
      <c r="AC100" s="166"/>
    </row>
    <row r="101" spans="2:29" ht="15.6">
      <c r="B101" s="211" t="s">
        <v>27</v>
      </c>
      <c r="C101" s="208">
        <f>COUNTIFS('1. All Data'!$AB$3:$AB$136,"Tourism and Cultural Development",'1. All Data'!$H$3:$H$136,"Completed Behind Schedule")</f>
        <v>0</v>
      </c>
      <c r="D101" s="279">
        <f>C101/C107</f>
        <v>0</v>
      </c>
      <c r="E101" s="422">
        <f>D101+D102</f>
        <v>7.1428571428571425E-2</v>
      </c>
      <c r="F101" s="210">
        <f>C101/C108</f>
        <v>0</v>
      </c>
      <c r="G101" s="423">
        <f>F101+F102</f>
        <v>7.1428571428571425E-2</v>
      </c>
      <c r="I101" s="211" t="s">
        <v>27</v>
      </c>
      <c r="J101" s="208">
        <f>COUNTIFS('1. All Data'!$AB$3:$AB$136,"Tourism and Cultural Development",'1. All Data'!$M$3:$M$136,"Completed Behind Schedule")</f>
        <v>0</v>
      </c>
      <c r="K101" s="279" t="e">
        <f>J101/J107</f>
        <v>#DIV/0!</v>
      </c>
      <c r="L101" s="422" t="e">
        <f>K101+K102</f>
        <v>#DIV/0!</v>
      </c>
      <c r="M101" s="210" t="e">
        <f>J101/J108</f>
        <v>#DIV/0!</v>
      </c>
      <c r="N101" s="423" t="e">
        <f>M101+M102</f>
        <v>#DIV/0!</v>
      </c>
      <c r="P101" s="211" t="s">
        <v>27</v>
      </c>
      <c r="Q101" s="208">
        <f>COUNTIFS('1. All Data'!$AB$3:$AB$136,"Tourism and Cultural Development",'1. All Data'!$R$3:$R$136,"Completed Behind Schedule")</f>
        <v>0</v>
      </c>
      <c r="R101" s="279" t="e">
        <f>Q101/Q107</f>
        <v>#DIV/0!</v>
      </c>
      <c r="S101" s="422" t="e">
        <f>R101+R102</f>
        <v>#DIV/0!</v>
      </c>
      <c r="T101" s="210" t="e">
        <f>Q101/Q108</f>
        <v>#DIV/0!</v>
      </c>
      <c r="U101" s="423" t="e">
        <f>T101+T102</f>
        <v>#DIV/0!</v>
      </c>
      <c r="W101" s="171" t="s">
        <v>21</v>
      </c>
      <c r="X101" s="208">
        <f>COUNTIFS('1. All Data'!$AB$3:$AB$136,"Tourism and Cultural Development",'1. All Data'!$V$3:$V$136,"Completed Significantly After Target Deadline")</f>
        <v>0</v>
      </c>
      <c r="Y101" s="279" t="e">
        <f>X101/X107</f>
        <v>#DIV/0!</v>
      </c>
      <c r="Z101" s="422" t="e">
        <f>Y101+Y102</f>
        <v>#DIV/0!</v>
      </c>
      <c r="AA101" s="278" t="e">
        <f>X101/X108</f>
        <v>#DIV/0!</v>
      </c>
      <c r="AB101" s="402" t="e">
        <f>AA101+AA102</f>
        <v>#DIV/0!</v>
      </c>
      <c r="AC101" s="166"/>
    </row>
    <row r="102" spans="2:29" ht="15.6">
      <c r="B102" s="211" t="s">
        <v>20</v>
      </c>
      <c r="C102" s="208">
        <f>COUNTIFS('1. All Data'!$AB$3:$AB$136,"Tourism and Cultural Development",'1. All Data'!$H$3:$H$136,"Off Target")</f>
        <v>1</v>
      </c>
      <c r="D102" s="279">
        <f>C102/C107</f>
        <v>7.1428571428571425E-2</v>
      </c>
      <c r="E102" s="422"/>
      <c r="F102" s="210">
        <f>C102/C108</f>
        <v>7.1428571428571425E-2</v>
      </c>
      <c r="G102" s="423"/>
      <c r="I102" s="211" t="s">
        <v>20</v>
      </c>
      <c r="J102" s="208">
        <f>COUNTIFS('1. All Data'!$AB$3:$AB$136,"Tourism and Cultural Development",'1. All Data'!$M$3:$M$136,"Off Target")</f>
        <v>0</v>
      </c>
      <c r="K102" s="279" t="e">
        <f>J102/J107</f>
        <v>#DIV/0!</v>
      </c>
      <c r="L102" s="422"/>
      <c r="M102" s="210" t="e">
        <f>J102/J108</f>
        <v>#DIV/0!</v>
      </c>
      <c r="N102" s="423"/>
      <c r="P102" s="211" t="s">
        <v>20</v>
      </c>
      <c r="Q102" s="208">
        <f>COUNTIFS('1. All Data'!$AB$3:$AB$136,"Tourism and Cultural Development",'1. All Data'!$R$3:$R$136,"Off Target")</f>
        <v>0</v>
      </c>
      <c r="R102" s="279" t="e">
        <f>Q102/Q107</f>
        <v>#DIV/0!</v>
      </c>
      <c r="S102" s="422"/>
      <c r="T102" s="210" t="e">
        <f>Q102/Q108</f>
        <v>#DIV/0!</v>
      </c>
      <c r="U102" s="423"/>
      <c r="W102" s="171" t="s">
        <v>20</v>
      </c>
      <c r="X102" s="208">
        <f>COUNTIFS('1. All Data'!$AB$3:$AB$136,"Tourism and Cultural Development",'1. All Data'!$V$3:$V$136,"Off Target")</f>
        <v>0</v>
      </c>
      <c r="Y102" s="279" t="e">
        <f>X102/X107</f>
        <v>#DIV/0!</v>
      </c>
      <c r="Z102" s="422"/>
      <c r="AA102" s="278" t="e">
        <f>X102/X108</f>
        <v>#DIV/0!</v>
      </c>
      <c r="AB102" s="402"/>
      <c r="AC102" s="166"/>
    </row>
    <row r="103" spans="2:29" ht="15.6">
      <c r="B103" s="212" t="s">
        <v>43</v>
      </c>
      <c r="C103" s="208">
        <f>COUNTIFS('1. All Data'!$AB$3:$AB$136,"Tourism and Cultural Development",'1. All Data'!$H$3:$H$136,"Not yet due")</f>
        <v>0</v>
      </c>
      <c r="D103" s="213">
        <f>C103/C107</f>
        <v>0</v>
      </c>
      <c r="E103" s="213">
        <f>D103</f>
        <v>0</v>
      </c>
      <c r="F103" s="214"/>
      <c r="G103" s="58"/>
      <c r="I103" s="212" t="s">
        <v>43</v>
      </c>
      <c r="J103" s="208">
        <f>COUNTIFS('1. All Data'!$AB$3:$AB$136,"Tourism and Cultural Development",'1. All Data'!$M$3:$M$136,"Not yet due")</f>
        <v>0</v>
      </c>
      <c r="K103" s="213" t="e">
        <f>J103/J107</f>
        <v>#DIV/0!</v>
      </c>
      <c r="L103" s="213" t="e">
        <f>K103</f>
        <v>#DIV/0!</v>
      </c>
      <c r="M103" s="214"/>
      <c r="N103" s="58"/>
      <c r="P103" s="212" t="s">
        <v>43</v>
      </c>
      <c r="Q103" s="208">
        <f>COUNTIFS('1. All Data'!$AB$3:$AB$136,"Tourism and Cultural Development",'1. All Data'!$R$3:$R$136,"Not yet due")</f>
        <v>0</v>
      </c>
      <c r="R103" s="213" t="e">
        <f>Q103/Q107</f>
        <v>#DIV/0!</v>
      </c>
      <c r="S103" s="213" t="e">
        <f>R103</f>
        <v>#DIV/0!</v>
      </c>
      <c r="T103" s="214"/>
      <c r="U103" s="58"/>
      <c r="W103" s="172" t="s">
        <v>43</v>
      </c>
      <c r="X103" s="208">
        <f>COUNTIFS('1. All Data'!$AB$3:$AB$136,"Tourism and Cultural Development",'1. All Data'!$V$3:$V$136,"Not yet due")</f>
        <v>0</v>
      </c>
      <c r="Y103" s="213" t="e">
        <f>X103/X107</f>
        <v>#DIV/0!</v>
      </c>
      <c r="Z103" s="213" t="e">
        <f>Y103</f>
        <v>#DIV/0!</v>
      </c>
      <c r="AA103" s="174"/>
      <c r="AB103" s="58"/>
      <c r="AC103" s="166"/>
    </row>
    <row r="104" spans="2:29" ht="15.6">
      <c r="B104" s="212" t="s">
        <v>15</v>
      </c>
      <c r="C104" s="208">
        <f>COUNTIFS('1. All Data'!$AB$3:$AB$136,"Tourism and Cultural Development",'1. All Data'!$H$3:$H$136,"Update not provided")</f>
        <v>0</v>
      </c>
      <c r="D104" s="213">
        <f>C104/C107</f>
        <v>0</v>
      </c>
      <c r="E104" s="213">
        <f>D104</f>
        <v>0</v>
      </c>
      <c r="F104" s="214"/>
      <c r="G104" s="2"/>
      <c r="I104" s="212" t="s">
        <v>15</v>
      </c>
      <c r="J104" s="208">
        <f>COUNTIFS('1. All Data'!$AB$3:$AB$136,"Tourism and Cultural Development",'1. All Data'!$M$3:$M$136,"Update not provided")</f>
        <v>0</v>
      </c>
      <c r="K104" s="213" t="e">
        <f>J104/J107</f>
        <v>#DIV/0!</v>
      </c>
      <c r="L104" s="213" t="e">
        <f>K104</f>
        <v>#DIV/0!</v>
      </c>
      <c r="M104" s="214"/>
      <c r="N104" s="2"/>
      <c r="P104" s="212" t="s">
        <v>15</v>
      </c>
      <c r="Q104" s="208">
        <f>COUNTIFS('1. All Data'!$AB$3:$AB$136,"Tourism and Cultural Development",'1. All Data'!$R$3:$R$136,"Update not provided")</f>
        <v>0</v>
      </c>
      <c r="R104" s="213" t="e">
        <f>Q104/Q107</f>
        <v>#DIV/0!</v>
      </c>
      <c r="S104" s="213" t="e">
        <f>R104</f>
        <v>#DIV/0!</v>
      </c>
      <c r="T104" s="214"/>
      <c r="U104" s="2"/>
      <c r="W104" s="172" t="s">
        <v>15</v>
      </c>
      <c r="X104" s="208">
        <f>COUNTIFS('1. All Data'!$AB$3:$AB$136,"Tourism and Cultural Development",'1. All Data'!$V$3:$V$136,"Update not provided")</f>
        <v>0</v>
      </c>
      <c r="Y104" s="213" t="e">
        <f>X104/X107</f>
        <v>#DIV/0!</v>
      </c>
      <c r="Z104" s="213" t="e">
        <f>Y104</f>
        <v>#DIV/0!</v>
      </c>
      <c r="AA104" s="174"/>
      <c r="AB104" s="2"/>
      <c r="AC104" s="166"/>
    </row>
    <row r="105" spans="2:29" ht="15.6">
      <c r="B105" s="215" t="s">
        <v>23</v>
      </c>
      <c r="C105" s="208">
        <f>COUNTIFS('1. All Data'!$AB$3:$AB$136,"Tourism and Cultural Development",'1. All Data'!$H$3:$H$136,"Deferred")</f>
        <v>0</v>
      </c>
      <c r="D105" s="216">
        <f>C105/C107</f>
        <v>0</v>
      </c>
      <c r="E105" s="216">
        <f>D105</f>
        <v>0</v>
      </c>
      <c r="F105" s="217"/>
      <c r="G105" s="58"/>
      <c r="I105" s="215" t="s">
        <v>23</v>
      </c>
      <c r="J105" s="208">
        <f>COUNTIFS('1. All Data'!$AB$3:$AB$136,"Tourism and Cultural Development",'1. All Data'!$M$3:$M$136,"Deferred")</f>
        <v>0</v>
      </c>
      <c r="K105" s="216" t="e">
        <f>J105/J107</f>
        <v>#DIV/0!</v>
      </c>
      <c r="L105" s="216" t="e">
        <f>K105</f>
        <v>#DIV/0!</v>
      </c>
      <c r="M105" s="217"/>
      <c r="N105" s="58"/>
      <c r="P105" s="215" t="s">
        <v>23</v>
      </c>
      <c r="Q105" s="208">
        <f>COUNTIFS('1. All Data'!$AB$3:$AB$136,"Tourism and Cultural Development",'1. All Data'!$R$3:$R$136,"Deferred")</f>
        <v>0</v>
      </c>
      <c r="R105" s="216" t="e">
        <f>Q105/Q107</f>
        <v>#DIV/0!</v>
      </c>
      <c r="S105" s="216" t="e">
        <f>R105</f>
        <v>#DIV/0!</v>
      </c>
      <c r="T105" s="217"/>
      <c r="U105" s="58"/>
      <c r="W105" s="175" t="s">
        <v>23</v>
      </c>
      <c r="X105" s="208">
        <f>COUNTIFS('1. All Data'!$AB$3:$AB$136,"Tourism and Cultural Development",'1. All Data'!$V$3:$V$136,"Deferred")</f>
        <v>0</v>
      </c>
      <c r="Y105" s="216" t="e">
        <f>X105/X107</f>
        <v>#DIV/0!</v>
      </c>
      <c r="Z105" s="216" t="e">
        <f>Y105</f>
        <v>#DIV/0!</v>
      </c>
      <c r="AA105" s="177"/>
      <c r="AB105" s="58"/>
      <c r="AC105" s="166"/>
    </row>
    <row r="106" spans="2:29" ht="15.6">
      <c r="B106" s="215" t="s">
        <v>24</v>
      </c>
      <c r="C106" s="208">
        <f>COUNTIFS('1. All Data'!$AB$3:$AB$136,"Tourism and Cultural Development",'1. All Data'!$H$3:$H$136,"Deleted")</f>
        <v>0</v>
      </c>
      <c r="D106" s="216">
        <f>C106/C107</f>
        <v>0</v>
      </c>
      <c r="E106" s="216">
        <f>D106</f>
        <v>0</v>
      </c>
      <c r="F106" s="217"/>
      <c r="G106" s="29"/>
      <c r="I106" s="215" t="s">
        <v>24</v>
      </c>
      <c r="J106" s="208">
        <f>COUNTIFS('1. All Data'!$AB$3:$AB$136,"Tourism and Cultural Development",'1. All Data'!$M$3:$M$136,"Deleted")</f>
        <v>0</v>
      </c>
      <c r="K106" s="216" t="e">
        <f>J106/J107</f>
        <v>#DIV/0!</v>
      </c>
      <c r="L106" s="216" t="e">
        <f>K106</f>
        <v>#DIV/0!</v>
      </c>
      <c r="M106" s="217"/>
      <c r="N106" s="29"/>
      <c r="P106" s="215" t="s">
        <v>24</v>
      </c>
      <c r="Q106" s="208">
        <f>COUNTIFS('1. All Data'!$AB$3:$AB$136,"Tourism and Cultural Development",'1. All Data'!$R$3:$R$136,"Deleted")</f>
        <v>0</v>
      </c>
      <c r="R106" s="216" t="e">
        <f>Q106/Q107</f>
        <v>#DIV/0!</v>
      </c>
      <c r="S106" s="216" t="e">
        <f>R106</f>
        <v>#DIV/0!</v>
      </c>
      <c r="T106" s="217"/>
      <c r="U106" s="29"/>
      <c r="W106" s="175" t="s">
        <v>24</v>
      </c>
      <c r="X106" s="208">
        <f>COUNTIFS('1. All Data'!$AB$3:$AB$136,"Tourism and Cultural Development",'1. All Data'!$V$3:$V$136,"Deleted")</f>
        <v>0</v>
      </c>
      <c r="Y106" s="216" t="e">
        <f>X106/X107</f>
        <v>#DIV/0!</v>
      </c>
      <c r="Z106" s="216" t="e">
        <f>Y106</f>
        <v>#DIV/0!</v>
      </c>
      <c r="AA106" s="177"/>
      <c r="AB106" s="3"/>
      <c r="AC106" s="166"/>
    </row>
    <row r="107" spans="2:29" ht="15.6">
      <c r="B107" s="218" t="s">
        <v>45</v>
      </c>
      <c r="C107" s="219">
        <f>SUM(C96:C106)</f>
        <v>14</v>
      </c>
      <c r="D107" s="177"/>
      <c r="E107" s="177"/>
      <c r="F107" s="220"/>
      <c r="G107" s="58"/>
      <c r="I107" s="218" t="s">
        <v>45</v>
      </c>
      <c r="J107" s="219">
        <f>SUM(J96:J106)</f>
        <v>0</v>
      </c>
      <c r="K107" s="177"/>
      <c r="L107" s="177"/>
      <c r="M107" s="220"/>
      <c r="N107" s="58"/>
      <c r="P107" s="218" t="s">
        <v>45</v>
      </c>
      <c r="Q107" s="219">
        <f>SUM(Q96:Q106)</f>
        <v>0</v>
      </c>
      <c r="R107" s="177"/>
      <c r="S107" s="177"/>
      <c r="T107" s="220"/>
      <c r="U107" s="58"/>
      <c r="W107" s="178" t="s">
        <v>45</v>
      </c>
      <c r="X107" s="219">
        <f>SUM(X96:X106)</f>
        <v>0</v>
      </c>
      <c r="Y107" s="177"/>
      <c r="Z107" s="177"/>
      <c r="AA107" s="58"/>
      <c r="AB107" s="58"/>
      <c r="AC107" s="166"/>
    </row>
    <row r="108" spans="2:29" ht="15.6">
      <c r="B108" s="218" t="s">
        <v>46</v>
      </c>
      <c r="C108" s="219">
        <f>C107-C106-C105-C104-C103</f>
        <v>14</v>
      </c>
      <c r="D108" s="58"/>
      <c r="E108" s="58"/>
      <c r="F108" s="220"/>
      <c r="G108" s="58"/>
      <c r="I108" s="218" t="s">
        <v>46</v>
      </c>
      <c r="J108" s="219">
        <f>J107-J106-J105-J104-J103</f>
        <v>0</v>
      </c>
      <c r="K108" s="58"/>
      <c r="L108" s="58"/>
      <c r="M108" s="220"/>
      <c r="N108" s="58"/>
      <c r="P108" s="218" t="s">
        <v>46</v>
      </c>
      <c r="Q108" s="219">
        <f>Q107-Q106-Q105-Q104-Q103</f>
        <v>0</v>
      </c>
      <c r="R108" s="58"/>
      <c r="S108" s="58"/>
      <c r="T108" s="220"/>
      <c r="U108" s="58"/>
      <c r="W108" s="178" t="s">
        <v>46</v>
      </c>
      <c r="X108" s="219">
        <f>X107-X106-X105-X104-X103</f>
        <v>0</v>
      </c>
      <c r="Y108" s="58"/>
      <c r="Z108" s="58"/>
      <c r="AA108" s="58"/>
      <c r="AB108" s="58"/>
      <c r="AC108" s="166"/>
    </row>
    <row r="109" spans="2:29">
      <c r="W109" s="165"/>
      <c r="X109" s="165"/>
      <c r="Y109" s="165"/>
      <c r="Z109" s="165"/>
      <c r="AA109" s="165"/>
      <c r="AB109" s="186"/>
      <c r="AC109" s="166"/>
    </row>
    <row r="110" spans="2:29">
      <c r="W110" s="165"/>
      <c r="X110" s="165"/>
      <c r="Y110" s="165"/>
      <c r="Z110" s="165"/>
      <c r="AA110" s="165"/>
      <c r="AB110" s="186"/>
      <c r="AC110" s="166"/>
    </row>
    <row r="111" spans="2:29">
      <c r="W111" s="165"/>
      <c r="X111" s="165"/>
      <c r="Y111" s="165"/>
      <c r="Z111" s="165"/>
      <c r="AA111" s="165"/>
      <c r="AB111" s="186"/>
      <c r="AC111" s="166"/>
    </row>
    <row r="112" spans="2:29">
      <c r="W112" s="165"/>
      <c r="X112" s="165"/>
      <c r="Y112" s="165"/>
      <c r="Z112" s="165"/>
      <c r="AA112" s="165"/>
      <c r="AB112" s="186"/>
      <c r="AC112" s="166"/>
    </row>
    <row r="113" spans="23:29">
      <c r="W113" s="165"/>
      <c r="X113" s="165"/>
      <c r="Y113" s="165"/>
      <c r="Z113" s="165"/>
      <c r="AA113" s="165"/>
      <c r="AB113" s="186"/>
      <c r="AC113" s="166"/>
    </row>
    <row r="114" spans="23:29">
      <c r="W114" s="165"/>
      <c r="X114" s="165"/>
      <c r="Y114" s="165"/>
      <c r="Z114" s="165"/>
      <c r="AA114" s="165"/>
      <c r="AB114" s="186"/>
      <c r="AC114" s="166"/>
    </row>
    <row r="115" spans="23:29">
      <c r="W115" s="165"/>
      <c r="X115" s="165"/>
      <c r="Y115" s="165"/>
      <c r="Z115" s="165"/>
      <c r="AA115" s="165"/>
      <c r="AB115" s="186"/>
      <c r="AC115" s="166"/>
    </row>
    <row r="116" spans="23:29">
      <c r="W116" s="165"/>
      <c r="X116" s="165"/>
      <c r="Y116" s="165"/>
      <c r="Z116" s="165"/>
      <c r="AA116" s="165"/>
      <c r="AB116" s="186"/>
      <c r="AC116" s="166"/>
    </row>
    <row r="117" spans="23:29">
      <c r="W117" s="165"/>
      <c r="X117" s="165"/>
      <c r="Y117" s="165"/>
      <c r="Z117" s="165"/>
      <c r="AA117" s="165"/>
      <c r="AB117" s="186"/>
      <c r="AC117" s="166"/>
    </row>
    <row r="118" spans="23:29">
      <c r="W118" s="165"/>
      <c r="X118" s="165"/>
      <c r="Y118" s="165"/>
      <c r="Z118" s="165"/>
      <c r="AA118" s="165"/>
      <c r="AB118" s="186"/>
      <c r="AC118" s="166"/>
    </row>
    <row r="119" spans="23:29">
      <c r="W119" s="165"/>
      <c r="X119" s="165"/>
      <c r="Y119" s="165"/>
      <c r="Z119" s="165"/>
      <c r="AA119" s="165"/>
      <c r="AB119" s="186"/>
      <c r="AC119" s="166"/>
    </row>
    <row r="120" spans="23:29">
      <c r="W120" s="165"/>
      <c r="X120" s="165"/>
      <c r="Y120" s="165"/>
      <c r="Z120" s="165"/>
      <c r="AA120" s="165"/>
      <c r="AB120" s="186"/>
      <c r="AC120" s="166"/>
    </row>
    <row r="121" spans="23:29">
      <c r="W121" s="165"/>
      <c r="X121" s="165"/>
      <c r="Y121" s="165"/>
      <c r="Z121" s="165"/>
      <c r="AA121" s="165"/>
      <c r="AB121" s="186"/>
      <c r="AC121" s="166"/>
    </row>
    <row r="122" spans="23:29">
      <c r="W122" s="165"/>
      <c r="X122" s="165"/>
      <c r="Y122" s="165"/>
      <c r="Z122" s="165"/>
      <c r="AA122" s="165"/>
      <c r="AB122" s="186"/>
      <c r="AC122" s="166"/>
    </row>
    <row r="123" spans="23:29">
      <c r="W123" s="165"/>
      <c r="X123" s="165"/>
      <c r="Y123" s="165"/>
      <c r="Z123" s="165"/>
      <c r="AA123" s="165"/>
      <c r="AB123" s="186"/>
      <c r="AC123" s="166"/>
    </row>
    <row r="124" spans="23:29">
      <c r="W124" s="165"/>
      <c r="X124" s="165"/>
      <c r="Y124" s="165"/>
      <c r="Z124" s="165"/>
      <c r="AA124" s="165"/>
      <c r="AB124" s="186"/>
      <c r="AC124" s="166"/>
    </row>
    <row r="125" spans="23:29">
      <c r="W125" s="165"/>
      <c r="X125" s="165"/>
      <c r="Y125" s="165"/>
      <c r="Z125" s="165"/>
      <c r="AA125" s="165"/>
      <c r="AB125" s="186"/>
      <c r="AC125" s="166"/>
    </row>
    <row r="126" spans="23:29">
      <c r="W126" s="165"/>
      <c r="X126" s="165"/>
      <c r="Y126" s="165"/>
      <c r="Z126" s="165"/>
      <c r="AA126" s="165"/>
      <c r="AB126" s="186"/>
      <c r="AC126" s="166"/>
    </row>
    <row r="127" spans="23:29">
      <c r="W127" s="165"/>
      <c r="X127" s="165"/>
      <c r="Y127" s="165"/>
      <c r="Z127" s="165"/>
      <c r="AA127" s="165"/>
      <c r="AB127" s="186"/>
      <c r="AC127" s="166"/>
    </row>
    <row r="128" spans="23:29">
      <c r="W128" s="165"/>
      <c r="X128" s="165"/>
      <c r="Y128" s="165"/>
      <c r="Z128" s="165"/>
      <c r="AA128" s="165"/>
      <c r="AB128" s="186"/>
      <c r="AC128" s="166"/>
    </row>
    <row r="129" spans="23:29">
      <c r="W129" s="165"/>
      <c r="X129" s="165"/>
      <c r="Y129" s="165"/>
      <c r="Z129" s="165"/>
      <c r="AA129" s="165"/>
      <c r="AB129" s="186"/>
      <c r="AC129" s="166"/>
    </row>
    <row r="130" spans="23:29">
      <c r="W130" s="165"/>
      <c r="X130" s="165"/>
      <c r="Y130" s="165"/>
      <c r="Z130" s="165"/>
      <c r="AA130" s="165"/>
      <c r="AB130" s="186"/>
      <c r="AC130" s="166"/>
    </row>
    <row r="131" spans="23:29">
      <c r="W131" s="165"/>
      <c r="X131" s="165"/>
      <c r="Y131" s="165"/>
      <c r="Z131" s="165"/>
      <c r="AA131" s="165"/>
      <c r="AB131" s="186"/>
      <c r="AC131" s="166"/>
    </row>
    <row r="132" spans="23:29">
      <c r="W132" s="165"/>
      <c r="X132" s="165"/>
      <c r="Y132" s="165"/>
      <c r="Z132" s="165"/>
      <c r="AA132" s="165"/>
      <c r="AB132" s="186"/>
      <c r="AC132" s="166"/>
    </row>
    <row r="133" spans="23:29">
      <c r="W133" s="165"/>
      <c r="X133" s="165"/>
      <c r="Y133" s="165"/>
      <c r="Z133" s="165"/>
      <c r="AA133" s="165"/>
      <c r="AB133" s="186"/>
      <c r="AC133" s="166"/>
    </row>
    <row r="134" spans="23:29">
      <c r="W134" s="165"/>
      <c r="X134" s="165"/>
      <c r="Y134" s="165"/>
      <c r="Z134" s="165"/>
      <c r="AA134" s="165"/>
      <c r="AB134" s="186"/>
      <c r="AC134" s="166"/>
    </row>
    <row r="135" spans="23:29">
      <c r="W135" s="165"/>
      <c r="X135" s="165"/>
      <c r="Y135" s="165"/>
      <c r="Z135" s="165"/>
      <c r="AA135" s="165"/>
      <c r="AB135" s="186"/>
      <c r="AC135" s="166"/>
    </row>
    <row r="136" spans="23:29">
      <c r="W136" s="165"/>
      <c r="X136" s="165"/>
      <c r="Y136" s="165"/>
      <c r="Z136" s="165"/>
      <c r="AA136" s="165"/>
      <c r="AB136" s="186"/>
      <c r="AC136" s="166"/>
    </row>
    <row r="137" spans="23:29">
      <c r="W137" s="165"/>
      <c r="X137" s="165"/>
      <c r="Y137" s="165"/>
      <c r="Z137" s="165"/>
      <c r="AA137" s="165"/>
      <c r="AB137" s="186"/>
      <c r="AC137" s="166"/>
    </row>
    <row r="138" spans="23:29">
      <c r="W138" s="165"/>
      <c r="X138" s="165"/>
      <c r="Y138" s="165"/>
      <c r="Z138" s="165"/>
      <c r="AA138" s="165"/>
      <c r="AB138" s="186"/>
      <c r="AC138" s="166"/>
    </row>
    <row r="139" spans="23:29">
      <c r="W139" s="165"/>
      <c r="X139" s="165"/>
      <c r="Y139" s="165"/>
      <c r="Z139" s="165"/>
      <c r="AA139" s="165"/>
      <c r="AB139" s="186"/>
      <c r="AC139" s="166"/>
    </row>
    <row r="140" spans="23:29">
      <c r="W140" s="165"/>
      <c r="X140" s="165"/>
      <c r="Y140" s="165"/>
      <c r="Z140" s="165"/>
      <c r="AA140" s="165"/>
      <c r="AB140" s="186"/>
      <c r="AC140" s="166"/>
    </row>
    <row r="141" spans="23:29">
      <c r="W141" s="165"/>
      <c r="X141" s="165"/>
      <c r="Y141" s="165"/>
      <c r="Z141" s="165"/>
      <c r="AA141" s="165"/>
      <c r="AB141" s="186"/>
      <c r="AC141" s="166"/>
    </row>
    <row r="142" spans="23:29">
      <c r="W142" s="165"/>
      <c r="X142" s="165"/>
      <c r="Y142" s="165"/>
      <c r="Z142" s="165"/>
      <c r="AA142" s="165"/>
      <c r="AB142" s="186"/>
      <c r="AC142" s="166"/>
    </row>
    <row r="143" spans="23:29">
      <c r="W143" s="165"/>
      <c r="X143" s="165"/>
      <c r="Y143" s="165"/>
      <c r="Z143" s="165"/>
      <c r="AA143" s="165"/>
      <c r="AB143" s="186"/>
      <c r="AC143" s="166"/>
    </row>
    <row r="144" spans="23:29">
      <c r="W144" s="165"/>
      <c r="X144" s="165"/>
      <c r="Y144" s="165"/>
      <c r="Z144" s="165"/>
      <c r="AA144" s="165"/>
      <c r="AB144" s="186"/>
      <c r="AC144" s="166"/>
    </row>
    <row r="145" spans="23:29">
      <c r="W145" s="165"/>
      <c r="X145" s="165"/>
      <c r="Y145" s="165"/>
      <c r="Z145" s="165"/>
      <c r="AA145" s="165"/>
      <c r="AB145" s="186"/>
      <c r="AC145" s="166"/>
    </row>
    <row r="146" spans="23:29">
      <c r="W146" s="165"/>
      <c r="X146" s="165"/>
      <c r="Y146" s="165"/>
      <c r="Z146" s="165"/>
      <c r="AA146" s="165"/>
      <c r="AB146" s="186"/>
      <c r="AC146" s="166"/>
    </row>
    <row r="147" spans="23:29">
      <c r="W147" s="165"/>
      <c r="X147" s="165"/>
      <c r="Y147" s="165"/>
      <c r="Z147" s="165"/>
      <c r="AA147" s="165"/>
      <c r="AB147" s="186"/>
      <c r="AC147" s="166"/>
    </row>
    <row r="148" spans="23:29">
      <c r="W148" s="165"/>
      <c r="X148" s="165"/>
      <c r="Y148" s="165"/>
      <c r="Z148" s="165"/>
      <c r="AA148" s="165"/>
      <c r="AB148" s="186"/>
      <c r="AC148" s="166"/>
    </row>
    <row r="149" spans="23:29">
      <c r="W149" s="165"/>
      <c r="X149" s="165"/>
      <c r="Y149" s="165"/>
      <c r="Z149" s="165"/>
      <c r="AA149" s="165"/>
      <c r="AB149" s="186"/>
      <c r="AC149" s="166"/>
    </row>
    <row r="150" spans="23:29">
      <c r="W150" s="165"/>
      <c r="X150" s="165"/>
      <c r="Y150" s="165"/>
      <c r="Z150" s="165"/>
      <c r="AA150" s="165"/>
      <c r="AB150" s="186"/>
      <c r="AC150" s="166"/>
    </row>
    <row r="151" spans="23:29">
      <c r="W151" s="165"/>
      <c r="X151" s="165"/>
      <c r="Y151" s="165"/>
      <c r="Z151" s="165"/>
      <c r="AA151" s="165"/>
      <c r="AB151" s="186"/>
      <c r="AC151" s="166"/>
    </row>
    <row r="152" spans="23:29">
      <c r="W152" s="165"/>
      <c r="X152" s="165"/>
      <c r="Y152" s="165"/>
      <c r="Z152" s="165"/>
      <c r="AA152" s="165"/>
      <c r="AB152" s="186"/>
      <c r="AC152" s="166"/>
    </row>
    <row r="153" spans="23:29">
      <c r="W153" s="165"/>
      <c r="X153" s="165"/>
      <c r="Y153" s="165"/>
      <c r="Z153" s="165"/>
      <c r="AA153" s="165"/>
      <c r="AB153" s="186"/>
      <c r="AC153" s="166"/>
    </row>
    <row r="154" spans="23:29">
      <c r="W154" s="165"/>
      <c r="X154" s="165"/>
      <c r="Y154" s="165"/>
      <c r="Z154" s="165"/>
      <c r="AA154" s="165"/>
      <c r="AB154" s="186"/>
      <c r="AC154" s="166"/>
    </row>
    <row r="155" spans="23:29">
      <c r="W155" s="165"/>
      <c r="X155" s="165"/>
      <c r="Y155" s="165"/>
      <c r="Z155" s="165"/>
      <c r="AA155" s="165"/>
      <c r="AB155" s="186"/>
      <c r="AC155" s="166"/>
    </row>
    <row r="156" spans="23:29">
      <c r="W156" s="165"/>
      <c r="X156" s="165"/>
      <c r="Y156" s="165"/>
      <c r="Z156" s="165"/>
      <c r="AA156" s="165"/>
      <c r="AB156" s="186"/>
      <c r="AC156" s="166"/>
    </row>
    <row r="157" spans="23:29">
      <c r="W157" s="165"/>
      <c r="X157" s="165"/>
      <c r="Y157" s="165"/>
      <c r="Z157" s="165"/>
      <c r="AA157" s="165"/>
      <c r="AB157" s="186"/>
      <c r="AC157" s="166"/>
    </row>
    <row r="158" spans="23:29">
      <c r="W158" s="165"/>
      <c r="X158" s="165"/>
      <c r="Y158" s="165"/>
      <c r="Z158" s="165"/>
      <c r="AA158" s="165"/>
      <c r="AB158" s="186"/>
      <c r="AC158" s="166"/>
    </row>
    <row r="159" spans="23:29">
      <c r="W159" s="165"/>
      <c r="X159" s="165"/>
      <c r="Y159" s="165"/>
      <c r="Z159" s="165"/>
      <c r="AA159" s="165"/>
      <c r="AB159" s="186"/>
      <c r="AC159" s="166"/>
    </row>
    <row r="160" spans="23:29">
      <c r="W160" s="165"/>
      <c r="X160" s="165"/>
      <c r="Y160" s="165"/>
      <c r="Z160" s="165"/>
      <c r="AA160" s="165"/>
      <c r="AB160" s="186"/>
      <c r="AC160" s="166"/>
    </row>
    <row r="161" spans="23:29">
      <c r="W161" s="165"/>
      <c r="X161" s="165"/>
      <c r="Y161" s="165"/>
      <c r="Z161" s="165"/>
      <c r="AA161" s="165"/>
      <c r="AB161" s="186"/>
      <c r="AC161" s="166"/>
    </row>
    <row r="162" spans="23:29">
      <c r="W162" s="165"/>
      <c r="X162" s="165"/>
      <c r="Y162" s="165"/>
      <c r="Z162" s="165"/>
      <c r="AA162" s="165"/>
      <c r="AB162" s="186"/>
      <c r="AC162" s="166"/>
    </row>
    <row r="163" spans="23:29">
      <c r="W163" s="165"/>
      <c r="X163" s="165"/>
      <c r="Y163" s="165"/>
      <c r="Z163" s="165"/>
      <c r="AA163" s="165"/>
      <c r="AB163" s="186"/>
      <c r="AC163" s="166"/>
    </row>
    <row r="164" spans="23:29">
      <c r="W164" s="165"/>
      <c r="X164" s="165"/>
      <c r="Y164" s="165"/>
      <c r="Z164" s="165"/>
      <c r="AA164" s="165"/>
      <c r="AB164" s="186"/>
      <c r="AC164" s="166"/>
    </row>
    <row r="165" spans="23:29">
      <c r="W165" s="165"/>
      <c r="X165" s="165"/>
      <c r="Y165" s="165"/>
      <c r="Z165" s="165"/>
      <c r="AA165" s="165"/>
      <c r="AB165" s="186"/>
      <c r="AC165" s="166"/>
    </row>
    <row r="166" spans="23:29">
      <c r="W166" s="165"/>
      <c r="X166" s="165"/>
      <c r="Y166" s="165"/>
      <c r="Z166" s="165"/>
      <c r="AA166" s="165"/>
      <c r="AB166" s="186"/>
      <c r="AC166" s="166"/>
    </row>
    <row r="167" spans="23:29">
      <c r="W167" s="165"/>
      <c r="X167" s="165"/>
      <c r="Y167" s="165"/>
      <c r="Z167" s="165"/>
      <c r="AA167" s="165"/>
      <c r="AB167" s="186"/>
      <c r="AC167" s="166"/>
    </row>
    <row r="168" spans="23:29">
      <c r="W168" s="165"/>
      <c r="X168" s="165"/>
      <c r="Y168" s="165"/>
      <c r="Z168" s="165"/>
      <c r="AA168" s="165"/>
      <c r="AB168" s="186"/>
      <c r="AC168" s="166"/>
    </row>
    <row r="169" spans="23:29">
      <c r="W169" s="165"/>
      <c r="X169" s="165"/>
      <c r="Y169" s="165"/>
      <c r="Z169" s="165"/>
      <c r="AA169" s="165"/>
      <c r="AB169" s="186"/>
      <c r="AC169" s="166"/>
    </row>
    <row r="170" spans="23:29">
      <c r="W170" s="165"/>
      <c r="X170" s="165"/>
      <c r="Y170" s="165"/>
      <c r="Z170" s="165"/>
      <c r="AA170" s="165"/>
      <c r="AB170" s="186"/>
      <c r="AC170" s="166"/>
    </row>
    <row r="171" spans="23:29">
      <c r="W171" s="165"/>
      <c r="X171" s="165"/>
      <c r="Y171" s="165"/>
      <c r="Z171" s="165"/>
      <c r="AA171" s="165"/>
      <c r="AB171" s="186"/>
      <c r="AC171" s="166"/>
    </row>
    <row r="172" spans="23:29">
      <c r="W172" s="165"/>
      <c r="X172" s="165"/>
      <c r="Y172" s="165"/>
      <c r="Z172" s="165"/>
      <c r="AA172" s="165"/>
      <c r="AB172" s="186"/>
      <c r="AC172" s="166"/>
    </row>
    <row r="173" spans="23:29">
      <c r="W173" s="165"/>
      <c r="X173" s="165"/>
      <c r="Y173" s="165"/>
      <c r="Z173" s="165"/>
      <c r="AA173" s="165"/>
      <c r="AB173" s="186"/>
      <c r="AC173" s="166"/>
    </row>
    <row r="174" spans="23:29">
      <c r="W174" s="165"/>
      <c r="X174" s="165"/>
      <c r="Y174" s="165"/>
      <c r="Z174" s="165"/>
      <c r="AA174" s="165"/>
      <c r="AB174" s="186"/>
      <c r="AC174" s="166"/>
    </row>
    <row r="175" spans="23:29">
      <c r="W175" s="165"/>
      <c r="X175" s="165"/>
      <c r="Y175" s="165"/>
      <c r="Z175" s="165"/>
      <c r="AA175" s="165"/>
      <c r="AB175" s="186"/>
      <c r="AC175" s="166"/>
    </row>
    <row r="176" spans="23:29">
      <c r="W176" s="165"/>
      <c r="X176" s="165"/>
      <c r="Y176" s="165"/>
      <c r="Z176" s="165"/>
      <c r="AA176" s="165"/>
      <c r="AB176" s="186"/>
      <c r="AC176" s="166"/>
    </row>
    <row r="177" spans="23:29">
      <c r="W177" s="165"/>
      <c r="X177" s="165"/>
      <c r="Y177" s="165"/>
      <c r="Z177" s="165"/>
      <c r="AA177" s="165"/>
      <c r="AB177" s="186"/>
      <c r="AC177" s="166"/>
    </row>
    <row r="178" spans="23:29">
      <c r="W178" s="165"/>
      <c r="X178" s="165"/>
      <c r="Y178" s="165"/>
      <c r="Z178" s="165"/>
      <c r="AA178" s="165"/>
      <c r="AB178" s="186"/>
      <c r="AC178" s="166"/>
    </row>
    <row r="179" spans="23:29">
      <c r="W179" s="165"/>
      <c r="X179" s="165"/>
      <c r="Y179" s="165"/>
      <c r="Z179" s="165"/>
      <c r="AA179" s="165"/>
      <c r="AB179" s="186"/>
      <c r="AC179" s="166"/>
    </row>
    <row r="180" spans="23:29">
      <c r="W180" s="165"/>
      <c r="X180" s="165"/>
      <c r="Y180" s="165"/>
      <c r="Z180" s="165"/>
      <c r="AA180" s="165"/>
      <c r="AB180" s="186"/>
      <c r="AC180" s="166"/>
    </row>
    <row r="181" spans="23:29">
      <c r="W181" s="165"/>
      <c r="X181" s="165"/>
      <c r="Y181" s="165"/>
      <c r="Z181" s="165"/>
      <c r="AA181" s="165"/>
      <c r="AB181" s="186"/>
      <c r="AC181" s="166"/>
    </row>
    <row r="182" spans="23:29">
      <c r="W182" s="165"/>
      <c r="X182" s="165"/>
      <c r="Y182" s="165"/>
      <c r="Z182" s="165"/>
      <c r="AA182" s="165"/>
      <c r="AB182" s="186"/>
      <c r="AC182" s="166"/>
    </row>
    <row r="183" spans="23:29">
      <c r="W183" s="165"/>
      <c r="X183" s="165"/>
      <c r="Y183" s="165"/>
      <c r="Z183" s="165"/>
      <c r="AA183" s="165"/>
      <c r="AB183" s="186"/>
      <c r="AC183" s="166"/>
    </row>
    <row r="184" spans="23:29">
      <c r="W184" s="165"/>
      <c r="X184" s="165"/>
      <c r="Y184" s="165"/>
      <c r="Z184" s="165"/>
      <c r="AA184" s="165"/>
      <c r="AB184" s="186"/>
      <c r="AC184" s="166"/>
    </row>
    <row r="185" spans="23:29">
      <c r="W185" s="165"/>
      <c r="X185" s="165"/>
      <c r="Y185" s="165"/>
      <c r="Z185" s="165"/>
      <c r="AA185" s="165"/>
      <c r="AB185" s="186"/>
      <c r="AC185" s="166"/>
    </row>
    <row r="186" spans="23:29">
      <c r="W186" s="165"/>
      <c r="X186" s="165"/>
      <c r="Y186" s="165"/>
      <c r="Z186" s="165"/>
      <c r="AA186" s="165"/>
      <c r="AB186" s="186"/>
      <c r="AC186" s="166"/>
    </row>
    <row r="187" spans="23:29">
      <c r="W187" s="165"/>
      <c r="X187" s="165"/>
      <c r="Y187" s="165"/>
      <c r="Z187" s="165"/>
      <c r="AA187" s="165"/>
      <c r="AB187" s="186"/>
      <c r="AC187" s="166"/>
    </row>
    <row r="188" spans="23:29">
      <c r="W188" s="165"/>
      <c r="X188" s="165"/>
      <c r="Y188" s="165"/>
      <c r="Z188" s="165"/>
      <c r="AA188" s="165"/>
      <c r="AB188" s="186"/>
      <c r="AC188" s="166"/>
    </row>
    <row r="189" spans="23:29">
      <c r="W189" s="165"/>
      <c r="X189" s="165"/>
      <c r="Y189" s="165"/>
      <c r="Z189" s="165"/>
      <c r="AA189" s="165"/>
      <c r="AB189" s="186"/>
      <c r="AC189" s="166"/>
    </row>
    <row r="190" spans="23:29">
      <c r="W190" s="165"/>
      <c r="X190" s="165"/>
      <c r="Y190" s="165"/>
      <c r="Z190" s="165"/>
      <c r="AA190" s="165"/>
      <c r="AB190" s="186"/>
      <c r="AC190" s="166"/>
    </row>
    <row r="191" spans="23:29">
      <c r="W191" s="165"/>
      <c r="X191" s="165"/>
      <c r="Y191" s="165"/>
      <c r="Z191" s="165"/>
      <c r="AA191" s="165"/>
      <c r="AB191" s="186"/>
      <c r="AC191" s="166"/>
    </row>
    <row r="192" spans="23:29">
      <c r="W192" s="165"/>
      <c r="X192" s="165"/>
      <c r="Y192" s="165"/>
      <c r="Z192" s="165"/>
      <c r="AA192" s="165"/>
      <c r="AB192" s="186"/>
      <c r="AC192" s="166"/>
    </row>
    <row r="193" spans="23:29">
      <c r="W193" s="165"/>
      <c r="X193" s="165"/>
      <c r="Y193" s="165"/>
      <c r="Z193" s="165"/>
      <c r="AA193" s="165"/>
      <c r="AB193" s="186"/>
      <c r="AC193" s="166"/>
    </row>
    <row r="194" spans="23:29">
      <c r="W194" s="165"/>
      <c r="X194" s="165"/>
      <c r="Y194" s="165"/>
      <c r="Z194" s="165"/>
      <c r="AA194" s="165"/>
      <c r="AB194" s="186"/>
      <c r="AC194" s="166"/>
    </row>
    <row r="195" spans="23:29">
      <c r="W195" s="165"/>
      <c r="X195" s="165"/>
      <c r="Y195" s="165"/>
      <c r="Z195" s="165"/>
      <c r="AA195" s="165"/>
      <c r="AB195" s="186"/>
      <c r="AC195" s="166"/>
    </row>
    <row r="196" spans="23:29">
      <c r="W196" s="165"/>
      <c r="X196" s="165"/>
      <c r="Y196" s="165"/>
      <c r="Z196" s="165"/>
      <c r="AA196" s="165"/>
      <c r="AB196" s="186"/>
      <c r="AC196" s="166"/>
    </row>
    <row r="197" spans="23:29">
      <c r="W197" s="165"/>
      <c r="X197" s="165"/>
      <c r="Y197" s="165"/>
      <c r="Z197" s="165"/>
      <c r="AA197" s="165"/>
      <c r="AB197" s="186"/>
      <c r="AC197" s="166"/>
    </row>
  </sheetData>
  <mergeCells count="216">
    <mergeCell ref="M80:M82"/>
    <mergeCell ref="N80:N82"/>
    <mergeCell ref="P80:P82"/>
    <mergeCell ref="Q80:Q82"/>
    <mergeCell ref="Z83:Z84"/>
    <mergeCell ref="AB83:AB84"/>
    <mergeCell ref="E83:E84"/>
    <mergeCell ref="G83:G84"/>
    <mergeCell ref="L83:L84"/>
    <mergeCell ref="N83:N84"/>
    <mergeCell ref="S83:S84"/>
    <mergeCell ref="U83:U8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M44:M46"/>
    <mergeCell ref="N44:N46"/>
    <mergeCell ref="P44:P46"/>
    <mergeCell ref="Q44:Q46"/>
    <mergeCell ref="B62:B64"/>
    <mergeCell ref="C62:C64"/>
    <mergeCell ref="D62:D64"/>
    <mergeCell ref="E62:E64"/>
    <mergeCell ref="F62:F64"/>
    <mergeCell ref="G62:G64"/>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M7:M9"/>
    <mergeCell ref="N7:N9"/>
    <mergeCell ref="P7:P9"/>
    <mergeCell ref="Q7:Q9"/>
    <mergeCell ref="B26:B28"/>
    <mergeCell ref="C26:C28"/>
    <mergeCell ref="D26:D28"/>
    <mergeCell ref="E26:E28"/>
    <mergeCell ref="F26:F28"/>
    <mergeCell ref="G26:G28"/>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E96:E97"/>
    <mergeCell ref="G96:G97"/>
    <mergeCell ref="B98:B100"/>
    <mergeCell ref="C98:C100"/>
    <mergeCell ref="D98:D100"/>
    <mergeCell ref="E98:E100"/>
    <mergeCell ref="F98:F100"/>
    <mergeCell ref="G98:G100"/>
    <mergeCell ref="E101:E102"/>
    <mergeCell ref="G101:G102"/>
    <mergeCell ref="I98:I100"/>
    <mergeCell ref="J98:J100"/>
    <mergeCell ref="K98:K100"/>
    <mergeCell ref="L98:L100"/>
    <mergeCell ref="M98:M100"/>
    <mergeCell ref="N98:N100"/>
    <mergeCell ref="P98:P100"/>
    <mergeCell ref="Q98:Q100"/>
    <mergeCell ref="R98:R100"/>
    <mergeCell ref="L101:L102"/>
    <mergeCell ref="N101:N102"/>
    <mergeCell ref="S101:S102"/>
    <mergeCell ref="U101:U102"/>
    <mergeCell ref="Z101:Z102"/>
    <mergeCell ref="AB101:AB102"/>
    <mergeCell ref="L96:L97"/>
    <mergeCell ref="N96:N97"/>
    <mergeCell ref="S96:S97"/>
    <mergeCell ref="U96:U97"/>
    <mergeCell ref="Z96:Z97"/>
    <mergeCell ref="AB96:AB97"/>
    <mergeCell ref="S98:S100"/>
    <mergeCell ref="T98:T100"/>
    <mergeCell ref="U98:U100"/>
    <mergeCell ref="Z98:Z100"/>
    <mergeCell ref="AB98:AB100"/>
  </mergeCells>
  <pageMargins left="0.7" right="0.7" top="0.75" bottom="0.75" header="0.3" footer="0.3"/>
  <pageSetup paperSize="8" orientation="portrait" r:id="rId1"/>
  <rowBreaks count="1" manualBreakCount="1">
    <brk id="55" max="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6"/>
  <sheetViews>
    <sheetView workbookViewId="0">
      <selection activeCell="D1" sqref="D1"/>
    </sheetView>
  </sheetViews>
  <sheetFormatPr defaultColWidth="9.33203125" defaultRowHeight="14.4"/>
  <cols>
    <col min="1" max="1" width="3.44140625" style="68" customWidth="1"/>
    <col min="2" max="9" width="9.33203125" style="68"/>
    <col min="10" max="10" width="3.44140625" style="68" customWidth="1"/>
    <col min="11" max="11" width="9.33203125" style="69" customWidth="1"/>
    <col min="12" max="18" width="9.33203125" style="68" customWidth="1"/>
    <col min="19" max="19" width="3.44140625" style="68" customWidth="1"/>
    <col min="20" max="27" width="9.33203125" style="68" customWidth="1"/>
    <col min="28" max="28" width="3.44140625" style="68" customWidth="1"/>
    <col min="29" max="36" width="9.33203125" style="68" customWidth="1"/>
    <col min="37" max="37" width="3.44140625" style="68" customWidth="1"/>
    <col min="38" max="47" width="9.33203125" style="68" customWidth="1"/>
    <col min="48" max="50" width="9.33203125" style="68"/>
    <col min="51" max="51" width="9.33203125" style="74"/>
    <col min="52" max="55" width="10" style="74" customWidth="1"/>
    <col min="56" max="16384" width="9.33203125" style="68"/>
  </cols>
  <sheetData>
    <row r="1" spans="2:56" s="67" customFormat="1" ht="35.25" customHeight="1">
      <c r="B1" s="73" t="s">
        <v>57</v>
      </c>
      <c r="K1" s="440"/>
      <c r="L1" s="440"/>
      <c r="M1" s="440"/>
      <c r="N1" s="440"/>
      <c r="O1" s="440"/>
      <c r="P1" s="440"/>
      <c r="Q1" s="440"/>
      <c r="R1" s="440"/>
      <c r="S1" s="440"/>
      <c r="T1" s="440"/>
      <c r="U1" s="440"/>
      <c r="V1" s="440"/>
      <c r="W1" s="440"/>
      <c r="X1" s="440"/>
      <c r="AY1" s="73"/>
      <c r="AZ1" s="73"/>
      <c r="BA1" s="73"/>
      <c r="BB1" s="73"/>
      <c r="BC1" s="73"/>
    </row>
    <row r="2" spans="2:56" s="67" customFormat="1" ht="35.4" hidden="1">
      <c r="K2" s="440"/>
      <c r="L2" s="440"/>
      <c r="M2" s="440"/>
      <c r="N2" s="440"/>
      <c r="O2" s="440"/>
      <c r="P2" s="440"/>
      <c r="Q2" s="440"/>
      <c r="R2" s="440"/>
      <c r="S2" s="440"/>
      <c r="T2" s="440"/>
      <c r="U2" s="440"/>
      <c r="V2" s="440"/>
      <c r="W2" s="440"/>
      <c r="X2" s="440"/>
      <c r="AY2" s="73"/>
      <c r="AZ2" s="73"/>
      <c r="BA2" s="73"/>
      <c r="BB2" s="73"/>
      <c r="BC2" s="73"/>
    </row>
    <row r="3" spans="2:56" s="67" customFormat="1" ht="35.4" hidden="1">
      <c r="K3" s="440"/>
      <c r="L3" s="440"/>
      <c r="M3" s="440"/>
      <c r="N3" s="440"/>
      <c r="O3" s="440"/>
      <c r="P3" s="440"/>
      <c r="Q3" s="440"/>
      <c r="R3" s="440"/>
      <c r="S3" s="440"/>
      <c r="T3" s="440"/>
      <c r="U3" s="440"/>
      <c r="V3" s="440"/>
      <c r="W3" s="440"/>
      <c r="X3" s="440"/>
      <c r="AY3" s="73"/>
      <c r="AZ3" s="73"/>
      <c r="BA3" s="73"/>
      <c r="BB3" s="73"/>
      <c r="BC3" s="73"/>
    </row>
    <row r="4" spans="2:56">
      <c r="N4" s="70"/>
      <c r="W4" s="70"/>
      <c r="AF4" s="70"/>
      <c r="AO4" s="70"/>
    </row>
    <row r="5" spans="2:56">
      <c r="AY5" s="75" t="s">
        <v>117</v>
      </c>
      <c r="AZ5" s="76"/>
      <c r="BA5" s="76"/>
      <c r="BB5" s="76"/>
      <c r="BC5" s="76"/>
      <c r="BD5" s="69"/>
    </row>
    <row r="6" spans="2:56">
      <c r="AY6" s="77"/>
      <c r="AZ6" s="78" t="s">
        <v>7</v>
      </c>
      <c r="BA6" s="78" t="s">
        <v>8</v>
      </c>
      <c r="BB6" s="78" t="s">
        <v>9</v>
      </c>
      <c r="BC6" s="78" t="s">
        <v>6</v>
      </c>
      <c r="BD6" s="69"/>
    </row>
    <row r="7" spans="2:56">
      <c r="AY7" s="79" t="s">
        <v>49</v>
      </c>
      <c r="AZ7" s="80">
        <f>'3a. % by Portfolio'!G5</f>
        <v>1</v>
      </c>
      <c r="BA7" s="80" t="e">
        <f>'3a. % by Portfolio'!N5</f>
        <v>#DIV/0!</v>
      </c>
      <c r="BB7" s="80" t="e">
        <f>'3a. % by Portfolio'!U5</f>
        <v>#DIV/0!</v>
      </c>
      <c r="BC7" s="80" t="e">
        <f>'3a. % by Portfolio'!AB5</f>
        <v>#DIV/0!</v>
      </c>
      <c r="BD7" s="69"/>
    </row>
    <row r="8" spans="2:56">
      <c r="L8" s="71"/>
      <c r="M8" s="71"/>
      <c r="AY8" s="79" t="s">
        <v>50</v>
      </c>
      <c r="AZ8" s="80">
        <f>'3a. % by Portfolio'!G7</f>
        <v>0</v>
      </c>
      <c r="BA8" s="80" t="e">
        <f>'3a. % by Portfolio'!N7</f>
        <v>#DIV/0!</v>
      </c>
      <c r="BB8" s="80" t="e">
        <f>'3a. % by Portfolio'!U7</f>
        <v>#DIV/0!</v>
      </c>
      <c r="BC8" s="80" t="e">
        <f>'3a. % by Portfolio'!AB7</f>
        <v>#DIV/0!</v>
      </c>
      <c r="BD8" s="69"/>
    </row>
    <row r="9" spans="2:56">
      <c r="L9" s="71"/>
      <c r="M9" s="71"/>
      <c r="AY9" s="79" t="s">
        <v>51</v>
      </c>
      <c r="AZ9" s="80">
        <f>'3a. % by Portfolio'!G10</f>
        <v>0</v>
      </c>
      <c r="BA9" s="80" t="e">
        <f>'3a. % by Portfolio'!N10</f>
        <v>#DIV/0!</v>
      </c>
      <c r="BB9" s="80" t="e">
        <f>'3a. % by Portfolio'!U10</f>
        <v>#DIV/0!</v>
      </c>
      <c r="BC9" s="80" t="e">
        <f>'3a. % by Portfolio'!AB10</f>
        <v>#DIV/0!</v>
      </c>
      <c r="BD9" s="69"/>
    </row>
    <row r="10" spans="2:56">
      <c r="L10" s="71"/>
      <c r="M10" s="71"/>
      <c r="AY10" s="77"/>
      <c r="AZ10" s="81"/>
      <c r="BA10" s="81"/>
      <c r="BB10" s="81"/>
      <c r="BC10" s="81"/>
      <c r="BD10" s="69"/>
    </row>
    <row r="11" spans="2:56">
      <c r="AY11" s="82"/>
      <c r="AZ11" s="83"/>
      <c r="BA11" s="83"/>
      <c r="BB11" s="83"/>
      <c r="BC11" s="83"/>
      <c r="BD11" s="69"/>
    </row>
    <row r="12" spans="2:56">
      <c r="AY12" s="82"/>
      <c r="AZ12" s="83"/>
      <c r="BA12" s="83"/>
      <c r="BB12" s="83"/>
      <c r="BC12" s="83"/>
      <c r="BD12" s="69"/>
    </row>
    <row r="13" spans="2:56">
      <c r="AY13" s="82"/>
      <c r="AZ13" s="83"/>
      <c r="BA13" s="83"/>
      <c r="BB13" s="83"/>
      <c r="BC13" s="83"/>
      <c r="BD13" s="69"/>
    </row>
    <row r="14" spans="2:56">
      <c r="AY14" s="76"/>
      <c r="AZ14" s="76"/>
      <c r="BA14" s="76"/>
      <c r="BB14" s="76"/>
      <c r="BC14" s="76"/>
      <c r="BD14" s="69"/>
    </row>
    <row r="15" spans="2:56">
      <c r="AY15" s="76"/>
      <c r="AZ15" s="76"/>
      <c r="BA15" s="76"/>
      <c r="BB15" s="76"/>
      <c r="BC15" s="76"/>
      <c r="BD15" s="69"/>
    </row>
    <row r="16" spans="2:56">
      <c r="AY16" s="76"/>
      <c r="AZ16" s="76"/>
      <c r="BA16" s="76"/>
      <c r="BB16" s="76"/>
      <c r="BC16" s="76"/>
      <c r="BD16" s="69"/>
    </row>
    <row r="17" spans="12:56">
      <c r="AY17" s="76"/>
      <c r="AZ17" s="76"/>
      <c r="BA17" s="76"/>
      <c r="BB17" s="76"/>
      <c r="BC17" s="76"/>
      <c r="BD17" s="69"/>
    </row>
    <row r="18" spans="12:56">
      <c r="AY18" s="76"/>
      <c r="AZ18" s="76"/>
      <c r="BA18" s="76"/>
      <c r="BB18" s="76"/>
      <c r="BC18" s="76"/>
      <c r="BD18" s="69"/>
    </row>
    <row r="19" spans="12:56">
      <c r="AY19" s="76"/>
      <c r="AZ19" s="76"/>
      <c r="BA19" s="76"/>
      <c r="BB19" s="76"/>
      <c r="BC19" s="76"/>
      <c r="BD19" s="69"/>
    </row>
    <row r="20" spans="12:56">
      <c r="N20" s="70"/>
      <c r="W20" s="70"/>
      <c r="AF20" s="70"/>
      <c r="AO20" s="70"/>
      <c r="AY20" s="76"/>
      <c r="AZ20" s="76"/>
      <c r="BA20" s="76"/>
      <c r="BB20" s="76"/>
      <c r="BC20" s="76"/>
      <c r="BD20" s="69"/>
    </row>
    <row r="21" spans="12:56">
      <c r="AY21" s="75" t="s">
        <v>95</v>
      </c>
      <c r="AZ21" s="76"/>
      <c r="BA21" s="76"/>
      <c r="BB21" s="76"/>
      <c r="BC21" s="76"/>
      <c r="BD21" s="69"/>
    </row>
    <row r="22" spans="12:56">
      <c r="AY22" s="77"/>
      <c r="AZ22" s="78" t="s">
        <v>7</v>
      </c>
      <c r="BA22" s="78" t="s">
        <v>8</v>
      </c>
      <c r="BB22" s="78" t="s">
        <v>9</v>
      </c>
      <c r="BC22" s="78" t="s">
        <v>6</v>
      </c>
      <c r="BD22" s="69"/>
    </row>
    <row r="23" spans="12:56">
      <c r="AY23" s="79" t="s">
        <v>49</v>
      </c>
      <c r="AZ23" s="80">
        <f>'3a. % by Portfolio'!G24</f>
        <v>1</v>
      </c>
      <c r="BA23" s="80" t="e">
        <f>'3a. % by Portfolio'!N24</f>
        <v>#DIV/0!</v>
      </c>
      <c r="BB23" s="80" t="e">
        <f>'3a. % by Portfolio'!U24</f>
        <v>#DIV/0!</v>
      </c>
      <c r="BC23" s="80" t="e">
        <f>'3a. % by Portfolio'!AB24</f>
        <v>#DIV/0!</v>
      </c>
      <c r="BD23" s="69"/>
    </row>
    <row r="24" spans="12:56">
      <c r="L24" s="71"/>
      <c r="M24" s="71"/>
      <c r="AY24" s="79" t="s">
        <v>50</v>
      </c>
      <c r="AZ24" s="80">
        <f>'3a. % by Portfolio'!G26</f>
        <v>0</v>
      </c>
      <c r="BA24" s="80" t="e">
        <f>'3a. % by Portfolio'!N26</f>
        <v>#DIV/0!</v>
      </c>
      <c r="BB24" s="80" t="e">
        <f>'3a. % by Portfolio'!U26</f>
        <v>#DIV/0!</v>
      </c>
      <c r="BC24" s="80" t="e">
        <f>'3a. % by Portfolio'!AB26</f>
        <v>#DIV/0!</v>
      </c>
      <c r="BD24" s="69"/>
    </row>
    <row r="25" spans="12:56">
      <c r="L25" s="71"/>
      <c r="M25" s="71"/>
      <c r="AY25" s="79" t="s">
        <v>51</v>
      </c>
      <c r="AZ25" s="80">
        <f>'3a. % by Portfolio'!G29</f>
        <v>0</v>
      </c>
      <c r="BA25" s="80" t="e">
        <f>'3a. % by Portfolio'!N29</f>
        <v>#DIV/0!</v>
      </c>
      <c r="BB25" s="80" t="e">
        <f>'3a. % by Portfolio'!U29</f>
        <v>#DIV/0!</v>
      </c>
      <c r="BC25" s="80" t="e">
        <f>'3a. % by Portfolio'!AB29</f>
        <v>#DIV/0!</v>
      </c>
      <c r="BD25" s="69"/>
    </row>
    <row r="26" spans="12:56">
      <c r="L26" s="71"/>
      <c r="M26" s="71"/>
      <c r="AY26" s="76"/>
      <c r="AZ26" s="76"/>
      <c r="BA26" s="76"/>
      <c r="BB26" s="76"/>
      <c r="BC26" s="76"/>
      <c r="BD26" s="69"/>
    </row>
    <row r="27" spans="12:56">
      <c r="AY27" s="82"/>
      <c r="AZ27" s="76"/>
      <c r="BA27" s="76"/>
      <c r="BB27" s="76"/>
      <c r="BC27" s="76"/>
      <c r="BD27" s="69"/>
    </row>
    <row r="28" spans="12:56">
      <c r="AY28" s="82"/>
      <c r="AZ28" s="76"/>
      <c r="BA28" s="76"/>
      <c r="BB28" s="76"/>
      <c r="BC28" s="76"/>
      <c r="BD28" s="69"/>
    </row>
    <row r="29" spans="12:56">
      <c r="AY29" s="82"/>
      <c r="AZ29" s="76"/>
      <c r="BA29" s="76"/>
      <c r="BB29" s="76"/>
      <c r="BC29" s="76"/>
      <c r="BD29" s="69"/>
    </row>
    <row r="30" spans="12:56">
      <c r="AY30" s="76"/>
      <c r="AZ30" s="76"/>
      <c r="BA30" s="76"/>
      <c r="BB30" s="76"/>
      <c r="BC30" s="76"/>
      <c r="BD30" s="69"/>
    </row>
    <row r="31" spans="12:56">
      <c r="AY31" s="76"/>
      <c r="AZ31" s="76"/>
      <c r="BA31" s="76"/>
      <c r="BB31" s="76"/>
      <c r="BC31" s="76"/>
      <c r="BD31" s="69"/>
    </row>
    <row r="32" spans="12:56">
      <c r="AY32" s="76"/>
      <c r="AZ32" s="76"/>
      <c r="BA32" s="76"/>
      <c r="BB32" s="76"/>
      <c r="BC32" s="76"/>
      <c r="BD32" s="69"/>
    </row>
    <row r="33" spans="11:56">
      <c r="AY33" s="76"/>
      <c r="AZ33" s="76"/>
      <c r="BA33" s="76"/>
      <c r="BB33" s="76"/>
      <c r="BC33" s="76"/>
      <c r="BD33" s="69"/>
    </row>
    <row r="34" spans="11:56">
      <c r="AY34" s="76"/>
      <c r="AZ34" s="76"/>
      <c r="BA34" s="76"/>
      <c r="BB34" s="76"/>
      <c r="BC34" s="76"/>
      <c r="BD34" s="69"/>
    </row>
    <row r="35" spans="11:56">
      <c r="AY35" s="76"/>
      <c r="AZ35" s="76"/>
      <c r="BA35" s="76"/>
      <c r="BB35" s="76"/>
      <c r="BC35" s="76"/>
      <c r="BD35" s="69"/>
    </row>
    <row r="36" spans="11:56">
      <c r="N36" s="70"/>
      <c r="W36" s="70"/>
      <c r="AF36" s="70"/>
      <c r="AO36" s="70"/>
      <c r="AY36" s="76"/>
      <c r="AZ36" s="76"/>
      <c r="BA36" s="76"/>
      <c r="BB36" s="76"/>
      <c r="BC36" s="76"/>
      <c r="BD36" s="69"/>
    </row>
    <row r="37" spans="11:56">
      <c r="AY37" s="75" t="s">
        <v>118</v>
      </c>
      <c r="AZ37" s="84"/>
      <c r="BA37" s="84"/>
      <c r="BB37" s="84"/>
      <c r="BC37" s="84"/>
      <c r="BD37" s="72"/>
    </row>
    <row r="38" spans="11:56">
      <c r="AY38" s="85"/>
      <c r="AZ38" s="78" t="s">
        <v>7</v>
      </c>
      <c r="BA38" s="78" t="s">
        <v>8</v>
      </c>
      <c r="BB38" s="78" t="s">
        <v>9</v>
      </c>
      <c r="BC38" s="78" t="s">
        <v>6</v>
      </c>
      <c r="BD38" s="72"/>
    </row>
    <row r="39" spans="11:56">
      <c r="AY39" s="79" t="s">
        <v>49</v>
      </c>
      <c r="AZ39" s="80">
        <f>'3a. % by Portfolio'!G42</f>
        <v>0.88888888888888884</v>
      </c>
      <c r="BA39" s="80" t="e">
        <f>'3a. % by Portfolio'!N42</f>
        <v>#DIV/0!</v>
      </c>
      <c r="BB39" s="80" t="e">
        <f>'3a. % by Portfolio'!U42</f>
        <v>#DIV/0!</v>
      </c>
      <c r="BC39" s="80" t="e">
        <f>'3a. % by Portfolio'!AB42</f>
        <v>#DIV/0!</v>
      </c>
      <c r="BD39" s="72"/>
    </row>
    <row r="40" spans="11:56">
      <c r="K40" s="71"/>
      <c r="L40" s="71"/>
      <c r="AY40" s="79" t="s">
        <v>50</v>
      </c>
      <c r="AZ40" s="80">
        <f>'3a. % by Portfolio'!G44</f>
        <v>0</v>
      </c>
      <c r="BA40" s="80" t="e">
        <f>'3a. % by Portfolio'!N44</f>
        <v>#DIV/0!</v>
      </c>
      <c r="BB40" s="80" t="e">
        <f>'3a. % by Portfolio'!U44</f>
        <v>#DIV/0!</v>
      </c>
      <c r="BC40" s="80" t="e">
        <f>'3a. % by Portfolio'!AB44</f>
        <v>#DIV/0!</v>
      </c>
      <c r="BD40" s="72"/>
    </row>
    <row r="41" spans="11:56">
      <c r="K41" s="71"/>
      <c r="L41" s="71"/>
      <c r="AY41" s="79" t="s">
        <v>51</v>
      </c>
      <c r="AZ41" s="80">
        <f>'3a. % by Portfolio'!G47</f>
        <v>0.1111111111111111</v>
      </c>
      <c r="BA41" s="80" t="e">
        <f>'3a. % by Portfolio'!N47</f>
        <v>#DIV/0!</v>
      </c>
      <c r="BB41" s="80" t="e">
        <f>'3a. % by Portfolio'!U47</f>
        <v>#DIV/0!</v>
      </c>
      <c r="BC41" s="80" t="e">
        <f>'3a. % by Portfolio'!AB47</f>
        <v>#DIV/0!</v>
      </c>
      <c r="BD41" s="72"/>
    </row>
    <row r="42" spans="11:56">
      <c r="K42" s="71"/>
      <c r="L42" s="71"/>
      <c r="AY42" s="76"/>
      <c r="AZ42" s="76"/>
      <c r="BA42" s="76"/>
      <c r="BB42" s="76"/>
      <c r="BC42" s="76"/>
      <c r="BD42" s="69"/>
    </row>
    <row r="43" spans="11:56">
      <c r="AY43" s="82"/>
      <c r="AZ43" s="76"/>
      <c r="BA43" s="76"/>
      <c r="BB43" s="76"/>
      <c r="BC43" s="76"/>
      <c r="BD43" s="69"/>
    </row>
    <row r="44" spans="11:56">
      <c r="AY44" s="82"/>
      <c r="AZ44" s="76"/>
      <c r="BA44" s="76"/>
      <c r="BB44" s="76"/>
      <c r="BC44" s="76"/>
      <c r="BD44" s="69"/>
    </row>
    <row r="45" spans="11:56">
      <c r="AY45" s="82"/>
      <c r="AZ45" s="76"/>
      <c r="BA45" s="76"/>
      <c r="BB45" s="76"/>
      <c r="BC45" s="76"/>
      <c r="BD45" s="69"/>
    </row>
    <row r="46" spans="11:56">
      <c r="AY46" s="76"/>
      <c r="AZ46" s="76"/>
      <c r="BA46" s="76"/>
      <c r="BB46" s="76"/>
      <c r="BC46" s="76"/>
      <c r="BD46" s="69"/>
    </row>
    <row r="47" spans="11:56">
      <c r="AY47" s="76"/>
      <c r="AZ47" s="76"/>
      <c r="BA47" s="76"/>
      <c r="BB47" s="76"/>
      <c r="BC47" s="76"/>
      <c r="BD47" s="69"/>
    </row>
    <row r="48" spans="11:56">
      <c r="AY48" s="76"/>
      <c r="AZ48" s="76"/>
      <c r="BA48" s="76"/>
      <c r="BB48" s="76"/>
      <c r="BC48" s="76"/>
      <c r="BD48" s="69"/>
    </row>
    <row r="49" spans="12:56">
      <c r="AY49" s="76"/>
      <c r="AZ49" s="76"/>
      <c r="BA49" s="76"/>
      <c r="BB49" s="76"/>
      <c r="BC49" s="76"/>
      <c r="BD49" s="69"/>
    </row>
    <row r="50" spans="12:56">
      <c r="AY50" s="76"/>
      <c r="AZ50" s="76"/>
      <c r="BA50" s="76"/>
      <c r="BB50" s="76"/>
      <c r="BC50" s="76"/>
      <c r="BD50" s="69"/>
    </row>
    <row r="51" spans="12:56">
      <c r="AY51" s="76"/>
      <c r="AZ51" s="76"/>
      <c r="BA51" s="76"/>
      <c r="BB51" s="76"/>
      <c r="BC51" s="76"/>
      <c r="BD51" s="69"/>
    </row>
    <row r="52" spans="12:56">
      <c r="N52" s="70"/>
      <c r="W52" s="70"/>
      <c r="AF52" s="70"/>
      <c r="AO52" s="70"/>
      <c r="AY52" s="76"/>
      <c r="AZ52" s="76"/>
      <c r="BA52" s="76"/>
      <c r="BB52" s="76"/>
      <c r="BC52" s="76"/>
      <c r="BD52" s="69"/>
    </row>
    <row r="53" spans="12:56">
      <c r="AY53" s="75" t="s">
        <v>129</v>
      </c>
      <c r="AZ53" s="84"/>
      <c r="BA53" s="84"/>
      <c r="BB53" s="84"/>
      <c r="BC53" s="84"/>
      <c r="BD53" s="69"/>
    </row>
    <row r="54" spans="12:56">
      <c r="AY54" s="85"/>
      <c r="AZ54" s="78" t="s">
        <v>7</v>
      </c>
      <c r="BA54" s="78" t="s">
        <v>8</v>
      </c>
      <c r="BB54" s="78" t="s">
        <v>9</v>
      </c>
      <c r="BC54" s="78" t="s">
        <v>6</v>
      </c>
      <c r="BD54" s="69"/>
    </row>
    <row r="55" spans="12:56">
      <c r="AY55" s="79" t="s">
        <v>49</v>
      </c>
      <c r="AZ55" s="80">
        <f>'3a. % by Portfolio'!G60</f>
        <v>1</v>
      </c>
      <c r="BA55" s="80" t="e">
        <f>'3a. % by Portfolio'!N60</f>
        <v>#DIV/0!</v>
      </c>
      <c r="BB55" s="80" t="e">
        <f>'3a. % by Portfolio'!U60</f>
        <v>#DIV/0!</v>
      </c>
      <c r="BC55" s="80" t="e">
        <f>'3a. % by Portfolio'!AB60</f>
        <v>#DIV/0!</v>
      </c>
      <c r="BD55" s="69"/>
    </row>
    <row r="56" spans="12:56">
      <c r="L56" s="71"/>
      <c r="M56" s="71"/>
      <c r="AY56" s="79" t="s">
        <v>50</v>
      </c>
      <c r="AZ56" s="80">
        <f>'3a. % by Portfolio'!G62</f>
        <v>0</v>
      </c>
      <c r="BA56" s="80" t="e">
        <f>'3a. % by Portfolio'!N62</f>
        <v>#DIV/0!</v>
      </c>
      <c r="BB56" s="80" t="e">
        <f>'3a. % by Portfolio'!U62</f>
        <v>#DIV/0!</v>
      </c>
      <c r="BC56" s="80" t="e">
        <f>'3a. % by Portfolio'!AB62</f>
        <v>#DIV/0!</v>
      </c>
      <c r="BD56" s="69"/>
    </row>
    <row r="57" spans="12:56">
      <c r="L57" s="71"/>
      <c r="M57" s="71"/>
      <c r="AY57" s="79" t="s">
        <v>51</v>
      </c>
      <c r="AZ57" s="80">
        <f>'3a. % by Portfolio'!G65</f>
        <v>0</v>
      </c>
      <c r="BA57" s="80" t="e">
        <f>'3a. % by Portfolio'!N65</f>
        <v>#DIV/0!</v>
      </c>
      <c r="BB57" s="80" t="e">
        <f>'3a. % by Portfolio'!U65</f>
        <v>#DIV/0!</v>
      </c>
      <c r="BC57" s="80" t="e">
        <f>'3a. % by Portfolio'!AB65</f>
        <v>#DIV/0!</v>
      </c>
      <c r="BD57" s="69"/>
    </row>
    <row r="58" spans="12:56">
      <c r="L58" s="71"/>
      <c r="M58" s="71"/>
      <c r="AY58" s="76"/>
      <c r="AZ58" s="76"/>
      <c r="BA58" s="76"/>
      <c r="BB58" s="76"/>
      <c r="BC58" s="76"/>
      <c r="BD58" s="69"/>
    </row>
    <row r="59" spans="12:56">
      <c r="AY59" s="82"/>
      <c r="AZ59" s="76"/>
      <c r="BA59" s="76"/>
      <c r="BB59" s="76"/>
      <c r="BC59" s="76"/>
      <c r="BD59" s="69"/>
    </row>
    <row r="60" spans="12:56">
      <c r="AY60" s="82"/>
      <c r="AZ60" s="76"/>
      <c r="BA60" s="76"/>
      <c r="BB60" s="76"/>
      <c r="BC60" s="76"/>
      <c r="BD60" s="69"/>
    </row>
    <row r="61" spans="12:56">
      <c r="AY61" s="82"/>
      <c r="AZ61" s="76"/>
      <c r="BA61" s="76"/>
      <c r="BB61" s="76"/>
      <c r="BC61" s="76"/>
      <c r="BD61" s="69"/>
    </row>
    <row r="62" spans="12:56">
      <c r="AY62" s="76"/>
      <c r="AZ62" s="76"/>
      <c r="BA62" s="76"/>
      <c r="BB62" s="76"/>
      <c r="BC62" s="76"/>
      <c r="BD62" s="69"/>
    </row>
    <row r="63" spans="12:56">
      <c r="AY63" s="76"/>
      <c r="AZ63" s="76"/>
      <c r="BA63" s="76"/>
      <c r="BB63" s="76"/>
      <c r="BC63" s="76"/>
      <c r="BD63" s="69"/>
    </row>
    <row r="64" spans="12:56">
      <c r="AY64" s="76"/>
      <c r="AZ64" s="76"/>
      <c r="BA64" s="76"/>
      <c r="BB64" s="76"/>
      <c r="BC64" s="76"/>
      <c r="BD64" s="69"/>
    </row>
    <row r="65" spans="14:56">
      <c r="AY65" s="76"/>
      <c r="AZ65" s="76"/>
      <c r="BA65" s="76"/>
      <c r="BB65" s="76"/>
      <c r="BC65" s="76"/>
      <c r="BD65" s="69"/>
    </row>
    <row r="66" spans="14:56">
      <c r="AY66" s="76"/>
      <c r="AZ66" s="76"/>
      <c r="BA66" s="76"/>
      <c r="BB66" s="76"/>
      <c r="BC66" s="76"/>
      <c r="BD66" s="69"/>
    </row>
    <row r="68" spans="14:56">
      <c r="N68" s="70"/>
      <c r="W68" s="70"/>
      <c r="AF68" s="70"/>
      <c r="AO68" s="70"/>
      <c r="AY68" s="76"/>
      <c r="AZ68" s="76"/>
      <c r="BA68" s="76"/>
      <c r="BB68" s="76"/>
      <c r="BC68" s="76"/>
      <c r="BD68" s="69"/>
    </row>
    <row r="69" spans="14:56">
      <c r="AY69" s="75" t="s">
        <v>116</v>
      </c>
      <c r="AZ69" s="84"/>
      <c r="BA69" s="84"/>
      <c r="BB69" s="84"/>
      <c r="BC69" s="84"/>
    </row>
    <row r="70" spans="14:56">
      <c r="AY70" s="85"/>
      <c r="AZ70" s="78" t="s">
        <v>7</v>
      </c>
      <c r="BA70" s="78" t="s">
        <v>8</v>
      </c>
      <c r="BB70" s="78" t="s">
        <v>9</v>
      </c>
      <c r="BC70" s="78" t="s">
        <v>6</v>
      </c>
    </row>
    <row r="71" spans="14:56">
      <c r="AY71" s="79" t="s">
        <v>49</v>
      </c>
      <c r="AZ71" s="80">
        <f>'3a. % by Portfolio'!G78</f>
        <v>0.89473684210526305</v>
      </c>
      <c r="BA71" s="80" t="e">
        <f>'3a. % by Portfolio'!N78</f>
        <v>#DIV/0!</v>
      </c>
      <c r="BB71" s="80" t="e">
        <f>'3a. % by Portfolio'!U78</f>
        <v>#DIV/0!</v>
      </c>
      <c r="BC71" s="80" t="e">
        <f>'3a. % by Portfolio'!AB78</f>
        <v>#DIV/0!</v>
      </c>
    </row>
    <row r="72" spans="14:56">
      <c r="AY72" s="79" t="s">
        <v>50</v>
      </c>
      <c r="AZ72" s="80">
        <f>'3a. % by Portfolio'!G80</f>
        <v>5.2631578947368418E-2</v>
      </c>
      <c r="BA72" s="80" t="e">
        <f>'3a. % by Portfolio'!N80</f>
        <v>#DIV/0!</v>
      </c>
      <c r="BB72" s="80" t="e">
        <f>'3a. % by Portfolio'!U80</f>
        <v>#DIV/0!</v>
      </c>
      <c r="BC72" s="80" t="e">
        <f>'3a. % by Portfolio'!AB80</f>
        <v>#DIV/0!</v>
      </c>
    </row>
    <row r="73" spans="14:56">
      <c r="AY73" s="79" t="s">
        <v>51</v>
      </c>
      <c r="AZ73" s="80">
        <f>'3a. % by Portfolio'!G83</f>
        <v>5.2631578947368418E-2</v>
      </c>
      <c r="BA73" s="80" t="e">
        <f>'3a. % by Portfolio'!N83</f>
        <v>#DIV/0!</v>
      </c>
      <c r="BB73" s="80" t="e">
        <f>'3a. % by Portfolio'!U83</f>
        <v>#DIV/0!</v>
      </c>
      <c r="BC73" s="80" t="e">
        <f>'3a. % by Portfolio'!AB83</f>
        <v>#DIV/0!</v>
      </c>
    </row>
    <row r="84" spans="14:56">
      <c r="N84" s="70"/>
      <c r="W84" s="70"/>
      <c r="AF84" s="70"/>
      <c r="AO84" s="70"/>
    </row>
    <row r="85" spans="14:56">
      <c r="AY85" s="75" t="s">
        <v>94</v>
      </c>
      <c r="AZ85" s="84"/>
      <c r="BA85" s="84"/>
      <c r="BB85" s="84"/>
      <c r="BC85" s="84"/>
    </row>
    <row r="86" spans="14:56">
      <c r="AY86" s="85"/>
      <c r="AZ86" s="78" t="s">
        <v>7</v>
      </c>
      <c r="BA86" s="78" t="s">
        <v>8</v>
      </c>
      <c r="BB86" s="78" t="s">
        <v>9</v>
      </c>
      <c r="BC86" s="78" t="s">
        <v>6</v>
      </c>
    </row>
    <row r="87" spans="14:56">
      <c r="AY87" s="79" t="s">
        <v>49</v>
      </c>
      <c r="AZ87" s="80">
        <f>'3a. % by Portfolio'!G96</f>
        <v>0.92857142857142849</v>
      </c>
      <c r="BA87" s="80" t="e">
        <f>'3a. % by Portfolio'!N96</f>
        <v>#DIV/0!</v>
      </c>
      <c r="BB87" s="80" t="e">
        <f>'3a. % by Portfolio'!U96</f>
        <v>#DIV/0!</v>
      </c>
      <c r="BC87" s="80" t="e">
        <f>'3a. % by Portfolio'!AB96</f>
        <v>#DIV/0!</v>
      </c>
    </row>
    <row r="88" spans="14:56">
      <c r="AY88" s="79" t="s">
        <v>50</v>
      </c>
      <c r="AZ88" s="80">
        <f>'3a. % by Portfolio'!G98</f>
        <v>0</v>
      </c>
      <c r="BA88" s="80" t="e">
        <f>'3a. % by Portfolio'!N98</f>
        <v>#DIV/0!</v>
      </c>
      <c r="BB88" s="80" t="e">
        <f>'3a. % by Portfolio'!U98</f>
        <v>#DIV/0!</v>
      </c>
      <c r="BC88" s="80" t="e">
        <f>'3a. % by Portfolio'!AB98</f>
        <v>#DIV/0!</v>
      </c>
    </row>
    <row r="89" spans="14:56">
      <c r="AY89" s="79" t="s">
        <v>51</v>
      </c>
      <c r="AZ89" s="80">
        <f>'3a. % by Portfolio'!G101</f>
        <v>7.1428571428571425E-2</v>
      </c>
      <c r="BA89" s="80" t="e">
        <f>'3a. % by Portfolio'!N101</f>
        <v>#DIV/0!</v>
      </c>
      <c r="BB89" s="80" t="e">
        <f>'3a. % by Portfolio'!U101</f>
        <v>#DIV/0!</v>
      </c>
      <c r="BC89" s="80" t="e">
        <f>'3a. % by Portfolio'!AB101</f>
        <v>#DIV/0!</v>
      </c>
    </row>
    <row r="95" spans="14:56">
      <c r="AY95" s="86"/>
      <c r="AZ95" s="86"/>
      <c r="BA95" s="86"/>
      <c r="BB95" s="86"/>
      <c r="BC95" s="86"/>
      <c r="BD95" s="87"/>
    </row>
    <row r="96" spans="14:56">
      <c r="AY96" s="86"/>
      <c r="AZ96" s="86"/>
      <c r="BA96" s="86"/>
      <c r="BB96" s="86"/>
      <c r="BC96" s="86"/>
      <c r="BD96" s="87"/>
    </row>
    <row r="97" spans="14:56">
      <c r="AY97" s="86"/>
      <c r="AZ97" s="86"/>
      <c r="BA97" s="86"/>
      <c r="BB97" s="86"/>
      <c r="BC97" s="86"/>
      <c r="BD97" s="87"/>
    </row>
    <row r="98" spans="14:56">
      <c r="AY98" s="86"/>
      <c r="AZ98" s="86"/>
      <c r="BA98" s="86"/>
      <c r="BB98" s="86"/>
      <c r="BC98" s="86"/>
      <c r="BD98" s="87"/>
    </row>
    <row r="99" spans="14:56">
      <c r="AY99" s="86"/>
      <c r="AZ99" s="86"/>
      <c r="BA99" s="86"/>
      <c r="BB99" s="86"/>
      <c r="BC99" s="86"/>
      <c r="BD99" s="87"/>
    </row>
    <row r="100" spans="14:56">
      <c r="N100" s="70"/>
      <c r="W100" s="70"/>
      <c r="AF100" s="70"/>
      <c r="AO100" s="70"/>
      <c r="AY100" s="86"/>
      <c r="AZ100" s="86"/>
      <c r="BA100" s="86"/>
      <c r="BB100" s="86"/>
      <c r="BC100" s="86"/>
      <c r="BD100" s="87"/>
    </row>
    <row r="101" spans="14:56">
      <c r="AY101" s="88"/>
      <c r="AZ101" s="85"/>
      <c r="BA101" s="85"/>
      <c r="BB101" s="85"/>
      <c r="BC101" s="85"/>
      <c r="BD101" s="87"/>
    </row>
    <row r="102" spans="14:56">
      <c r="AY102" s="85"/>
      <c r="AZ102" s="81"/>
      <c r="BA102" s="81"/>
      <c r="BB102" s="81"/>
      <c r="BC102" s="81"/>
      <c r="BD102" s="87"/>
    </row>
    <row r="103" spans="14:56">
      <c r="AY103" s="85"/>
      <c r="AZ103" s="83"/>
      <c r="BA103" s="83"/>
      <c r="BB103" s="83"/>
      <c r="BC103" s="83"/>
      <c r="BD103" s="87"/>
    </row>
    <row r="104" spans="14:56">
      <c r="AY104" s="85"/>
      <c r="AZ104" s="83"/>
      <c r="BA104" s="83"/>
      <c r="BB104" s="83"/>
      <c r="BC104" s="83"/>
      <c r="BD104" s="87"/>
    </row>
    <row r="105" spans="14:56">
      <c r="AY105" s="85"/>
      <c r="AZ105" s="83"/>
      <c r="BA105" s="83"/>
      <c r="BB105" s="83"/>
      <c r="BC105" s="83"/>
      <c r="BD105" s="87"/>
    </row>
    <row r="106" spans="14:56">
      <c r="AY106" s="86"/>
      <c r="AZ106" s="86"/>
      <c r="BA106" s="86"/>
      <c r="BB106" s="86"/>
      <c r="BC106" s="86"/>
      <c r="BD106" s="87"/>
    </row>
    <row r="116" spans="14:41">
      <c r="N116" s="70" t="s">
        <v>44</v>
      </c>
      <c r="W116" s="70" t="s">
        <v>44</v>
      </c>
      <c r="AF116" s="70" t="s">
        <v>44</v>
      </c>
      <c r="AO116" s="70" t="s">
        <v>44</v>
      </c>
    </row>
  </sheetData>
  <sheetProtection algorithmName="SHA-512" hashValue="GWcRMoY39yh15LXY2DuC0qIPyo9do9brC4efnyDbm5F3pEhQ0y2OmJSttxocfpFfdCbABlrGGFA+DwOvOTrsZg==" saltValue="Hro1Mxce4Lp8XtirqwvIlw=="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25" right="0.25" top="0.75" bottom="0.75" header="0.3" footer="0.3"/>
  <pageSetup paperSize="8" scale="51" orientation="landscape" r:id="rId1"/>
  <colBreaks count="1" manualBreakCount="1">
    <brk id="46" max="11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0" customWidth="1"/>
    <col min="2" max="2" width="55.44140625" style="100" customWidth="1"/>
    <col min="3" max="3" width="46.5546875" style="123" customWidth="1"/>
    <col min="4" max="10" width="26.33203125" style="100" customWidth="1"/>
    <col min="11" max="14" width="9.33203125" style="98" customWidth="1"/>
    <col min="15" max="15" width="16.5546875" style="98" hidden="1" customWidth="1"/>
    <col min="16" max="19" width="9.33203125" style="98" hidden="1" customWidth="1"/>
    <col min="20" max="20" width="24.6640625" style="98" hidden="1" customWidth="1"/>
    <col min="21" max="25" width="9.33203125" style="98" hidden="1" customWidth="1"/>
    <col min="26" max="26" width="0" style="98" hidden="1" customWidth="1"/>
    <col min="27" max="46" width="9.33203125" style="98"/>
    <col min="47" max="16384" width="9.33203125" style="100"/>
  </cols>
  <sheetData>
    <row r="1" spans="1:46" s="90" customFormat="1" ht="24" customHeight="1">
      <c r="A1" s="89" t="s">
        <v>44</v>
      </c>
      <c r="C1" s="91"/>
    </row>
    <row r="2" spans="1:46" s="93" customFormat="1" ht="63">
      <c r="A2" s="132" t="s">
        <v>58</v>
      </c>
      <c r="B2" s="132" t="s">
        <v>0</v>
      </c>
      <c r="C2" s="132" t="s">
        <v>1</v>
      </c>
      <c r="D2" s="133" t="s">
        <v>59</v>
      </c>
      <c r="E2" s="133" t="s">
        <v>60</v>
      </c>
      <c r="F2" s="133" t="s">
        <v>61</v>
      </c>
      <c r="G2" s="133" t="s">
        <v>62</v>
      </c>
      <c r="H2" s="133" t="s">
        <v>63</v>
      </c>
      <c r="I2" s="133" t="s">
        <v>64</v>
      </c>
      <c r="J2" s="133" t="s">
        <v>65</v>
      </c>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ht="99.75" customHeight="1" thickBot="1">
      <c r="A3" s="113" t="e">
        <f>'1. All Data'!#REF!</f>
        <v>#REF!</v>
      </c>
      <c r="B3" s="127" t="e">
        <f>'1. All Data'!#REF!</f>
        <v>#REF!</v>
      </c>
      <c r="C3" s="129" t="e">
        <f>'1. All Data'!#REF!</f>
        <v>#REF!</v>
      </c>
      <c r="D3" s="124" t="e">
        <f>'1. All Data'!#REF!</f>
        <v>#REF!</v>
      </c>
      <c r="E3" s="130"/>
      <c r="F3" s="125" t="e">
        <f>'1. All Data'!#REF!</f>
        <v>#REF!</v>
      </c>
      <c r="G3" s="131"/>
      <c r="H3" s="124" t="e">
        <f>'1. All Data'!#REF!</f>
        <v>#REF!</v>
      </c>
      <c r="I3" s="131"/>
      <c r="J3" s="124" t="e">
        <f>'1. All Data'!#REF!</f>
        <v>#REF!</v>
      </c>
      <c r="O3" s="99" t="s">
        <v>67</v>
      </c>
    </row>
    <row r="4" spans="1:46" ht="99.75" customHeight="1" thickTop="1" thickBot="1">
      <c r="A4" s="95" t="str">
        <f>'1. All Data'!B3</f>
        <v>ILD01</v>
      </c>
      <c r="B4" s="127" t="str">
        <f>'1. All Data'!C3</f>
        <v>Improving links between the Parish Councils and ESBC</v>
      </c>
      <c r="C4" s="128" t="str">
        <f>'1. All Data'!D3</f>
        <v>Hold 2 Parish Council Forum events during the year with one event covering Climate Change as a key issue</v>
      </c>
      <c r="D4" s="124" t="str">
        <f>'1. All Data'!H3</f>
        <v>On Track to be Achieved</v>
      </c>
      <c r="E4" s="97"/>
      <c r="F4" s="125">
        <f>'1. All Data'!M3</f>
        <v>0</v>
      </c>
      <c r="G4" s="97"/>
      <c r="H4" s="126">
        <f>'1. All Data'!R3</f>
        <v>0</v>
      </c>
      <c r="I4" s="97"/>
      <c r="J4" s="126">
        <f>'1. All Data'!V3</f>
        <v>0</v>
      </c>
      <c r="O4" s="99" t="s">
        <v>69</v>
      </c>
      <c r="Y4" s="97" t="s">
        <v>68</v>
      </c>
    </row>
    <row r="5" spans="1:46" ht="99.75" customHeight="1" thickTop="1" thickBot="1">
      <c r="A5" s="95" t="str">
        <f>'1. All Data'!B4</f>
        <v>ILD02</v>
      </c>
      <c r="B5" s="127" t="str">
        <f>'1. All Data'!C4</f>
        <v>Car Parking Initiatives</v>
      </c>
      <c r="C5" s="128" t="str">
        <f>'1. All Data'!D4</f>
        <v>Consider findings of a consultation on potential non-cash parking payment options</v>
      </c>
      <c r="D5" s="124" t="str">
        <f>'1. All Data'!H4</f>
        <v>On Track to be Achieved</v>
      </c>
      <c r="E5" s="97"/>
      <c r="F5" s="125">
        <f>'1. All Data'!M4</f>
        <v>0</v>
      </c>
      <c r="G5" s="97"/>
      <c r="H5" s="126">
        <f>'1. All Data'!R4</f>
        <v>0</v>
      </c>
      <c r="I5" s="97"/>
      <c r="J5" s="126">
        <f>'1. All Data'!V4</f>
        <v>0</v>
      </c>
      <c r="O5" s="99" t="s">
        <v>70</v>
      </c>
      <c r="T5" s="101"/>
      <c r="Y5" s="102" t="s">
        <v>71</v>
      </c>
    </row>
    <row r="6" spans="1:46" ht="88.8" thickTop="1" thickBot="1">
      <c r="A6" s="95" t="str">
        <f>'1. All Data'!B5</f>
        <v>ILD03</v>
      </c>
      <c r="B6" s="127" t="str">
        <f>'1. All Data'!C5</f>
        <v>Delivering a high quality Planning service</v>
      </c>
      <c r="C6" s="128" t="str">
        <f>'1. All Data'!D5</f>
        <v xml:space="preserve">Refresh the Member Call In procedures for planning applications and update the Constitution accordingly </v>
      </c>
      <c r="D6" s="124" t="str">
        <f>'1. All Data'!H5</f>
        <v>Off Target</v>
      </c>
      <c r="E6" s="97"/>
      <c r="F6" s="125">
        <f>'1. All Data'!M5</f>
        <v>0</v>
      </c>
      <c r="G6" s="97"/>
      <c r="H6" s="126">
        <f>'1. All Data'!R5</f>
        <v>0</v>
      </c>
      <c r="I6" s="97"/>
      <c r="J6" s="126">
        <f>'1. All Data'!V5</f>
        <v>0</v>
      </c>
      <c r="O6" s="103" t="s">
        <v>66</v>
      </c>
      <c r="T6" s="104" t="s">
        <v>71</v>
      </c>
    </row>
    <row r="7" spans="1:46" ht="99.75" customHeight="1" thickTop="1">
      <c r="A7" s="95" t="str">
        <f>'1. All Data'!B6</f>
        <v>ILD04</v>
      </c>
      <c r="B7" s="127" t="str">
        <f>'1. All Data'!C6</f>
        <v>Improving Financial Stewardship</v>
      </c>
      <c r="C7" s="128" t="str">
        <f>'1. All Data'!D6</f>
        <v>Approve the revised Treasury Management Strategy</v>
      </c>
      <c r="D7" s="124" t="str">
        <f>'1. All Data'!H6</f>
        <v>Not Yet Due</v>
      </c>
      <c r="E7" s="97"/>
      <c r="F7" s="125">
        <f>'1. All Data'!M6</f>
        <v>0</v>
      </c>
      <c r="G7" s="97"/>
      <c r="H7" s="126">
        <f>'1. All Data'!R6</f>
        <v>0</v>
      </c>
      <c r="I7" s="97"/>
      <c r="J7" s="126">
        <f>'1. All Data'!V6</f>
        <v>0</v>
      </c>
      <c r="T7" s="104" t="s">
        <v>72</v>
      </c>
    </row>
    <row r="8" spans="1:46" ht="99.75" customHeight="1">
      <c r="A8" s="95" t="str">
        <f>'1. All Data'!B7</f>
        <v>ILD05</v>
      </c>
      <c r="B8" s="127" t="str">
        <f>'1. All Data'!C7</f>
        <v>Improving Financial Stewardship</v>
      </c>
      <c r="C8" s="128" t="str">
        <f>'1. All Data'!D7</f>
        <v>Approve the revised Medium Term Financial Strategy</v>
      </c>
      <c r="D8" s="124" t="str">
        <f>'1. All Data'!H7</f>
        <v>Not Yet Due</v>
      </c>
      <c r="E8" s="97"/>
      <c r="F8" s="125">
        <f>'1. All Data'!M7</f>
        <v>0</v>
      </c>
      <c r="G8" s="97"/>
      <c r="H8" s="126">
        <f>'1. All Data'!R7</f>
        <v>0</v>
      </c>
      <c r="I8" s="97"/>
      <c r="J8" s="126">
        <f>'1. All Data'!V7</f>
        <v>0</v>
      </c>
      <c r="T8" s="104" t="s">
        <v>68</v>
      </c>
    </row>
    <row r="9" spans="1:46" ht="99.75" customHeight="1">
      <c r="A9" s="95" t="str">
        <f>'1. All Data'!B8</f>
        <v>ILD06</v>
      </c>
      <c r="B9" s="127" t="str">
        <f>'1. All Data'!C8</f>
        <v>Improving Financial Stewardship</v>
      </c>
      <c r="C9" s="128" t="str">
        <f>'1. All Data'!D8</f>
        <v>Implementation of the recommendations contained within the Auditor’s Annual Report for 2022/23</v>
      </c>
      <c r="D9" s="124" t="str">
        <f>'1. All Data'!H8</f>
        <v>On Track to be Achieved</v>
      </c>
      <c r="E9" s="96"/>
      <c r="F9" s="125">
        <f>'1. All Data'!M8</f>
        <v>0</v>
      </c>
      <c r="G9" s="97"/>
      <c r="H9" s="126">
        <f>'1. All Data'!R8</f>
        <v>0</v>
      </c>
      <c r="I9" s="97"/>
      <c r="J9" s="126">
        <f>'1. All Data'!V8</f>
        <v>0</v>
      </c>
    </row>
    <row r="10" spans="1:46" ht="99.75" customHeight="1">
      <c r="A10" s="95" t="str">
        <f>'1. All Data'!B9</f>
        <v>ILD07</v>
      </c>
      <c r="B10" s="127" t="str">
        <f>'1. All Data'!C9</f>
        <v>Improving Financial Stewardship</v>
      </c>
      <c r="C10" s="128" t="str">
        <f>'1. All Data'!D9</f>
        <v>Non-ringfenced reserves as a % of Net Revenue Expenditure (OFLOG Indicator): at least 10%</v>
      </c>
      <c r="D10" s="124" t="str">
        <f>'1. All Data'!H9</f>
        <v>On Track to be Achieved</v>
      </c>
      <c r="E10" s="96"/>
      <c r="F10" s="125">
        <f>'1. All Data'!M9</f>
        <v>0</v>
      </c>
      <c r="G10" s="97"/>
      <c r="H10" s="126">
        <f>'1. All Data'!R9</f>
        <v>0</v>
      </c>
      <c r="I10" s="97"/>
      <c r="J10" s="126">
        <f>'1. All Data'!V9</f>
        <v>0</v>
      </c>
    </row>
    <row r="11" spans="1:46" ht="99.75" customHeight="1">
      <c r="A11" s="95" t="str">
        <f>'1. All Data'!B10</f>
        <v>ILD08</v>
      </c>
      <c r="B11" s="127" t="str">
        <f>'1. All Data'!C10</f>
        <v>Improving Financial Stewardship</v>
      </c>
      <c r="C11" s="128" t="str">
        <f>'1. All Data'!D10</f>
        <v>Non-ringfenced reserves as a % of service spend (OFLOG Indicator): at least 8%</v>
      </c>
      <c r="D11" s="124" t="str">
        <f>'1. All Data'!H10</f>
        <v>On Track to be Achieved</v>
      </c>
      <c r="E11" s="96"/>
      <c r="F11" s="125">
        <f>'1. All Data'!M10</f>
        <v>0</v>
      </c>
      <c r="G11" s="97"/>
      <c r="H11" s="126">
        <f>'1. All Data'!R10</f>
        <v>0</v>
      </c>
      <c r="I11" s="97"/>
      <c r="J11" s="126">
        <f>'1. All Data'!V10</f>
        <v>0</v>
      </c>
    </row>
    <row r="12" spans="1:46" ht="99.75" customHeight="1">
      <c r="A12" s="95" t="str">
        <f>'1. All Data'!B11</f>
        <v>ILD09</v>
      </c>
      <c r="B12" s="127" t="str">
        <f>'1. All Data'!C11</f>
        <v>Improving Financial Stewardship</v>
      </c>
      <c r="C12" s="128" t="str">
        <f>'1. All Data'!D11</f>
        <v>Proactively respond to consultations relating to significant Local Government Finance Changes</v>
      </c>
      <c r="D12" s="124" t="str">
        <f>'1. All Data'!H11</f>
        <v>Not Yet Due</v>
      </c>
      <c r="E12" s="97"/>
      <c r="F12" s="125">
        <f>'1. All Data'!M11</f>
        <v>0</v>
      </c>
      <c r="G12" s="97"/>
      <c r="H12" s="126">
        <f>'1. All Data'!R11</f>
        <v>0</v>
      </c>
      <c r="I12" s="104"/>
      <c r="J12" s="126">
        <f>'1. All Data'!V11</f>
        <v>0</v>
      </c>
    </row>
    <row r="13" spans="1:46" ht="99.75" customHeight="1">
      <c r="A13" s="95" t="str">
        <f>'1. All Data'!B12</f>
        <v>ILD10</v>
      </c>
      <c r="B13" s="127" t="str">
        <f>'1. All Data'!C12</f>
        <v>Improving Financial Stewardship</v>
      </c>
      <c r="C13" s="128" t="str">
        <f>'1. All Data'!D12</f>
        <v>Close the 2021/22 and 2022/23 accounts and meet required deadlines for the 2023/24 accounts</v>
      </c>
      <c r="D13" s="124" t="str">
        <f>'1. All Data'!H12</f>
        <v>Completed Behind Schedule</v>
      </c>
      <c r="E13" s="97"/>
      <c r="F13" s="125">
        <f>'1. All Data'!M12</f>
        <v>0</v>
      </c>
      <c r="G13" s="97"/>
      <c r="H13" s="126">
        <f>'1. All Data'!R12</f>
        <v>0</v>
      </c>
      <c r="I13" s="97"/>
      <c r="J13" s="126">
        <f>'1. All Data'!V12</f>
        <v>0</v>
      </c>
    </row>
    <row r="14" spans="1:46" ht="99.75" customHeight="1">
      <c r="A14" s="95" t="str">
        <f>'1. All Data'!B13</f>
        <v>ILD11</v>
      </c>
      <c r="B14" s="127" t="str">
        <f>'1. All Data'!C13</f>
        <v>Improving Financial Stewardship</v>
      </c>
      <c r="C14" s="128" t="str">
        <f>'1. All Data'!D13</f>
        <v>Approve a revised Risk Management Policy</v>
      </c>
      <c r="D14" s="124" t="str">
        <f>'1. All Data'!H13</f>
        <v>Not Yet Due</v>
      </c>
      <c r="E14" s="97"/>
      <c r="F14" s="125">
        <f>'1. All Data'!M13</f>
        <v>0</v>
      </c>
      <c r="G14" s="97"/>
      <c r="H14" s="126">
        <f>'1. All Data'!R13</f>
        <v>0</v>
      </c>
      <c r="I14" s="97"/>
      <c r="J14" s="126">
        <f>'1. All Data'!V13</f>
        <v>0</v>
      </c>
    </row>
    <row r="15" spans="1:46" ht="99.75" customHeight="1">
      <c r="A15" s="95" t="str">
        <f>'1. All Data'!B15</f>
        <v>ILD13</v>
      </c>
      <c r="B15" s="127" t="str">
        <f>'1. All Data'!C15</f>
        <v>Improving Local Democracy and Consultation</v>
      </c>
      <c r="C15" s="128" t="str">
        <f>'1. All Data'!D15</f>
        <v>Consider whether there is a suitable topic that may benefit from the attention of the Citizen’s jury model</v>
      </c>
      <c r="D15" s="124" t="str">
        <f>'1. All Data'!H15</f>
        <v>Not Yet Due</v>
      </c>
      <c r="E15" s="97"/>
      <c r="F15" s="125">
        <f>'1. All Data'!M15</f>
        <v>0</v>
      </c>
      <c r="G15" s="97"/>
      <c r="H15" s="126">
        <f>'1. All Data'!R15</f>
        <v>0</v>
      </c>
      <c r="I15" s="97"/>
      <c r="J15" s="126">
        <f>'1. All Data'!V15</f>
        <v>0</v>
      </c>
    </row>
    <row r="16" spans="1:46" ht="99.75" customHeight="1">
      <c r="A16" s="95" t="str">
        <f>'1. All Data'!B16</f>
        <v>ILD14</v>
      </c>
      <c r="B16" s="127" t="str">
        <f>'1. All Data'!C16</f>
        <v>Improving Local Democracy and Consultation</v>
      </c>
      <c r="C16" s="128" t="str">
        <f>'1. All Data'!D16</f>
        <v>Embed Livestreaming into other Council Committee meetings</v>
      </c>
      <c r="D16" s="124" t="str">
        <f>'1. All Data'!H16</f>
        <v>On Track to be Achieved</v>
      </c>
      <c r="E16" s="97"/>
      <c r="F16" s="125">
        <f>'1. All Data'!M16</f>
        <v>0</v>
      </c>
      <c r="G16" s="97"/>
      <c r="H16" s="126">
        <f>'1. All Data'!R16</f>
        <v>0</v>
      </c>
      <c r="I16" s="97"/>
      <c r="J16" s="126">
        <f>'1. All Data'!V16</f>
        <v>0</v>
      </c>
    </row>
    <row r="17" spans="1:10" ht="99.75" customHeight="1">
      <c r="A17" s="95" t="str">
        <f>'1. All Data'!B17</f>
        <v>ILD15</v>
      </c>
      <c r="B17" s="127" t="str">
        <f>'1. All Data'!C17</f>
        <v>Successful Delivery of Elections</v>
      </c>
      <c r="C17" s="128" t="str">
        <f>'1. All Data'!D17</f>
        <v>PFCC election successfully delivered as PARO</v>
      </c>
      <c r="D17" s="124" t="str">
        <f>'1. All Data'!H17</f>
        <v>Fully Achieved</v>
      </c>
      <c r="E17" s="97"/>
      <c r="F17" s="125">
        <f>'1. All Data'!M17</f>
        <v>0</v>
      </c>
      <c r="G17" s="97"/>
      <c r="H17" s="126">
        <f>'1. All Data'!R17</f>
        <v>0</v>
      </c>
      <c r="I17" s="97"/>
      <c r="J17" s="126">
        <f>'1. All Data'!V17</f>
        <v>0</v>
      </c>
    </row>
    <row r="18" spans="1:10" ht="99.75" customHeight="1">
      <c r="A18" s="95" t="str">
        <f>'1. All Data'!B18</f>
        <v>ILD16</v>
      </c>
      <c r="B18" s="127" t="str">
        <f>'1. All Data'!C18</f>
        <v>Successful Delivery of Elections</v>
      </c>
      <c r="C18" s="128" t="str">
        <f>'1. All Data'!D18</f>
        <v>General Election successfully delivered</v>
      </c>
      <c r="D18" s="124" t="str">
        <f>'1. All Data'!H18</f>
        <v>On Track to be Achieved</v>
      </c>
      <c r="E18" s="97"/>
      <c r="F18" s="125">
        <f>'1. All Data'!M18</f>
        <v>0</v>
      </c>
      <c r="G18" s="97"/>
      <c r="H18" s="126">
        <f>'1. All Data'!R18</f>
        <v>0</v>
      </c>
      <c r="I18" s="97"/>
      <c r="J18" s="126">
        <f>'1. All Data'!V18</f>
        <v>0</v>
      </c>
    </row>
    <row r="19" spans="1:10" ht="99.75" customHeight="1">
      <c r="A19" s="95" t="str">
        <f>'1. All Data'!B19</f>
        <v>ILD18</v>
      </c>
      <c r="B19" s="127" t="str">
        <f>'1. All Data'!C19</f>
        <v>Improving ICT</v>
      </c>
      <c r="C19" s="128" t="str">
        <f>'1. All Data'!D19</f>
        <v>Migrate 4 physical servers to virtual servers</v>
      </c>
      <c r="D19" s="124" t="str">
        <f>'1. All Data'!H19</f>
        <v>On Track to be Achieved</v>
      </c>
      <c r="E19" s="96"/>
      <c r="F19" s="125">
        <f>'1. All Data'!M19</f>
        <v>0</v>
      </c>
      <c r="G19" s="97"/>
      <c r="H19" s="126">
        <f>'1. All Data'!R19</f>
        <v>0</v>
      </c>
      <c r="I19" s="97"/>
      <c r="J19" s="126">
        <f>'1. All Data'!V19</f>
        <v>0</v>
      </c>
    </row>
    <row r="20" spans="1:10" ht="99.75" customHeight="1">
      <c r="A20" s="95" t="str">
        <f>'1. All Data'!B20</f>
        <v>ILD19</v>
      </c>
      <c r="B20" s="127" t="str">
        <f>'1. All Data'!C20</f>
        <v>Improving ICT</v>
      </c>
      <c r="C20" s="128" t="str">
        <f>'1. All Data'!D20</f>
        <v>Complete a review of ICT requirements across all service areas</v>
      </c>
      <c r="D20" s="124" t="str">
        <f>'1. All Data'!H20</f>
        <v>On Track to be Achieved</v>
      </c>
      <c r="E20" s="96"/>
      <c r="F20" s="125">
        <f>'1. All Data'!M20</f>
        <v>0</v>
      </c>
      <c r="G20" s="97"/>
      <c r="H20" s="126">
        <f>'1. All Data'!R20</f>
        <v>0</v>
      </c>
      <c r="I20" s="97"/>
      <c r="J20" s="126">
        <f>'1. All Data'!V20</f>
        <v>0</v>
      </c>
    </row>
    <row r="21" spans="1:10" ht="99.75" customHeight="1">
      <c r="A21" s="95" t="str">
        <f>'1. All Data'!B21</f>
        <v>ILD17</v>
      </c>
      <c r="B21" s="127" t="str">
        <f>'1. All Data'!C21</f>
        <v>Enhancing Corporate Services</v>
      </c>
      <c r="C21" s="128" t="str">
        <f>'1. All Data'!D21</f>
        <v xml:space="preserve">Offer opportunities for officers from across the Council to participate in Scrutiny Support </v>
      </c>
      <c r="D21" s="124" t="str">
        <f>'1. All Data'!H21</f>
        <v>Fully Achieved</v>
      </c>
      <c r="E21" s="97"/>
      <c r="F21" s="125">
        <f>'1. All Data'!M21</f>
        <v>0</v>
      </c>
      <c r="G21" s="97"/>
      <c r="H21" s="126">
        <f>'1. All Data'!R21</f>
        <v>0</v>
      </c>
      <c r="I21" s="97"/>
      <c r="J21" s="126">
        <f>'1. All Data'!V21</f>
        <v>0</v>
      </c>
    </row>
    <row r="22" spans="1:10" ht="99.75" customHeight="1">
      <c r="A22" s="95" t="str">
        <f>'1. All Data'!B22</f>
        <v>PES01</v>
      </c>
      <c r="B22" s="127" t="str">
        <f>'1. All Data'!C22</f>
        <v>Car Parking Initiatives</v>
      </c>
      <c r="C22" s="128" t="str">
        <f>'1. All Data'!D22</f>
        <v>Conclude the feasibility of introducing ANPR into ESBC car parks</v>
      </c>
      <c r="D22" s="124" t="str">
        <f>'1. All Data'!H22</f>
        <v>Not Yet Due</v>
      </c>
      <c r="E22" s="97"/>
      <c r="F22" s="125">
        <f>'1. All Data'!M22</f>
        <v>0</v>
      </c>
      <c r="G22" s="97"/>
      <c r="H22" s="126">
        <f>'1. All Data'!R22</f>
        <v>0</v>
      </c>
      <c r="I22" s="97"/>
      <c r="J22" s="126">
        <f>'1. All Data'!V22</f>
        <v>0</v>
      </c>
    </row>
    <row r="23" spans="1:10" ht="99.75" customHeight="1">
      <c r="A23" s="95" t="str">
        <f>'1. All Data'!B23</f>
        <v>PES02</v>
      </c>
      <c r="B23" s="127" t="str">
        <f>'1. All Data'!C23</f>
        <v>Car Parking Initiatives</v>
      </c>
      <c r="C23" s="128" t="str">
        <f>'1. All Data'!D23</f>
        <v xml:space="preserve">Review the delivery of car parking enforcement </v>
      </c>
      <c r="D23" s="124" t="str">
        <f>'1. All Data'!H23</f>
        <v>Not Yet Due</v>
      </c>
      <c r="E23" s="97"/>
      <c r="F23" s="125">
        <f>'1. All Data'!M23</f>
        <v>0</v>
      </c>
      <c r="G23" s="97"/>
      <c r="H23" s="126">
        <f>'1. All Data'!R23</f>
        <v>0</v>
      </c>
      <c r="I23" s="97"/>
      <c r="J23" s="126">
        <f>'1. All Data'!V23</f>
        <v>0</v>
      </c>
    </row>
    <row r="24" spans="1:10" ht="99.75" customHeight="1">
      <c r="A24" s="95" t="str">
        <f>'1. All Data'!B24</f>
        <v>PES03</v>
      </c>
      <c r="B24" s="127" t="str">
        <f>'1. All Data'!C24</f>
        <v>Building a fairer local economy</v>
      </c>
      <c r="C24" s="128" t="str">
        <f>'1. All Data'!D24</f>
        <v>Agree the way forward for insourcing council services</v>
      </c>
      <c r="D24" s="124" t="str">
        <f>'1. All Data'!H24</f>
        <v>On Track to be Achieved</v>
      </c>
      <c r="E24" s="97"/>
      <c r="F24" s="125">
        <f>'1. All Data'!M24</f>
        <v>0</v>
      </c>
      <c r="G24" s="97"/>
      <c r="H24" s="126">
        <f>'1. All Data'!R24</f>
        <v>0</v>
      </c>
      <c r="I24" s="97"/>
      <c r="J24" s="126">
        <f>'1. All Data'!V24</f>
        <v>0</v>
      </c>
    </row>
    <row r="25" spans="1:10" ht="99.75" customHeight="1">
      <c r="A25" s="95" t="str">
        <f>'1. All Data'!B25</f>
        <v>PES04</v>
      </c>
      <c r="B25" s="127" t="str">
        <f>'1. All Data'!C25</f>
        <v>Developing Tourism within the Borough</v>
      </c>
      <c r="C25" s="128" t="str">
        <f>'1. All Data'!D25</f>
        <v>Administer an increased Tourism Development Fund to support local attractions and Tourism sector businesses throughout the year</v>
      </c>
      <c r="D25" s="124" t="str">
        <f>'1. All Data'!H25</f>
        <v>On Track to be Achieved</v>
      </c>
      <c r="E25" s="97"/>
      <c r="F25" s="125">
        <f>'1. All Data'!M25</f>
        <v>0</v>
      </c>
      <c r="G25" s="97"/>
      <c r="H25" s="126">
        <f>'1. All Data'!R25</f>
        <v>0</v>
      </c>
      <c r="I25" s="97"/>
      <c r="J25" s="126">
        <f>'1. All Data'!V25</f>
        <v>0</v>
      </c>
    </row>
    <row r="26" spans="1:10" ht="99.75" customHeight="1">
      <c r="A26" s="95" t="str">
        <f>'1. All Data'!B26</f>
        <v>PES05</v>
      </c>
      <c r="B26" s="127" t="str">
        <f>'1. All Data'!C26</f>
        <v>Developing Tourism within the Borough</v>
      </c>
      <c r="C26" s="128" t="str">
        <f>'1. All Data'!D26</f>
        <v xml:space="preserve">Lead on the investigation of a solution to promote and encourage walking and cycling </v>
      </c>
      <c r="D26" s="124" t="str">
        <f>'1. All Data'!H26</f>
        <v>On Track to be Achieved</v>
      </c>
      <c r="E26" s="97"/>
      <c r="F26" s="125">
        <f>'1. All Data'!M26</f>
        <v>0</v>
      </c>
      <c r="G26" s="104"/>
      <c r="H26" s="126">
        <f>'1. All Data'!R26</f>
        <v>0</v>
      </c>
      <c r="I26" s="97"/>
      <c r="J26" s="126">
        <f>'1. All Data'!V26</f>
        <v>0</v>
      </c>
    </row>
    <row r="27" spans="1:10" ht="99.75" customHeight="1">
      <c r="A27" s="95" t="str">
        <f>'1. All Data'!B27</f>
        <v>PES06</v>
      </c>
      <c r="B27" s="127" t="str">
        <f>'1. All Data'!C27</f>
        <v>Developing Tourism within the Borough</v>
      </c>
      <c r="C27" s="128" t="str">
        <f>'1. All Data'!D27</f>
        <v>Monitor progress against the Tourism Development Framework action plan</v>
      </c>
      <c r="D27" s="124" t="str">
        <f>'1. All Data'!H27</f>
        <v>On Track to be Achieved</v>
      </c>
      <c r="E27" s="97"/>
      <c r="F27" s="125">
        <f>'1. All Data'!M27</f>
        <v>0</v>
      </c>
      <c r="G27" s="97"/>
      <c r="H27" s="126">
        <f>'1. All Data'!R27</f>
        <v>0</v>
      </c>
      <c r="I27" s="97"/>
      <c r="J27" s="126">
        <f>'1. All Data'!V27</f>
        <v>0</v>
      </c>
    </row>
    <row r="28" spans="1:10" ht="99.75" customHeight="1">
      <c r="A28" s="95" t="str">
        <f>'1. All Data'!B28</f>
        <v>PES07</v>
      </c>
      <c r="B28" s="127" t="str">
        <f>'1. All Data'!C28</f>
        <v>Deliver Council-wide Marketing Campaigns</v>
      </c>
      <c r="C28" s="128" t="str">
        <f>'1. All Data'!D28</f>
        <v>Deliver a minimum of four marketing campaigns, promoting council services and/or East Staffordshire</v>
      </c>
      <c r="D28" s="124" t="str">
        <f>'1. All Data'!H28</f>
        <v>On Track to be Achieved</v>
      </c>
      <c r="E28" s="96"/>
      <c r="F28" s="125">
        <f>'1. All Data'!M28</f>
        <v>0</v>
      </c>
      <c r="G28" s="97"/>
      <c r="H28" s="126">
        <f>'1. All Data'!R28</f>
        <v>0</v>
      </c>
      <c r="I28" s="97"/>
      <c r="J28" s="126">
        <f>'1. All Data'!V28</f>
        <v>0</v>
      </c>
    </row>
    <row r="29" spans="1:10" ht="99.75" customHeight="1">
      <c r="A29" s="95" t="str">
        <f>'1. All Data'!B29</f>
        <v>PES08</v>
      </c>
      <c r="B29" s="127" t="str">
        <f>'1. All Data'!C29</f>
        <v>Deliver Council-wide Marketing Campaigns</v>
      </c>
      <c r="C29" s="128" t="str">
        <f>'1. All Data'!D29</f>
        <v>Continue the success of the initial Burton Music Collective project, with a follow up live music programme or event</v>
      </c>
      <c r="D29" s="124" t="str">
        <f>'1. All Data'!H29</f>
        <v>On Track to be Achieved</v>
      </c>
      <c r="E29" s="97"/>
      <c r="F29" s="125">
        <f>'1. All Data'!M29</f>
        <v>0</v>
      </c>
      <c r="G29" s="105"/>
      <c r="H29" s="126">
        <f>'1. All Data'!R29</f>
        <v>0</v>
      </c>
      <c r="I29" s="97"/>
      <c r="J29" s="126">
        <f>'1. All Data'!V29</f>
        <v>0</v>
      </c>
    </row>
    <row r="30" spans="1:10" ht="99.75" customHeight="1">
      <c r="A30" s="95" t="str">
        <f>'1. All Data'!B30</f>
        <v>PES09</v>
      </c>
      <c r="B30" s="127" t="str">
        <f>'1. All Data'!C30</f>
        <v>Keeping the Arts Accessible</v>
      </c>
      <c r="C30" s="128" t="str">
        <f>'1. All Data'!D30</f>
        <v xml:space="preserve">Deliver a minimum of 6 outdoor events in Burton and Uttoxeter </v>
      </c>
      <c r="D30" s="124" t="str">
        <f>'1. All Data'!H30</f>
        <v>On Track to be Achieved</v>
      </c>
      <c r="E30" s="97"/>
      <c r="F30" s="125">
        <f>'1. All Data'!M30</f>
        <v>0</v>
      </c>
      <c r="G30" s="97"/>
      <c r="H30" s="126">
        <f>'1. All Data'!R30</f>
        <v>0</v>
      </c>
      <c r="I30" s="97"/>
      <c r="J30" s="126">
        <f>'1. All Data'!V30</f>
        <v>0</v>
      </c>
    </row>
    <row r="31" spans="1:10" ht="99.75" customHeight="1">
      <c r="A31" s="95" t="str">
        <f>'1. All Data'!B31</f>
        <v>PES10</v>
      </c>
      <c r="B31" s="127" t="str">
        <f>'1. All Data'!C31</f>
        <v>Take forward regeneration in Uttoxeter</v>
      </c>
      <c r="C31" s="128" t="str">
        <f>'1. All Data'!D31</f>
        <v>Complete the purchase of the Maltings Precinct</v>
      </c>
      <c r="D31" s="124" t="str">
        <f>'1. All Data'!H31</f>
        <v>In Danger of Falling Behind Target</v>
      </c>
      <c r="E31" s="97"/>
      <c r="F31" s="125">
        <f>'1. All Data'!M31</f>
        <v>0</v>
      </c>
      <c r="G31" s="97"/>
      <c r="H31" s="126">
        <f>'1. All Data'!R31</f>
        <v>0</v>
      </c>
      <c r="I31" s="97"/>
      <c r="J31" s="126">
        <f>'1. All Data'!V31</f>
        <v>0</v>
      </c>
    </row>
    <row r="32" spans="1:10" ht="99.75" customHeight="1">
      <c r="A32" s="95" t="str">
        <f>'1. All Data'!B32</f>
        <v>PES11</v>
      </c>
      <c r="B32" s="127" t="str">
        <f>'1. All Data'!C32</f>
        <v>Take forward regeneration in Uttoxeter</v>
      </c>
      <c r="C32" s="128" t="str">
        <f>'1. All Data'!D32</f>
        <v>Complete RIBA Stage 2 (Concept Design) for the Maltings Regeneration Project and brief Members, following public consultation</v>
      </c>
      <c r="D32" s="124" t="str">
        <f>'1. All Data'!H32</f>
        <v>On Track to be Achieved</v>
      </c>
      <c r="E32" s="96"/>
      <c r="F32" s="125">
        <f>'1. All Data'!M32</f>
        <v>0</v>
      </c>
      <c r="G32" s="97"/>
      <c r="H32" s="126">
        <f>'1. All Data'!R32</f>
        <v>0</v>
      </c>
      <c r="I32" s="97"/>
      <c r="J32" s="126">
        <f>'1. All Data'!V32</f>
        <v>0</v>
      </c>
    </row>
    <row r="33" spans="1:10" ht="99.75" customHeight="1">
      <c r="A33" s="95" t="str">
        <f>'1. All Data'!B33</f>
        <v>PES12</v>
      </c>
      <c r="B33" s="127" t="str">
        <f>'1. All Data'!C33</f>
        <v>Take forward regeneration in Uttoxeter</v>
      </c>
      <c r="C33" s="128" t="str">
        <f>'1. All Data'!D33</f>
        <v>Submit a planning application for the Maltings Regeneration Project</v>
      </c>
      <c r="D33" s="124" t="str">
        <f>'1. All Data'!H33</f>
        <v>On Track to be Achieved</v>
      </c>
      <c r="E33" s="97"/>
      <c r="F33" s="125">
        <f>'1. All Data'!M33</f>
        <v>0</v>
      </c>
      <c r="G33" s="97"/>
      <c r="H33" s="126">
        <f>'1. All Data'!R33</f>
        <v>0</v>
      </c>
      <c r="I33" s="97"/>
      <c r="J33" s="126">
        <f>'1. All Data'!V33</f>
        <v>0</v>
      </c>
    </row>
    <row r="34" spans="1:10" ht="99.75" customHeight="1">
      <c r="A34" s="95" t="str">
        <f>'1. All Data'!B34</f>
        <v>PES13</v>
      </c>
      <c r="B34" s="127" t="str">
        <f>'1. All Data'!C34</f>
        <v>Support economic growth in East Staffordshire</v>
      </c>
      <c r="C34" s="128" t="str">
        <f>'1. All Data'!D34</f>
        <v>Administer a second round of the Boosting Business Programme throughout the year with a minimum of £100,000 of funding available</v>
      </c>
      <c r="D34" s="124" t="str">
        <f>'1. All Data'!H34</f>
        <v>On Track to be Achieved</v>
      </c>
      <c r="E34" s="97"/>
      <c r="F34" s="125">
        <f>'1. All Data'!M34</f>
        <v>0</v>
      </c>
      <c r="G34" s="97"/>
      <c r="H34" s="126">
        <f>'1. All Data'!R34</f>
        <v>0</v>
      </c>
      <c r="I34" s="97"/>
      <c r="J34" s="126">
        <f>'1. All Data'!V34</f>
        <v>0</v>
      </c>
    </row>
    <row r="35" spans="1:10" ht="99.75" customHeight="1">
      <c r="A35" s="95" t="str">
        <f>'1. All Data'!B35</f>
        <v>PES14</v>
      </c>
      <c r="B35" s="127" t="str">
        <f>'1. All Data'!C35</f>
        <v xml:space="preserve">Delivering a high quality Planning service </v>
      </c>
      <c r="C35" s="128" t="str">
        <f>'1. All Data'!D35</f>
        <v>Improve on the percentage of major applications determined with statutory timeframes against a 2023 baseline (36.84%)</v>
      </c>
      <c r="D35" s="124" t="str">
        <f>'1. All Data'!H35</f>
        <v>On Track to be Achieved</v>
      </c>
      <c r="E35" s="96"/>
      <c r="F35" s="125">
        <f>'1. All Data'!M35</f>
        <v>0</v>
      </c>
      <c r="G35" s="97"/>
      <c r="H35" s="126">
        <f>'1. All Data'!R35</f>
        <v>0</v>
      </c>
      <c r="I35" s="97"/>
      <c r="J35" s="126">
        <f>'1. All Data'!V35</f>
        <v>0</v>
      </c>
    </row>
    <row r="36" spans="1:10" ht="99.75" customHeight="1">
      <c r="A36" s="95" t="str">
        <f>'1. All Data'!B36</f>
        <v>PES15</v>
      </c>
      <c r="B36" s="127" t="str">
        <f>'1. All Data'!C36</f>
        <v xml:space="preserve">Delivering a high quality Planning service </v>
      </c>
      <c r="C36" s="128" t="str">
        <f>'1. All Data'!D36</f>
        <v>Improve on the percentage of non-major applications determined with statutory timeframes against a 2023 baseline (42.32%)</v>
      </c>
      <c r="D36" s="124" t="str">
        <f>'1. All Data'!H36</f>
        <v>On Track to be Achieved</v>
      </c>
      <c r="E36" s="97"/>
      <c r="F36" s="125">
        <f>'1. All Data'!M36</f>
        <v>0</v>
      </c>
      <c r="G36" s="97"/>
      <c r="H36" s="126">
        <f>'1. All Data'!R36</f>
        <v>0</v>
      </c>
      <c r="I36" s="97"/>
      <c r="J36" s="126">
        <f>'1. All Data'!V36</f>
        <v>0</v>
      </c>
    </row>
    <row r="37" spans="1:10" ht="99.75" customHeight="1">
      <c r="A37" s="95" t="str">
        <f>'1. All Data'!B37</f>
        <v>PES16</v>
      </c>
      <c r="B37" s="127" t="str">
        <f>'1. All Data'!C37</f>
        <v>Delivering a high quality Planning service</v>
      </c>
      <c r="C37" s="128" t="str">
        <f>'1. All Data'!D37</f>
        <v>Launch updated pre-application advice service</v>
      </c>
      <c r="D37" s="124" t="str">
        <f>'1. All Data'!H37</f>
        <v>Fully Achieved</v>
      </c>
      <c r="E37" s="96"/>
      <c r="F37" s="125">
        <f>'1. All Data'!M37</f>
        <v>0</v>
      </c>
      <c r="G37" s="97"/>
      <c r="H37" s="126">
        <f>'1. All Data'!R37</f>
        <v>0</v>
      </c>
      <c r="I37" s="97"/>
      <c r="J37" s="126">
        <f>'1. All Data'!V37</f>
        <v>0</v>
      </c>
    </row>
    <row r="38" spans="1:10" ht="99.75" customHeight="1">
      <c r="A38" s="95" t="str">
        <f>'1. All Data'!B38</f>
        <v>PES17</v>
      </c>
      <c r="B38" s="127" t="str">
        <f>'1. All Data'!C38</f>
        <v>Delivering a high quality Planning service</v>
      </c>
      <c r="C38" s="128" t="str">
        <f>'1. All Data'!D38</f>
        <v>Complete the annual review of the Local Plan</v>
      </c>
      <c r="D38" s="124" t="str">
        <f>'1. All Data'!H38</f>
        <v>Not Yet Due</v>
      </c>
      <c r="E38" s="97"/>
      <c r="F38" s="125">
        <f>'1. All Data'!M38</f>
        <v>0</v>
      </c>
      <c r="G38" s="105"/>
      <c r="H38" s="126">
        <f>'1. All Data'!R38</f>
        <v>0</v>
      </c>
      <c r="I38" s="97"/>
      <c r="J38" s="126">
        <f>'1. All Data'!V38</f>
        <v>0</v>
      </c>
    </row>
    <row r="39" spans="1:10" ht="99.75" customHeight="1">
      <c r="A39" s="95" t="str">
        <f>'1. All Data'!B39</f>
        <v>PES18</v>
      </c>
      <c r="B39" s="127" t="str">
        <f>'1. All Data'!C39</f>
        <v>Further Enhancing Corporate Communications</v>
      </c>
      <c r="C39" s="128" t="str">
        <f>'1. All Data'!D39</f>
        <v>a.     Deliver a minimum of 6 Business e-newsletters
b.     Deliver a minimum of 12 Resident e-newsletters</v>
      </c>
      <c r="D39" s="124" t="str">
        <f>'1. All Data'!H39</f>
        <v>On Track to be Achieved</v>
      </c>
      <c r="E39" s="96"/>
      <c r="F39" s="125">
        <f>'1. All Data'!M39</f>
        <v>0</v>
      </c>
      <c r="G39" s="105"/>
      <c r="H39" s="126">
        <f>'1. All Data'!R39</f>
        <v>0</v>
      </c>
      <c r="I39" s="97"/>
      <c r="J39" s="126">
        <f>'1. All Data'!V39</f>
        <v>0</v>
      </c>
    </row>
    <row r="40" spans="1:10" ht="99.75" customHeight="1">
      <c r="A40" s="95" t="str">
        <f>'1. All Data'!B40</f>
        <v>PES19</v>
      </c>
      <c r="B40" s="127" t="str">
        <f>'1. All Data'!C40</f>
        <v>Further Enhancing Corporate Communications</v>
      </c>
      <c r="C40" s="128" t="str">
        <f>'1. All Data'!D40</f>
        <v>Undertake website accessibility testing to identify further enhancements to ensure it is fit for purpose</v>
      </c>
      <c r="D40" s="124" t="str">
        <f>'1. All Data'!H40</f>
        <v>Not Yet Due</v>
      </c>
      <c r="E40" s="97"/>
      <c r="F40" s="125">
        <f>'1. All Data'!M40</f>
        <v>0</v>
      </c>
      <c r="G40" s="97"/>
      <c r="H40" s="126">
        <f>'1. All Data'!R40</f>
        <v>0</v>
      </c>
      <c r="I40" s="97"/>
      <c r="J40" s="126">
        <f>'1. All Data'!V40</f>
        <v>0</v>
      </c>
    </row>
    <row r="41" spans="1:10" ht="99.75" customHeight="1">
      <c r="A41" s="95" t="str">
        <f>'1. All Data'!B41</f>
        <v>PES20</v>
      </c>
      <c r="B41" s="127" t="str">
        <f>'1. All Data'!C41</f>
        <v>Enhancing Procurement and Contract Management Processes</v>
      </c>
      <c r="C41" s="128" t="str">
        <f>'1. All Data'!D41</f>
        <v xml:space="preserve">Revised Contract Procedure Rules approved by Council, including (if Procurement Act implemented by national government) updated Procurement Policy </v>
      </c>
      <c r="D41" s="124" t="str">
        <f>'1. All Data'!H41</f>
        <v>On Track to be Achieved</v>
      </c>
      <c r="E41" s="97"/>
      <c r="F41" s="125">
        <f>'1. All Data'!M41</f>
        <v>0</v>
      </c>
      <c r="G41" s="97"/>
      <c r="H41" s="126">
        <f>'1. All Data'!R41</f>
        <v>0</v>
      </c>
      <c r="I41" s="97"/>
      <c r="J41" s="126">
        <f>'1. All Data'!V41</f>
        <v>0</v>
      </c>
    </row>
    <row r="42" spans="1:10" ht="99.75" customHeight="1">
      <c r="A42" s="95" t="str">
        <f>'1. All Data'!B42</f>
        <v>PES21</v>
      </c>
      <c r="B42" s="127" t="str">
        <f>'1. All Data'!C42</f>
        <v>Enhancing Corporate Services</v>
      </c>
      <c r="C42" s="128" t="str">
        <f>'1. All Data'!D42</f>
        <v>Recruit an apprentice to support the work of the Corporate and Commercial team</v>
      </c>
      <c r="D42" s="124" t="str">
        <f>'1. All Data'!H42</f>
        <v>On Track to be Achieved</v>
      </c>
      <c r="E42" s="96"/>
      <c r="F42" s="125">
        <f>'1. All Data'!M42</f>
        <v>0</v>
      </c>
      <c r="G42" s="105"/>
      <c r="H42" s="126">
        <f>'1. All Data'!R42</f>
        <v>0</v>
      </c>
      <c r="I42" s="105"/>
      <c r="J42" s="126">
        <f>'1. All Data'!V42</f>
        <v>0</v>
      </c>
    </row>
    <row r="43" spans="1:10" ht="99.75" customHeight="1">
      <c r="A43" s="95" t="str">
        <f>'1. All Data'!B43</f>
        <v>PES22</v>
      </c>
      <c r="B43" s="127" t="str">
        <f>'1. All Data'!C43</f>
        <v>Improving Council Assets</v>
      </c>
      <c r="C43" s="128" t="str">
        <f>'1. All Data'!D43</f>
        <v>Replace the shutters on the Yeoman’s Industrial estate</v>
      </c>
      <c r="D43" s="124" t="str">
        <f>'1. All Data'!H43</f>
        <v>On Track to be Achieved</v>
      </c>
      <c r="E43" s="96"/>
      <c r="F43" s="125">
        <f>'1. All Data'!M43</f>
        <v>0</v>
      </c>
      <c r="G43" s="97"/>
      <c r="H43" s="126">
        <f>'1. All Data'!R43</f>
        <v>0</v>
      </c>
      <c r="I43" s="97"/>
      <c r="J43" s="126">
        <f>'1. All Data'!V43</f>
        <v>0</v>
      </c>
    </row>
    <row r="44" spans="1:10" ht="99.75" customHeight="1">
      <c r="A44" s="95" t="str">
        <f>'1. All Data'!B44</f>
        <v>GND01</v>
      </c>
      <c r="B44" s="127" t="str">
        <f>'1. All Data'!C44</f>
        <v>Tackling Envirocrime</v>
      </c>
      <c r="C44" s="128" t="str">
        <f>'1. All Data'!D44</f>
        <v xml:space="preserve">Plot and map the deployment of the mobile CCTV provision over the course of 23/24 and review and report on the results of those deployments </v>
      </c>
      <c r="D44" s="124" t="str">
        <f>'1. All Data'!H44</f>
        <v>On Track to be Achieved</v>
      </c>
      <c r="E44" s="96"/>
      <c r="F44" s="125">
        <f>'1. All Data'!M44</f>
        <v>0</v>
      </c>
      <c r="G44" s="97"/>
      <c r="H44" s="126">
        <f>'1. All Data'!R44</f>
        <v>0</v>
      </c>
      <c r="I44" s="97"/>
      <c r="J44" s="126">
        <f>'1. All Data'!V44</f>
        <v>0</v>
      </c>
    </row>
    <row r="45" spans="1:10" ht="99.75" customHeight="1">
      <c r="A45" s="95" t="str">
        <f>'1. All Data'!B45</f>
        <v>GND02</v>
      </c>
      <c r="B45" s="127" t="str">
        <f>'1. All Data'!C45</f>
        <v>Tackling Envirocrime</v>
      </c>
      <c r="C45" s="128" t="str">
        <f>'1. All Data'!D45</f>
        <v>Undertake further ‘Tackle the Tippers Campaign’ initiatives in any newly identified fly-tipping hotspots and report progress</v>
      </c>
      <c r="D45" s="124" t="str">
        <f>'1. All Data'!H45</f>
        <v>Not Yet Due</v>
      </c>
      <c r="E45" s="97"/>
      <c r="F45" s="125">
        <f>'1. All Data'!M45</f>
        <v>0</v>
      </c>
      <c r="G45" s="97"/>
      <c r="H45" s="126">
        <f>'1. All Data'!R45</f>
        <v>0</v>
      </c>
      <c r="I45" s="97"/>
      <c r="J45" s="126">
        <f>'1. All Data'!V45</f>
        <v>0</v>
      </c>
    </row>
    <row r="46" spans="1:10" ht="99.75" customHeight="1">
      <c r="A46" s="95" t="str">
        <f>'1. All Data'!B47</f>
        <v>GND04</v>
      </c>
      <c r="B46" s="127" t="str">
        <f>'1. All Data'!C47</f>
        <v>Succeed at In Bloom Awards</v>
      </c>
      <c r="C46" s="128" t="str">
        <f>'1. All Data'!D47</f>
        <v>Burton and Winshill to achieve Silver Gilt or higher at the National in Bloom awards</v>
      </c>
      <c r="D46" s="124" t="str">
        <f>'1. All Data'!H47</f>
        <v>Not Yet Due</v>
      </c>
      <c r="E46" s="97"/>
      <c r="F46" s="125">
        <f>'1. All Data'!M47</f>
        <v>0</v>
      </c>
      <c r="G46" s="97"/>
      <c r="H46" s="126">
        <f>'1. All Data'!R47</f>
        <v>0</v>
      </c>
      <c r="I46" s="97"/>
      <c r="J46" s="126">
        <f>'1. All Data'!V47</f>
        <v>0</v>
      </c>
    </row>
    <row r="47" spans="1:10" ht="99.75" customHeight="1">
      <c r="A47" s="95" t="str">
        <f>'1. All Data'!B48</f>
        <v>GND05</v>
      </c>
      <c r="B47" s="127" t="str">
        <f>'1. All Data'!C48</f>
        <v>Succeed at It’s Your Neighbourhood Awards (IYN)</v>
      </c>
      <c r="C47" s="128" t="str">
        <f>'1. All Data'!D48</f>
        <v>Enter a minimum of 30 Parks and achieve a Silver gilt or higher standard in 80% of all entries</v>
      </c>
      <c r="D47" s="124" t="str">
        <f>'1. All Data'!H48</f>
        <v>Not Yet Due</v>
      </c>
      <c r="E47" s="97"/>
      <c r="F47" s="125">
        <f>'1. All Data'!M48</f>
        <v>0</v>
      </c>
      <c r="G47" s="97"/>
      <c r="H47" s="126">
        <f>'1. All Data'!R48</f>
        <v>0</v>
      </c>
      <c r="I47" s="97"/>
      <c r="J47" s="126">
        <f>'1. All Data'!V48</f>
        <v>0</v>
      </c>
    </row>
    <row r="48" spans="1:10" ht="99.75" customHeight="1">
      <c r="A48" s="95" t="str">
        <f>'1. All Data'!B49</f>
        <v>GND06</v>
      </c>
      <c r="B48" s="127" t="str">
        <f>'1. All Data'!C49</f>
        <v xml:space="preserve">Open Spaces Initiatives </v>
      </c>
      <c r="C48" s="128" t="str">
        <f>'1. All Data'!D49</f>
        <v>Review the Council’s Tree Policy</v>
      </c>
      <c r="D48" s="124" t="str">
        <f>'1. All Data'!H49</f>
        <v>Not Yet Due</v>
      </c>
      <c r="E48" s="97"/>
      <c r="F48" s="125">
        <f>'1. All Data'!M49</f>
        <v>0</v>
      </c>
      <c r="G48" s="97"/>
      <c r="H48" s="126">
        <f>'1. All Data'!R49</f>
        <v>0</v>
      </c>
      <c r="I48" s="97"/>
      <c r="J48" s="126">
        <f>'1. All Data'!V49</f>
        <v>0</v>
      </c>
    </row>
    <row r="49" spans="1:47" ht="99.75" customHeight="1">
      <c r="A49" s="95" t="str">
        <f>'1. All Data'!B50</f>
        <v>GND07</v>
      </c>
      <c r="B49" s="127" t="str">
        <f>'1. All Data'!C50</f>
        <v>Open Spaces Initiatives</v>
      </c>
      <c r="C49" s="128" t="str">
        <f>'1. All Data'!D50</f>
        <v>Establish tree nurseries at the Go Garden (Uttoxeter) and the Horticulture Centre (Burton)</v>
      </c>
      <c r="D49" s="124" t="str">
        <f>'1. All Data'!H50</f>
        <v>Not Yet Due</v>
      </c>
      <c r="E49" s="97"/>
      <c r="F49" s="125">
        <f>'1. All Data'!M50</f>
        <v>0</v>
      </c>
      <c r="G49" s="97"/>
      <c r="H49" s="126">
        <f>'1. All Data'!R50</f>
        <v>0</v>
      </c>
      <c r="I49" s="97"/>
      <c r="J49" s="126">
        <f>'1. All Data'!V50</f>
        <v>0</v>
      </c>
    </row>
    <row r="50" spans="1:47" ht="99.75" customHeight="1">
      <c r="A50" s="95" t="str">
        <f>'1. All Data'!B51</f>
        <v>GND08</v>
      </c>
      <c r="B50" s="127" t="str">
        <f>'1. All Data'!C51</f>
        <v>Open Spaces Initiatives</v>
      </c>
      <c r="C50" s="128" t="str">
        <f>'1. All Data'!D51</f>
        <v>Pilot opportunities to enhance nature and biodiversity on parks and open spaces including reduced mowing regimes and wildflower planting</v>
      </c>
      <c r="D50" s="124" t="str">
        <f>'1. All Data'!H51</f>
        <v>On Track to be Achieved</v>
      </c>
      <c r="E50" s="97"/>
      <c r="F50" s="125">
        <f>'1. All Data'!M51</f>
        <v>0</v>
      </c>
      <c r="G50" s="105"/>
      <c r="H50" s="126">
        <f>'1. All Data'!R51</f>
        <v>0</v>
      </c>
      <c r="I50" s="105"/>
      <c r="J50" s="126">
        <f>'1. All Data'!V51</f>
        <v>0</v>
      </c>
    </row>
    <row r="51" spans="1:47" ht="99.75" customHeight="1">
      <c r="A51" s="95" t="str">
        <f>'1. All Data'!B52</f>
        <v>GND09</v>
      </c>
      <c r="B51" s="127" t="str">
        <f>'1. All Data'!C52</f>
        <v>Open Spaces Initiatives</v>
      </c>
      <c r="C51" s="128" t="str">
        <f>'1. All Data'!D52</f>
        <v>Evaluate the impact of replacing Glyphosate with alternative methods of dealing with weeds</v>
      </c>
      <c r="D51" s="124" t="str">
        <f>'1. All Data'!H52</f>
        <v>On Track to be Achieved</v>
      </c>
      <c r="E51" s="96"/>
      <c r="F51" s="125">
        <f>'1. All Data'!M52</f>
        <v>0</v>
      </c>
      <c r="G51" s="97"/>
      <c r="H51" s="126">
        <f>'1. All Data'!R52</f>
        <v>0</v>
      </c>
      <c r="I51" s="97"/>
      <c r="J51" s="126">
        <f>'1. All Data'!V52</f>
        <v>0</v>
      </c>
    </row>
    <row r="52" spans="1:47" ht="99.75" customHeight="1">
      <c r="A52" s="95" t="str">
        <f>'1. All Data'!B53</f>
        <v>GND10</v>
      </c>
      <c r="B52" s="127" t="str">
        <f>'1. All Data'!C53</f>
        <v>Tackling Envirocrime</v>
      </c>
      <c r="C52" s="128" t="str">
        <f>'1. All Data'!D53</f>
        <v>Procure a mobile fly-tipping removal vehicle</v>
      </c>
      <c r="D52" s="124" t="str">
        <f>'1. All Data'!H53</f>
        <v>On Track to be Achieved</v>
      </c>
      <c r="E52" s="96"/>
      <c r="F52" s="125">
        <f>'1. All Data'!M53</f>
        <v>0</v>
      </c>
      <c r="G52" s="97"/>
      <c r="H52" s="126">
        <f>'1. All Data'!R53</f>
        <v>0</v>
      </c>
      <c r="I52" s="97"/>
      <c r="J52" s="126">
        <f>'1. All Data'!V53</f>
        <v>0</v>
      </c>
    </row>
    <row r="53" spans="1:47" ht="99.75" customHeight="1">
      <c r="A53" s="95" t="str">
        <f>'1. All Data'!B56</f>
        <v>GND13</v>
      </c>
      <c r="B53" s="127" t="str">
        <f>'1. All Data'!C56</f>
        <v xml:space="preserve">Minimise The Number Of Missed Bin Collections </v>
      </c>
      <c r="C53" s="128" t="str">
        <f>'1. All Data'!D56</f>
        <v>99.97% successful bin collections across the Borough</v>
      </c>
      <c r="D53" s="124" t="str">
        <f>'1. All Data'!H56</f>
        <v>On Track to be Achieved</v>
      </c>
      <c r="E53" s="97"/>
      <c r="F53" s="125">
        <f>'1. All Data'!M56</f>
        <v>0</v>
      </c>
      <c r="G53" s="97"/>
      <c r="H53" s="126">
        <f>'1. All Data'!R56</f>
        <v>0</v>
      </c>
      <c r="I53" s="97"/>
      <c r="J53" s="126">
        <f>'1. All Data'!V56</f>
        <v>0</v>
      </c>
    </row>
    <row r="54" spans="1:47" ht="87.6">
      <c r="A54" s="95" t="str">
        <f>'1. All Data'!B57</f>
        <v>GND14</v>
      </c>
      <c r="B54" s="127" t="str">
        <f>'1. All Data'!C57</f>
        <v>Separate Weekly Food Waste Collections</v>
      </c>
      <c r="C54" s="128" t="str">
        <f>'1. All Data'!D57</f>
        <v>Provide an update on the implementation of a weekly Food Waste collection service</v>
      </c>
      <c r="D54" s="124" t="str">
        <f>'1. All Data'!H57</f>
        <v>Not Yet Due</v>
      </c>
      <c r="E54" s="96"/>
      <c r="F54" s="125">
        <f>'1. All Data'!M57</f>
        <v>0</v>
      </c>
      <c r="G54" s="105"/>
      <c r="H54" s="126">
        <f>'1. All Data'!R57</f>
        <v>0</v>
      </c>
      <c r="I54" s="97"/>
      <c r="J54" s="126">
        <f>'1. All Data'!V57</f>
        <v>0</v>
      </c>
    </row>
    <row r="55" spans="1:47" ht="99.75" customHeight="1">
      <c r="A55" s="95" t="str">
        <f>'1. All Data'!B58</f>
        <v>GND15</v>
      </c>
      <c r="B55" s="127" t="str">
        <f>'1. All Data'!C58</f>
        <v>Garden Waste Collections</v>
      </c>
      <c r="C55" s="128" t="str">
        <f>'1. All Data'!D58</f>
        <v>Implement a charging scheme for garden waste (Subscriptions to commence from October 2024)</v>
      </c>
      <c r="D55" s="124" t="str">
        <f>'1. All Data'!H58</f>
        <v>On Track to be Achieved</v>
      </c>
      <c r="E55" s="97"/>
      <c r="F55" s="125">
        <f>'1. All Data'!M58</f>
        <v>0</v>
      </c>
      <c r="G55" s="97"/>
      <c r="H55" s="126">
        <f>'1. All Data'!R58</f>
        <v>0</v>
      </c>
      <c r="I55" s="97"/>
      <c r="J55" s="126">
        <f>'1. All Data'!V58</f>
        <v>0</v>
      </c>
    </row>
    <row r="56" spans="1:47" ht="99.75" customHeight="1">
      <c r="A56" s="95" t="str">
        <f>'1. All Data'!B59</f>
        <v>GND16</v>
      </c>
      <c r="B56" s="127" t="str">
        <f>'1. All Data'!C59</f>
        <v>Implement Climate Change Initiatives</v>
      </c>
      <c r="C56" s="128" t="str">
        <f>'1. All Data'!D59</f>
        <v>Following the identification of the Maltings as an appropriate site, implement the Papilio solar charging and EV charging hub</v>
      </c>
      <c r="D56" s="124" t="str">
        <f>'1. All Data'!H59</f>
        <v>On Track to be Achieved</v>
      </c>
      <c r="E56" s="97"/>
      <c r="F56" s="125">
        <f>'1. All Data'!M59</f>
        <v>0</v>
      </c>
      <c r="G56" s="97"/>
      <c r="H56" s="126">
        <f>'1. All Data'!R59</f>
        <v>0</v>
      </c>
      <c r="I56" s="97"/>
      <c r="J56" s="126">
        <f>'1. All Data'!V59</f>
        <v>0</v>
      </c>
      <c r="AU56" s="98"/>
    </row>
    <row r="57" spans="1:47" s="111" customFormat="1" ht="126">
      <c r="A57" s="95" t="str">
        <f>'1. All Data'!B60</f>
        <v>GND17</v>
      </c>
      <c r="B57" s="127" t="str">
        <f>'1. All Data'!C60</f>
        <v>Implement Climate Change Initiatives</v>
      </c>
      <c r="C57" s="128" t="str">
        <f>'1. All Data'!D60</f>
        <v>Research, consider and present possible staff incentives and infrastructure to encourage use of sustainable travel, such as electric vehicles or bicycles</v>
      </c>
      <c r="D57" s="124" t="str">
        <f>'1. All Data'!H60</f>
        <v>On Track to be Achieved</v>
      </c>
      <c r="E57" s="96"/>
      <c r="F57" s="125">
        <f>'1. All Data'!M60</f>
        <v>0</v>
      </c>
      <c r="G57" s="97"/>
      <c r="H57" s="126">
        <f>'1. All Data'!R60</f>
        <v>0</v>
      </c>
      <c r="I57" s="97"/>
      <c r="J57" s="126">
        <f>'1. All Data'!V60</f>
        <v>0</v>
      </c>
      <c r="K57" s="106"/>
      <c r="L57" s="106"/>
      <c r="M57" s="106"/>
      <c r="N57" s="107"/>
      <c r="O57" s="107"/>
      <c r="P57" s="107"/>
      <c r="Q57" s="107"/>
      <c r="R57" s="107"/>
      <c r="S57" s="106"/>
      <c r="T57" s="106"/>
      <c r="U57" s="106"/>
      <c r="V57" s="106"/>
      <c r="W57" s="106"/>
      <c r="X57" s="108"/>
      <c r="Y57" s="108"/>
      <c r="Z57" s="108"/>
      <c r="AA57" s="108"/>
      <c r="AB57" s="109"/>
      <c r="AC57" s="94"/>
      <c r="AD57" s="110"/>
      <c r="AE57" s="110"/>
      <c r="AF57" s="110"/>
      <c r="AG57" s="110"/>
      <c r="AH57" s="110"/>
      <c r="AI57" s="110"/>
      <c r="AJ57" s="110"/>
      <c r="AK57" s="110"/>
      <c r="AL57" s="110"/>
      <c r="AM57" s="110"/>
      <c r="AN57" s="110"/>
      <c r="AO57" s="110"/>
      <c r="AP57" s="110"/>
      <c r="AQ57" s="110"/>
      <c r="AR57" s="110"/>
      <c r="AS57" s="110"/>
      <c r="AT57" s="110"/>
      <c r="AU57" s="110"/>
    </row>
    <row r="58" spans="1:47" ht="99.75" customHeight="1">
      <c r="A58" s="95" t="str">
        <f>'1. All Data'!B63</f>
        <v>GND20</v>
      </c>
      <c r="B58" s="127" t="str">
        <f>'1. All Data'!C63</f>
        <v>Implement Climate Change Initiatives</v>
      </c>
      <c r="C58" s="128" t="str">
        <f>'1. All Data'!D63</f>
        <v>Produce an education programme to help individuals, parish councils, schools and other organisations calculate their carbon footprint and understand how to reduce it</v>
      </c>
      <c r="D58" s="124" t="str">
        <f>'1. All Data'!H63</f>
        <v>On Track to be Achieved</v>
      </c>
      <c r="E58" s="97"/>
      <c r="F58" s="125">
        <f>'1. All Data'!M63</f>
        <v>0</v>
      </c>
      <c r="G58" s="97"/>
      <c r="H58" s="126">
        <f>'1. All Data'!R63</f>
        <v>0</v>
      </c>
      <c r="I58" s="97"/>
      <c r="J58" s="126">
        <f>'1. All Data'!V63</f>
        <v>0</v>
      </c>
    </row>
    <row r="59" spans="1:47" ht="99.75" customHeight="1">
      <c r="A59" s="95" t="str">
        <f>'1. All Data'!B64</f>
        <v>GND21</v>
      </c>
      <c r="B59" s="127" t="str">
        <f>'1. All Data'!C64</f>
        <v>Developing Tourism within the Borough</v>
      </c>
      <c r="C59" s="128" t="str">
        <f>'1. All Data'!D64</f>
        <v>Champion sustainability with an event or initiative to celebrate national Green Week</v>
      </c>
      <c r="D59" s="124" t="str">
        <f>'1. All Data'!H64</f>
        <v>Fully Achieved</v>
      </c>
      <c r="E59" s="96"/>
      <c r="F59" s="125">
        <f>'1. All Data'!M64</f>
        <v>0</v>
      </c>
      <c r="G59" s="97"/>
      <c r="H59" s="126">
        <f>'1. All Data'!R64</f>
        <v>0</v>
      </c>
      <c r="I59" s="97"/>
      <c r="J59" s="126">
        <f>'1. All Data'!V64</f>
        <v>0</v>
      </c>
    </row>
    <row r="60" spans="1:47" ht="99.75" customHeight="1">
      <c r="A60" s="95" t="str">
        <f>'1. All Data'!B65</f>
        <v>GND22</v>
      </c>
      <c r="B60" s="127" t="str">
        <f>'1. All Data'!C65</f>
        <v>Improve the Washlands as a regional attraction</v>
      </c>
      <c r="C60" s="128" t="str">
        <f>'1. All Data'!D65</f>
        <v xml:space="preserve">Practically complete the Washlands Enhancement Project capital works </v>
      </c>
      <c r="D60" s="124" t="str">
        <f>'1. All Data'!H65</f>
        <v>On Track to be Achieved</v>
      </c>
      <c r="E60" s="97"/>
      <c r="F60" s="125">
        <f>'1. All Data'!M65</f>
        <v>0</v>
      </c>
      <c r="G60" s="112"/>
      <c r="H60" s="126">
        <f>'1. All Data'!R65</f>
        <v>0</v>
      </c>
      <c r="I60" s="112"/>
      <c r="J60" s="126">
        <f>'1. All Data'!V65</f>
        <v>0</v>
      </c>
    </row>
    <row r="61" spans="1:47" s="116" customFormat="1" ht="69.75" customHeight="1">
      <c r="A61" s="95" t="str">
        <f>'1. All Data'!B69</f>
        <v>POH03</v>
      </c>
      <c r="B61" s="127" t="str">
        <f>'1. All Data'!C69</f>
        <v>Safeguarding the Market Hall</v>
      </c>
      <c r="C61" s="128" t="str">
        <f>'1. All Data'!D69</f>
        <v>Complete the necessary repairs to the Market Hall roof</v>
      </c>
      <c r="D61" s="124" t="str">
        <f>'1. All Data'!H69</f>
        <v>On Track to be Achieved</v>
      </c>
      <c r="E61" s="96"/>
      <c r="F61" s="125">
        <f>'1. All Data'!M69</f>
        <v>0</v>
      </c>
      <c r="G61" s="114"/>
      <c r="H61" s="126">
        <f>'1. All Data'!R69</f>
        <v>0</v>
      </c>
      <c r="I61" s="114"/>
      <c r="J61" s="126">
        <f>'1. All Data'!V69</f>
        <v>0</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row>
    <row r="62" spans="1:47" ht="99.75" customHeight="1">
      <c r="A62" s="95" t="str">
        <f>'1. All Data'!B70</f>
        <v>POH04</v>
      </c>
      <c r="B62" s="127" t="str">
        <f>'1. All Data'!C70</f>
        <v>Safeguarding the Market Hall</v>
      </c>
      <c r="C62" s="128" t="str">
        <f>'1. All Data'!D70</f>
        <v>Report on the findings of the Market Hall consultation and establish the way ahead</v>
      </c>
      <c r="D62" s="124" t="str">
        <f>'1. All Data'!H70</f>
        <v>On Track to be Achieved</v>
      </c>
      <c r="E62" s="97"/>
      <c r="F62" s="125">
        <f>'1. All Data'!M70</f>
        <v>0</v>
      </c>
      <c r="G62" s="97"/>
      <c r="H62" s="126">
        <f>'1. All Data'!R70</f>
        <v>0</v>
      </c>
      <c r="I62" s="97"/>
      <c r="J62" s="126">
        <f>'1. All Data'!V70</f>
        <v>0</v>
      </c>
    </row>
    <row r="63" spans="1:47" ht="99.75" customHeight="1">
      <c r="A63" s="95" t="str">
        <f>'1. All Data'!B71</f>
        <v>POH05</v>
      </c>
      <c r="B63" s="127" t="str">
        <f>'1. All Data'!C71</f>
        <v>Preserving the Brewhouse</v>
      </c>
      <c r="C63" s="128" t="str">
        <f>'1. All Data'!D71</f>
        <v>Commence repair works on the Brewhouse roof following the tender exercise</v>
      </c>
      <c r="D63" s="124" t="str">
        <f>'1. All Data'!H71</f>
        <v>Off Target</v>
      </c>
      <c r="E63" s="97"/>
      <c r="F63" s="125">
        <f>'1. All Data'!M71</f>
        <v>0</v>
      </c>
      <c r="G63" s="97"/>
      <c r="H63" s="126">
        <f>'1. All Data'!R71</f>
        <v>0</v>
      </c>
      <c r="I63" s="97"/>
      <c r="J63" s="126">
        <f>'1. All Data'!V71</f>
        <v>0</v>
      </c>
    </row>
    <row r="64" spans="1:47" ht="99.75" customHeight="1">
      <c r="A64" s="95" t="str">
        <f>'1. All Data'!B72</f>
        <v>POH06</v>
      </c>
      <c r="B64" s="127" t="str">
        <f>'1. All Data'!C72</f>
        <v>Deliver the Burton upon Trent High Street Regeneration Project</v>
      </c>
      <c r="C64" s="128" t="str">
        <f>'1. All Data'!D72</f>
        <v>Complete RIBA Stage 2 (Concept Design) for the Reimagined Brewing Centre and Washlands Visitor Centre and brief Members and the Town Deal Board</v>
      </c>
      <c r="D64" s="124" t="str">
        <f>'1. All Data'!H72</f>
        <v>On Track to be Achieved</v>
      </c>
      <c r="E64" s="97"/>
      <c r="F64" s="125">
        <f>'1. All Data'!M72</f>
        <v>0</v>
      </c>
      <c r="G64" s="97"/>
      <c r="H64" s="126">
        <f>'1. All Data'!R72</f>
        <v>0</v>
      </c>
      <c r="I64" s="97"/>
      <c r="J64" s="126">
        <f>'1. All Data'!V72</f>
        <v>0</v>
      </c>
    </row>
    <row r="65" spans="1:10" ht="99.75" customHeight="1">
      <c r="A65" s="95" t="str">
        <f>'1. All Data'!B73</f>
        <v>POH07</v>
      </c>
      <c r="B65" s="127" t="str">
        <f>'1. All Data'!C73</f>
        <v>Deliver the Burton upon Trent High Street Regeneration Project</v>
      </c>
      <c r="C65" s="128" t="str">
        <f>'1. All Data'!D73</f>
        <v>Develop a funding bid for the Heritage Lottery Fund’s Heritage 2033 programme for the Reimagined Brewing Centre project</v>
      </c>
      <c r="D65" s="124" t="str">
        <f>'1. All Data'!H73</f>
        <v>On Track to be Achieved</v>
      </c>
      <c r="E65" s="97"/>
      <c r="F65" s="125">
        <f>'1. All Data'!M73</f>
        <v>0</v>
      </c>
      <c r="G65" s="97"/>
      <c r="H65" s="126">
        <f>'1. All Data'!R73</f>
        <v>0</v>
      </c>
      <c r="I65" s="97"/>
      <c r="J65" s="126">
        <f>'1. All Data'!V73</f>
        <v>0</v>
      </c>
    </row>
    <row r="66" spans="1:10" ht="99.75" customHeight="1">
      <c r="A66" s="95" t="str">
        <f>'1. All Data'!B74</f>
        <v>POH08</v>
      </c>
      <c r="B66" s="127" t="str">
        <f>'1. All Data'!C74</f>
        <v>Deliver the Burton upon Trent High Street Regeneration Project</v>
      </c>
      <c r="C66" s="128" t="str">
        <f>'1. All Data'!D74</f>
        <v>Complete RIBA Stage 3 (Spatial Co-ordination) for the Reimagined Brewing Centre and submit planning application</v>
      </c>
      <c r="D66" s="124" t="str">
        <f>'1. All Data'!H74</f>
        <v>On Track to be Achieved</v>
      </c>
      <c r="E66" s="97"/>
      <c r="F66" s="125">
        <f>'1. All Data'!M74</f>
        <v>0</v>
      </c>
      <c r="G66" s="97"/>
      <c r="H66" s="126">
        <f>'1. All Data'!R74</f>
        <v>0</v>
      </c>
      <c r="I66" s="97"/>
      <c r="J66" s="126">
        <f>'1. All Data'!V74</f>
        <v>0</v>
      </c>
    </row>
    <row r="67" spans="1:10" ht="99.75" customHeight="1">
      <c r="A67" s="95" t="str">
        <f>'1. All Data'!B75</f>
        <v>POH09</v>
      </c>
      <c r="B67" s="127" t="str">
        <f>'1. All Data'!C75</f>
        <v>Deliver the Burton upon Trent High Street Regeneration Project</v>
      </c>
      <c r="C67" s="128" t="str">
        <f>'1. All Data'!D75</f>
        <v>Complete RIBA Stage 4 (Technical Design) for the Reimagined Brewing Centre and brief Members and the Town Deal Board</v>
      </c>
      <c r="D67" s="124" t="str">
        <f>'1. All Data'!H75</f>
        <v>On Track to be Achieved</v>
      </c>
      <c r="E67" s="97"/>
      <c r="F67" s="125">
        <f>'1. All Data'!M75</f>
        <v>0</v>
      </c>
      <c r="G67" s="97"/>
      <c r="H67" s="126">
        <f>'1. All Data'!R75</f>
        <v>0</v>
      </c>
      <c r="I67" s="97"/>
      <c r="J67" s="126">
        <f>'1. All Data'!V75</f>
        <v>0</v>
      </c>
    </row>
    <row r="68" spans="1:10" ht="99.75" customHeight="1">
      <c r="A68" s="95" t="str">
        <f>'1. All Data'!B76</f>
        <v>POH10</v>
      </c>
      <c r="B68" s="127" t="str">
        <f>'1. All Data'!C76</f>
        <v>Deliver the Burton upon Trent High Street Regeneration Project</v>
      </c>
      <c r="C68" s="128" t="str">
        <f>'1. All Data'!D76</f>
        <v>Commence enhancement works at the Garden of Remembrance and agree a complementary improvement scheme for Andressey Passage</v>
      </c>
      <c r="D68" s="124" t="str">
        <f>'1. All Data'!H76</f>
        <v>On Track to be Achieved</v>
      </c>
      <c r="E68" s="97"/>
      <c r="F68" s="125">
        <f>'1. All Data'!M76</f>
        <v>0</v>
      </c>
      <c r="G68" s="97"/>
      <c r="H68" s="126">
        <f>'1. All Data'!R76</f>
        <v>0</v>
      </c>
      <c r="I68" s="97"/>
      <c r="J68" s="126">
        <f>'1. All Data'!V76</f>
        <v>0</v>
      </c>
    </row>
    <row r="69" spans="1:10" ht="99.75" customHeight="1">
      <c r="A69" s="95" t="str">
        <f>'1. All Data'!B77</f>
        <v>COM01</v>
      </c>
      <c r="B69" s="127" t="str">
        <f>'1. All Data'!C77</f>
        <v>Enhancing our Communities</v>
      </c>
      <c r="C69" s="128" t="str">
        <f>'1. All Data'!D77</f>
        <v>Update on the first year of the Community Lottery</v>
      </c>
      <c r="D69" s="124" t="str">
        <f>'1. All Data'!H77</f>
        <v>Not Yet Due</v>
      </c>
      <c r="E69" s="97"/>
      <c r="F69" s="125">
        <f>'1. All Data'!M77</f>
        <v>0</v>
      </c>
      <c r="G69" s="105"/>
      <c r="H69" s="126">
        <f>'1. All Data'!R77</f>
        <v>0</v>
      </c>
      <c r="I69" s="105"/>
      <c r="J69" s="126">
        <f>'1. All Data'!V77</f>
        <v>0</v>
      </c>
    </row>
    <row r="70" spans="1:10" ht="99.75" customHeight="1">
      <c r="A70" s="95" t="str">
        <f>'1. All Data'!B78</f>
        <v>COM02</v>
      </c>
      <c r="B70" s="127" t="str">
        <f>'1. All Data'!C78</f>
        <v>Enhancing our Communities</v>
      </c>
      <c r="C70" s="128" t="str">
        <f>'1. All Data'!D78</f>
        <v>Deliver the Councillors Community Fund ensuring support for our communities</v>
      </c>
      <c r="D70" s="124" t="str">
        <f>'1. All Data'!H78</f>
        <v>On Track to be Achieved</v>
      </c>
      <c r="E70" s="97"/>
      <c r="F70" s="125">
        <f>'1. All Data'!M78</f>
        <v>0</v>
      </c>
      <c r="G70" s="105"/>
      <c r="H70" s="126">
        <f>'1. All Data'!R78</f>
        <v>0</v>
      </c>
      <c r="I70" s="105"/>
      <c r="J70" s="126">
        <f>'1. All Data'!V78</f>
        <v>0</v>
      </c>
    </row>
    <row r="71" spans="1:10" ht="99.75" customHeight="1">
      <c r="A71" s="95" t="str">
        <f>'1. All Data'!B79</f>
        <v>COM03</v>
      </c>
      <c r="B71" s="127" t="str">
        <f>'1. All Data'!C79</f>
        <v>Enhancing our Communities</v>
      </c>
      <c r="C71" s="128" t="str">
        <f>'1. All Data'!D79</f>
        <v>Deliver a Community Regeneration Fund (CRF) to help enhance local areas and update the application criteria</v>
      </c>
      <c r="D71" s="124" t="str">
        <f>'1. All Data'!H79</f>
        <v>On Track to be Achieved</v>
      </c>
      <c r="E71" s="97"/>
      <c r="F71" s="125">
        <f>'1. All Data'!M79</f>
        <v>0</v>
      </c>
      <c r="G71" s="105"/>
      <c r="H71" s="126">
        <f>'1. All Data'!R79</f>
        <v>0</v>
      </c>
      <c r="I71" s="105"/>
      <c r="J71" s="126">
        <f>'1. All Data'!V79</f>
        <v>0</v>
      </c>
    </row>
    <row r="72" spans="1:10" ht="99.75" customHeight="1">
      <c r="A72" s="95" t="str">
        <f>'1. All Data'!B80</f>
        <v>COM04</v>
      </c>
      <c r="B72" s="127" t="str">
        <f>'1. All Data'!C80</f>
        <v>Protecting our Communities</v>
      </c>
      <c r="C72" s="128" t="str">
        <f>'1. All Data'!D80</f>
        <v>Implement Martyn’s Law ensuring residents’ and staff safety around public events including council meetings</v>
      </c>
      <c r="D72" s="124" t="str">
        <f>'1. All Data'!H80</f>
        <v>On Track to be Achieved</v>
      </c>
      <c r="E72" s="96"/>
      <c r="F72" s="125">
        <f>'1. All Data'!M80</f>
        <v>0</v>
      </c>
      <c r="G72" s="97"/>
      <c r="H72" s="126">
        <f>'1. All Data'!R80</f>
        <v>0</v>
      </c>
      <c r="I72" s="97"/>
      <c r="J72" s="126">
        <f>'1. All Data'!V80</f>
        <v>0</v>
      </c>
    </row>
    <row r="73" spans="1:10" ht="99.75" customHeight="1">
      <c r="A73" s="95" t="str">
        <f>'1. All Data'!B81</f>
        <v>COM05</v>
      </c>
      <c r="B73" s="127" t="str">
        <f>'1. All Data'!C81</f>
        <v>Delivering Cost of Living Support</v>
      </c>
      <c r="C73" s="128" t="str">
        <f>'1. All Data'!D81</f>
        <v>Review and report on progress on delivery of cost of living support, including reducing fuel and food poverty and promote further engagement with low-income and vulnerable households</v>
      </c>
      <c r="D73" s="124" t="str">
        <f>'1. All Data'!H81</f>
        <v>Not Yet Due</v>
      </c>
      <c r="E73" s="97"/>
      <c r="F73" s="125">
        <f>'1. All Data'!M81</f>
        <v>0</v>
      </c>
      <c r="G73" s="97"/>
      <c r="H73" s="126">
        <f>'1. All Data'!R81</f>
        <v>0</v>
      </c>
      <c r="I73" s="97"/>
      <c r="J73" s="126">
        <f>'1. All Data'!V81</f>
        <v>0</v>
      </c>
    </row>
    <row r="74" spans="1:10" ht="99.75" customHeight="1">
      <c r="A74" s="95" t="str">
        <f>'1. All Data'!B83</f>
        <v>COM07</v>
      </c>
      <c r="B74" s="127" t="str">
        <f>'1. All Data'!C83</f>
        <v>Delivering Housing and Homelessness Support</v>
      </c>
      <c r="C74" s="128" t="str">
        <f>'1. All Data'!D83</f>
        <v>Average time from appointment to initial decision for homeless applicants of 3 days</v>
      </c>
      <c r="D74" s="124" t="str">
        <f>'1. All Data'!H83</f>
        <v>On Track to be Achieved</v>
      </c>
      <c r="E74" s="97"/>
      <c r="F74" s="125">
        <f>'1. All Data'!M83</f>
        <v>0</v>
      </c>
      <c r="G74" s="105"/>
      <c r="H74" s="126">
        <f>'1. All Data'!R83</f>
        <v>0</v>
      </c>
      <c r="I74" s="97"/>
      <c r="J74" s="126">
        <f>'1. All Data'!V83</f>
        <v>0</v>
      </c>
    </row>
    <row r="75" spans="1:10" ht="99.75" customHeight="1">
      <c r="A75" s="95" t="str">
        <f>'1. All Data'!B86</f>
        <v>COM10</v>
      </c>
      <c r="B75" s="127" t="str">
        <f>'1. All Data'!C86</f>
        <v>Development of Rough Sleeper Interventions</v>
      </c>
      <c r="C75" s="128" t="str">
        <f>'1. All Data'!D86</f>
        <v>Evaluate the existing DLUHC Rough Sleeper projects and make recommendations for next steps when funding for these end in March 2025</v>
      </c>
      <c r="D75" s="124" t="str">
        <f>'1. All Data'!H86</f>
        <v>Not Yet Due</v>
      </c>
      <c r="E75" s="97"/>
      <c r="F75" s="125">
        <f>'1. All Data'!M86</f>
        <v>0</v>
      </c>
      <c r="G75" s="97"/>
      <c r="H75" s="126">
        <f>'1. All Data'!R86</f>
        <v>0</v>
      </c>
      <c r="I75" s="97"/>
      <c r="J75" s="126">
        <f>'1. All Data'!V86</f>
        <v>0</v>
      </c>
    </row>
    <row r="76" spans="1:10" ht="99.75" customHeight="1">
      <c r="A76" s="95" t="str">
        <f>'1. All Data'!B89</f>
        <v>COM13</v>
      </c>
      <c r="B76" s="127" t="str">
        <f>'1. All Data'!C89</f>
        <v>Maintain Performance On Recycling</v>
      </c>
      <c r="C76" s="128" t="str">
        <f>'1. All Data'!D89</f>
        <v>Household Waste Recycled and Composted: Upper Quartile</v>
      </c>
      <c r="D76" s="124" t="str">
        <f>'1. All Data'!H89</f>
        <v>On Track to be Achieved</v>
      </c>
      <c r="E76" s="97"/>
      <c r="F76" s="125">
        <f>'1. All Data'!M89</f>
        <v>0</v>
      </c>
      <c r="G76" s="97"/>
      <c r="H76" s="126">
        <f>'1. All Data'!R89</f>
        <v>0</v>
      </c>
      <c r="I76" s="97"/>
      <c r="J76" s="126">
        <f>'1. All Data'!V89</f>
        <v>0</v>
      </c>
    </row>
    <row r="77" spans="1:10" ht="87.6">
      <c r="A77" s="95" t="str">
        <f>'1. All Data'!B90</f>
        <v>COM14</v>
      </c>
      <c r="B77" s="127" t="str">
        <f>'1. All Data'!C90</f>
        <v>Preparing Waste Management for the Future</v>
      </c>
      <c r="C77" s="128" t="str">
        <f>'1. All Data'!D90</f>
        <v>Provide a plan on developments to deliver an upgraded (or new) Waste Depot</v>
      </c>
      <c r="D77" s="124" t="str">
        <f>'1. All Data'!H90</f>
        <v>On Track to be Achieved</v>
      </c>
      <c r="E77" s="96"/>
      <c r="F77" s="125">
        <f>'1. All Data'!M90</f>
        <v>0</v>
      </c>
      <c r="G77" s="97"/>
      <c r="H77" s="126">
        <f>'1. All Data'!R90</f>
        <v>0</v>
      </c>
      <c r="I77" s="97"/>
      <c r="J77" s="126">
        <f>'1. All Data'!V90</f>
        <v>0</v>
      </c>
    </row>
    <row r="78" spans="1:10" ht="99.75" customHeight="1">
      <c r="A78" s="95" t="str">
        <f>'1. All Data'!B93</f>
        <v>COM17</v>
      </c>
      <c r="B78" s="127" t="str">
        <f>'1. All Data'!C93</f>
        <v>Managing Sport and Leisure Contracts</v>
      </c>
      <c r="C78" s="128" t="str">
        <f>'1. All Data'!D93</f>
        <v>Report on grant funding issued via East Staffordshire Sports Council on a quarterly basis through the Member briefing.</v>
      </c>
      <c r="D78" s="124" t="str">
        <f>'1. All Data'!H93</f>
        <v>On Track to be Achieved</v>
      </c>
      <c r="E78" s="96"/>
      <c r="F78" s="125">
        <f>'1. All Data'!M93</f>
        <v>0</v>
      </c>
      <c r="G78" s="104"/>
      <c r="H78" s="126">
        <f>'1. All Data'!R93</f>
        <v>0</v>
      </c>
      <c r="I78" s="104"/>
      <c r="J78" s="126">
        <f>'1. All Data'!V93</f>
        <v>0</v>
      </c>
    </row>
    <row r="79" spans="1:10" ht="99.75" customHeight="1">
      <c r="A79" s="95" t="str">
        <f>'1. All Data'!B94</f>
        <v>COM18</v>
      </c>
      <c r="B79" s="127" t="str">
        <f>'1. All Data'!C94</f>
        <v>Regenerating for Communities</v>
      </c>
      <c r="C79" s="128" t="str">
        <f>'1. All Data'!D94</f>
        <v>Administer the final year of the UK Shared Prosperity Fund programme</v>
      </c>
      <c r="D79" s="124" t="str">
        <f>'1. All Data'!H94</f>
        <v>On Track to be Achieved</v>
      </c>
      <c r="E79" s="96"/>
      <c r="F79" s="125">
        <f>'1. All Data'!M94</f>
        <v>0</v>
      </c>
      <c r="G79" s="97"/>
      <c r="H79" s="126">
        <f>'1. All Data'!R94</f>
        <v>0</v>
      </c>
      <c r="I79" s="97"/>
      <c r="J79" s="126">
        <f>'1. All Data'!V94</f>
        <v>0</v>
      </c>
    </row>
    <row r="80" spans="1:10" ht="99.75" customHeight="1">
      <c r="A80" s="95" t="str">
        <f>'1. All Data'!B95</f>
        <v>COM19</v>
      </c>
      <c r="B80" s="127" t="str">
        <f>'1. All Data'!C95</f>
        <v>Regenerating for Communities</v>
      </c>
      <c r="C80" s="128" t="str">
        <f>'1. All Data'!D95</f>
        <v xml:space="preserve">Approve a Play Area Improvement Project through the UK Shared Prosperity Fund to deliver enhancements across 16 play areas in the Borough, one in each Ward </v>
      </c>
      <c r="D80" s="124" t="str">
        <f>'1. All Data'!H95</f>
        <v>Fully Achieved</v>
      </c>
      <c r="E80" s="97"/>
      <c r="F80" s="125">
        <f>'1. All Data'!M95</f>
        <v>0</v>
      </c>
      <c r="G80" s="97"/>
      <c r="H80" s="126">
        <f>'1. All Data'!R95</f>
        <v>0</v>
      </c>
      <c r="I80" s="97"/>
      <c r="J80" s="126">
        <f>'1. All Data'!V95</f>
        <v>0</v>
      </c>
    </row>
    <row r="81" spans="1:46" ht="99.75" customHeight="1">
      <c r="A81" s="95" t="str">
        <f>'1. All Data'!B96</f>
        <v>COM20</v>
      </c>
      <c r="B81" s="127" t="str">
        <f>'1. All Data'!C96</f>
        <v>Regenerating for Communities</v>
      </c>
      <c r="C81" s="128" t="str">
        <f>'1. All Data'!D96</f>
        <v xml:space="preserve">Update the Brownfield Regeneration Framework with a renewed focus on social housing regeneration </v>
      </c>
      <c r="D81" s="124" t="str">
        <f>'1. All Data'!H96</f>
        <v>Fully Achieved</v>
      </c>
      <c r="E81" s="97"/>
      <c r="F81" s="125">
        <f>'1. All Data'!M96</f>
        <v>0</v>
      </c>
      <c r="G81" s="97"/>
      <c r="H81" s="126">
        <f>'1. All Data'!R96</f>
        <v>0</v>
      </c>
      <c r="I81" s="97"/>
      <c r="J81" s="126">
        <f>'1. All Data'!V96</f>
        <v>0</v>
      </c>
    </row>
    <row r="82" spans="1:46" s="111" customFormat="1" ht="105">
      <c r="A82" s="95" t="str">
        <f>'1. All Data'!B97</f>
        <v>COM21</v>
      </c>
      <c r="B82" s="127" t="str">
        <f>'1. All Data'!C97</f>
        <v>Regenerating for Communities</v>
      </c>
      <c r="C82" s="128" t="str">
        <f>'1. All Data'!D97</f>
        <v xml:space="preserve">Identify at least one social housing regeneration project for funding through the updated Brownfield Regeneration Framework </v>
      </c>
      <c r="D82" s="124" t="str">
        <f>'1. All Data'!H97</f>
        <v>On Track to be Achieved</v>
      </c>
      <c r="E82" s="96"/>
      <c r="F82" s="125">
        <f>'1. All Data'!M97</f>
        <v>0</v>
      </c>
      <c r="G82" s="97"/>
      <c r="H82" s="126">
        <f>'1. All Data'!R97</f>
        <v>0</v>
      </c>
      <c r="I82" s="97"/>
      <c r="J82" s="126">
        <f>'1. All Data'!V97</f>
        <v>0</v>
      </c>
      <c r="K82" s="117"/>
      <c r="L82" s="117"/>
      <c r="M82" s="118"/>
      <c r="N82" s="119"/>
      <c r="O82" s="119"/>
      <c r="P82" s="119"/>
      <c r="Q82" s="119"/>
      <c r="R82" s="118"/>
      <c r="S82" s="117"/>
      <c r="T82" s="117"/>
      <c r="U82" s="117"/>
      <c r="V82" s="120"/>
      <c r="W82" s="117"/>
      <c r="X82" s="118"/>
      <c r="Y82" s="118"/>
      <c r="Z82" s="118"/>
      <c r="AA82" s="118"/>
      <c r="AB82" s="109"/>
      <c r="AC82" s="94"/>
      <c r="AD82" s="110"/>
      <c r="AE82" s="110"/>
      <c r="AF82" s="110"/>
      <c r="AG82" s="110"/>
      <c r="AH82" s="110"/>
      <c r="AI82" s="110"/>
      <c r="AJ82" s="110"/>
      <c r="AK82" s="110"/>
      <c r="AL82" s="110"/>
      <c r="AM82" s="110"/>
      <c r="AN82" s="110"/>
      <c r="AO82" s="110"/>
      <c r="AP82" s="110"/>
      <c r="AQ82" s="110"/>
      <c r="AR82" s="110"/>
      <c r="AS82" s="110"/>
      <c r="AT82" s="110"/>
    </row>
    <row r="83" spans="1:46" s="116" customFormat="1" ht="103.5" customHeight="1">
      <c r="A83" s="95" t="str">
        <f>'1. All Data'!B98</f>
        <v>COM22</v>
      </c>
      <c r="B83" s="127" t="str">
        <f>'1. All Data'!C98</f>
        <v xml:space="preserve">Delivering Better Services to Support the Cost of Living Crisis </v>
      </c>
      <c r="C83" s="128" t="str">
        <f>'1. All Data'!D98</f>
        <v>Development and installation of system upgrades to support a digital portal, electronic forms and communications for Revenues and Benefits</v>
      </c>
      <c r="D83" s="124" t="str">
        <f>'1. All Data'!H98</f>
        <v>On Track to be Achieved</v>
      </c>
      <c r="E83" s="97"/>
      <c r="F83" s="125">
        <f>'1. All Data'!M98</f>
        <v>0</v>
      </c>
      <c r="G83" s="121"/>
      <c r="H83" s="126">
        <f>'1. All Data'!R98</f>
        <v>0</v>
      </c>
      <c r="I83" s="121"/>
      <c r="J83" s="126">
        <f>'1. All Data'!V98</f>
        <v>0</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row>
    <row r="84" spans="1:46" ht="99.75" customHeight="1">
      <c r="A84" s="95" t="str">
        <f>'1. All Data'!B99</f>
        <v>COM23</v>
      </c>
      <c r="B84" s="127" t="str">
        <f>'1. All Data'!C99</f>
        <v>Delivering Better Services to Support the Cost of Living Crisis</v>
      </c>
      <c r="C84" s="128" t="str">
        <f>'1. All Data'!D99</f>
        <v>Conduct a review of Local Council Tax Reduction Scheme to improve lives</v>
      </c>
      <c r="D84" s="124" t="str">
        <f>'1. All Data'!H99</f>
        <v>On Track to be Achieved</v>
      </c>
      <c r="E84" s="96"/>
      <c r="F84" s="125">
        <f>'1. All Data'!M99</f>
        <v>0</v>
      </c>
      <c r="G84" s="97"/>
      <c r="H84" s="126">
        <f>'1. All Data'!R99</f>
        <v>0</v>
      </c>
      <c r="I84" s="97"/>
      <c r="J84" s="126">
        <f>'1. All Data'!V99</f>
        <v>0</v>
      </c>
    </row>
    <row r="85" spans="1:46" ht="99.75" customHeight="1">
      <c r="A85" s="95" t="str">
        <f>'1. All Data'!B100</f>
        <v>COM24</v>
      </c>
      <c r="B85" s="127" t="str">
        <f>'1. All Data'!C100</f>
        <v>Delivering Better Services to Support the Cost of Living Crisis</v>
      </c>
      <c r="C85" s="128" t="str">
        <f>'1. All Data'!D100</f>
        <v>Time Taken to Process Benefit New Claims and Change Events (Previously NI 181) 
Average time: 4.5 days</v>
      </c>
      <c r="D85" s="124" t="str">
        <f>'1. All Data'!H100</f>
        <v>On Track to be Achieved</v>
      </c>
      <c r="E85" s="96"/>
      <c r="F85" s="125">
        <f>'1. All Data'!M100</f>
        <v>0</v>
      </c>
      <c r="G85" s="97"/>
      <c r="H85" s="126">
        <f>'1. All Data'!R100</f>
        <v>0</v>
      </c>
      <c r="I85" s="97"/>
      <c r="J85" s="126">
        <f>'1. All Data'!V100</f>
        <v>0</v>
      </c>
    </row>
    <row r="86" spans="1:46" ht="99.75" customHeight="1">
      <c r="A86" s="95" t="str">
        <f>'1. All Data'!B101</f>
        <v>COM25</v>
      </c>
      <c r="B86" s="127" t="str">
        <f>'1. All Data'!C101</f>
        <v>Continue to Maximise Income Through Effective Collection Processes</v>
      </c>
      <c r="C86" s="128" t="str">
        <f>'1. All Data'!D101</f>
        <v>Former Years Arrears for: 
ongoing reduction of all prior years debt of 
Council Tax: 25%
NNDR: 35%
Sundry Debts: 50%
HBOP: 30%</v>
      </c>
      <c r="D86" s="124" t="str">
        <f>'1. All Data'!H101</f>
        <v>On Track to be Achieved</v>
      </c>
      <c r="E86" s="96"/>
      <c r="F86" s="125">
        <f>'1. All Data'!M101</f>
        <v>0</v>
      </c>
      <c r="G86" s="105"/>
      <c r="H86" s="126">
        <f>'1. All Data'!R101</f>
        <v>0</v>
      </c>
      <c r="I86" s="97"/>
      <c r="J86" s="126">
        <f>'1. All Data'!V101</f>
        <v>0</v>
      </c>
    </row>
    <row r="87" spans="1:46" ht="99.75" customHeight="1">
      <c r="A87" s="95" t="str">
        <f>'1. All Data'!B102</f>
        <v>COM26</v>
      </c>
      <c r="B87" s="127" t="str">
        <f>'1. All Data'!C102</f>
        <v>Continue to Maximise Income Through Effective Collection Processes (Previously BVPI 9 &amp; 10)</v>
      </c>
      <c r="C87" s="128" t="str">
        <f>'1. All Data'!D102</f>
        <v>Collection Rates of – 
Council Tax: 98% over 6 years
With an in year collection of 90%
NNDR: 99% over 6 years
With an in year collection of 92%</v>
      </c>
      <c r="D87" s="124" t="str">
        <f>'1. All Data'!H102</f>
        <v>On Track to be Achieved</v>
      </c>
      <c r="E87" s="96"/>
      <c r="F87" s="125">
        <f>'1. All Data'!M102</f>
        <v>0</v>
      </c>
      <c r="G87" s="97"/>
      <c r="H87" s="126">
        <f>'1. All Data'!R102</f>
        <v>0</v>
      </c>
      <c r="I87" s="97"/>
      <c r="J87" s="126">
        <f>'1. All Data'!V102</f>
        <v>0</v>
      </c>
    </row>
    <row r="88" spans="1:46" ht="99.75" customHeight="1">
      <c r="A88" s="95" t="str">
        <f>'1. All Data'!B103</f>
        <v>COM27</v>
      </c>
      <c r="B88" s="127" t="str">
        <f>'1. All Data'!C103</f>
        <v>Increasing Staffing Availability Through Reduced Sickness</v>
      </c>
      <c r="C88" s="128" t="str">
        <f>'1. All Data'!D103</f>
        <v>Short Term Sickness Days Average: Short Term Sickness Days Average:
[To be Agreed Post Outturn]</v>
      </c>
      <c r="D88" s="124" t="str">
        <f>'1. All Data'!H103</f>
        <v>On Track to be Achieved</v>
      </c>
      <c r="E88" s="96"/>
      <c r="F88" s="125">
        <f>'1. All Data'!M103</f>
        <v>0</v>
      </c>
      <c r="G88" s="97"/>
      <c r="H88" s="126">
        <f>'1. All Data'!R103</f>
        <v>0</v>
      </c>
      <c r="I88" s="97"/>
      <c r="J88" s="126">
        <f>'1. All Data'!V103</f>
        <v>0</v>
      </c>
    </row>
    <row r="89" spans="1:46" ht="99.75" customHeight="1">
      <c r="A89" s="95" t="str">
        <f>'1. All Data'!B104</f>
        <v>COM28</v>
      </c>
      <c r="B89" s="127" t="str">
        <f>'1. All Data'!C104</f>
        <v>Improve On The Average Time To Pay Creditors</v>
      </c>
      <c r="C89" s="128" t="str">
        <f>'1. All Data'!D104</f>
        <v>Average Time To Pay Creditors: 
[To be Agreed Post Outturn]</v>
      </c>
      <c r="D89" s="124" t="str">
        <f>'1. All Data'!H104</f>
        <v>On Track to be Achieved</v>
      </c>
      <c r="E89" s="97"/>
      <c r="F89" s="125">
        <f>'1. All Data'!M104</f>
        <v>0</v>
      </c>
      <c r="G89" s="97"/>
      <c r="H89" s="126">
        <f>'1. All Data'!R104</f>
        <v>0</v>
      </c>
      <c r="I89" s="97"/>
      <c r="J89" s="126">
        <f>'1. All Data'!V104</f>
        <v>0</v>
      </c>
    </row>
    <row r="90" spans="1:46" ht="99.75" customHeight="1">
      <c r="A90" s="95">
        <f>'1. All Data'!B106</f>
        <v>0</v>
      </c>
      <c r="B90" s="127">
        <f>'1. All Data'!C106</f>
        <v>0</v>
      </c>
      <c r="C90" s="128">
        <f>'1. All Data'!D106</f>
        <v>0</v>
      </c>
      <c r="D90" s="124">
        <f>'1. All Data'!H106</f>
        <v>0</v>
      </c>
      <c r="E90" s="96"/>
      <c r="F90" s="125">
        <f>'1. All Data'!M106</f>
        <v>0</v>
      </c>
      <c r="G90" s="97"/>
      <c r="H90" s="126">
        <f>'1. All Data'!R106</f>
        <v>0</v>
      </c>
      <c r="I90" s="97"/>
      <c r="J90" s="126">
        <f>'1. All Data'!V106</f>
        <v>0</v>
      </c>
    </row>
    <row r="91" spans="1:46" ht="99.75" customHeight="1">
      <c r="A91" s="95">
        <f>'1. All Data'!B107</f>
        <v>0</v>
      </c>
      <c r="B91" s="127">
        <f>'1. All Data'!C107</f>
        <v>0</v>
      </c>
      <c r="C91" s="128">
        <f>'1. All Data'!D107</f>
        <v>0</v>
      </c>
      <c r="D91" s="124">
        <f>'1. All Data'!H107</f>
        <v>0</v>
      </c>
      <c r="E91" s="97"/>
      <c r="F91" s="125">
        <f>'1. All Data'!M107</f>
        <v>0</v>
      </c>
      <c r="G91" s="97"/>
      <c r="H91" s="126">
        <f>'1. All Data'!R107</f>
        <v>0</v>
      </c>
      <c r="I91" s="97"/>
      <c r="J91" s="126">
        <f>'1. All Data'!V107</f>
        <v>0</v>
      </c>
    </row>
    <row r="92" spans="1:46" ht="99.75" customHeight="1">
      <c r="A92" s="95">
        <f>'1. All Data'!B108</f>
        <v>0</v>
      </c>
      <c r="B92" s="127">
        <f>'1. All Data'!C108</f>
        <v>0</v>
      </c>
      <c r="C92" s="128">
        <f>'1. All Data'!D108</f>
        <v>0</v>
      </c>
      <c r="D92" s="124">
        <f>'1. All Data'!H108</f>
        <v>0</v>
      </c>
      <c r="E92" s="96"/>
      <c r="F92" s="125">
        <f>'1. All Data'!M108</f>
        <v>0</v>
      </c>
      <c r="G92" s="97"/>
      <c r="H92" s="126">
        <f>'1. All Data'!R108</f>
        <v>0</v>
      </c>
      <c r="I92" s="97"/>
      <c r="J92" s="126">
        <f>'1. All Data'!V108</f>
        <v>0</v>
      </c>
    </row>
    <row r="93" spans="1:46" ht="99.75" customHeight="1">
      <c r="A93" s="95">
        <f>'1. All Data'!B109</f>
        <v>0</v>
      </c>
      <c r="B93" s="127">
        <f>'1. All Data'!C109</f>
        <v>0</v>
      </c>
      <c r="C93" s="128">
        <f>'1. All Data'!D109</f>
        <v>0</v>
      </c>
      <c r="D93" s="124">
        <f>'1. All Data'!H109</f>
        <v>0</v>
      </c>
      <c r="E93" s="96"/>
      <c r="F93" s="125">
        <f>'1. All Data'!M109</f>
        <v>0</v>
      </c>
      <c r="G93" s="97"/>
      <c r="H93" s="126">
        <f>'1. All Data'!R109</f>
        <v>0</v>
      </c>
      <c r="I93" s="97"/>
      <c r="J93" s="126">
        <f>'1. All Data'!V109</f>
        <v>0</v>
      </c>
    </row>
    <row r="94" spans="1:46" ht="99.75" customHeight="1">
      <c r="A94" s="95">
        <f>'1. All Data'!B110</f>
        <v>0</v>
      </c>
      <c r="B94" s="127">
        <f>'1. All Data'!C110</f>
        <v>0</v>
      </c>
      <c r="C94" s="128">
        <f>'1. All Data'!D110</f>
        <v>0</v>
      </c>
      <c r="D94" s="124">
        <f>'1. All Data'!H110</f>
        <v>0</v>
      </c>
      <c r="E94" s="96"/>
      <c r="F94" s="125">
        <f>'1. All Data'!M110</f>
        <v>0</v>
      </c>
      <c r="G94" s="97"/>
      <c r="H94" s="126">
        <f>'1. All Data'!R110</f>
        <v>0</v>
      </c>
      <c r="I94" s="97"/>
      <c r="J94" s="126">
        <f>'1. All Data'!V110</f>
        <v>0</v>
      </c>
    </row>
    <row r="95" spans="1:46" ht="99.75" customHeight="1">
      <c r="A95" s="95">
        <f>'1. All Data'!B111</f>
        <v>0</v>
      </c>
      <c r="B95" s="127">
        <f>'1. All Data'!C111</f>
        <v>0</v>
      </c>
      <c r="C95" s="128">
        <f>'1. All Data'!D111</f>
        <v>0</v>
      </c>
      <c r="D95" s="124">
        <f>'1. All Data'!H111</f>
        <v>0</v>
      </c>
      <c r="E95" s="96"/>
      <c r="F95" s="125">
        <f>'1. All Data'!M111</f>
        <v>0</v>
      </c>
      <c r="G95" s="97"/>
      <c r="H95" s="126">
        <f>'1. All Data'!R111</f>
        <v>0</v>
      </c>
      <c r="I95" s="97"/>
      <c r="J95" s="126">
        <f>'1. All Data'!V111</f>
        <v>0</v>
      </c>
    </row>
    <row r="96" spans="1:46" ht="99.75" customHeight="1">
      <c r="A96" s="95">
        <f>'1. All Data'!B112</f>
        <v>0</v>
      </c>
      <c r="B96" s="127">
        <f>'1. All Data'!C112</f>
        <v>0</v>
      </c>
      <c r="C96" s="128">
        <f>'1. All Data'!D112</f>
        <v>0</v>
      </c>
      <c r="D96" s="124">
        <f>'1. All Data'!H112</f>
        <v>0</v>
      </c>
      <c r="E96" s="97"/>
      <c r="F96" s="125">
        <f>'1. All Data'!M112</f>
        <v>0</v>
      </c>
      <c r="G96" s="97"/>
      <c r="H96" s="126">
        <f>'1. All Data'!R112</f>
        <v>0</v>
      </c>
      <c r="I96" s="97"/>
      <c r="J96" s="126">
        <f>'1. All Data'!V112</f>
        <v>0</v>
      </c>
    </row>
    <row r="97" spans="1:10" ht="99.75" customHeight="1">
      <c r="A97" s="95">
        <f>'1. All Data'!B114</f>
        <v>0</v>
      </c>
      <c r="B97" s="127">
        <f>'1. All Data'!C114</f>
        <v>0</v>
      </c>
      <c r="C97" s="128">
        <f>'1. All Data'!D114</f>
        <v>0</v>
      </c>
      <c r="D97" s="124">
        <f>'1. All Data'!H114</f>
        <v>0</v>
      </c>
      <c r="E97" s="97"/>
      <c r="F97" s="125">
        <f>'1. All Data'!M114</f>
        <v>0</v>
      </c>
      <c r="G97" s="97"/>
      <c r="H97" s="126">
        <f>'1. All Data'!R114</f>
        <v>0</v>
      </c>
      <c r="I97" s="97"/>
      <c r="J97" s="126">
        <f>'1. All Data'!V114</f>
        <v>0</v>
      </c>
    </row>
    <row r="98" spans="1:10" ht="99.75" customHeight="1">
      <c r="A98" s="95">
        <f>'1. All Data'!B115</f>
        <v>0</v>
      </c>
      <c r="B98" s="127">
        <f>'1. All Data'!C115</f>
        <v>0</v>
      </c>
      <c r="C98" s="128">
        <f>'1. All Data'!D115</f>
        <v>0</v>
      </c>
      <c r="D98" s="124">
        <f>'1. All Data'!H115</f>
        <v>0</v>
      </c>
      <c r="E98" s="96"/>
      <c r="F98" s="125">
        <f>'1. All Data'!M115</f>
        <v>0</v>
      </c>
      <c r="G98" s="105"/>
      <c r="H98" s="126">
        <f>'1. All Data'!R115</f>
        <v>0</v>
      </c>
      <c r="I98" s="97"/>
      <c r="J98" s="126">
        <f>'1. All Data'!V115</f>
        <v>0</v>
      </c>
    </row>
    <row r="99" spans="1:10" ht="99.75" customHeight="1">
      <c r="A99" s="95">
        <f>'1. All Data'!B116</f>
        <v>0</v>
      </c>
      <c r="B99" s="127">
        <f>'1. All Data'!C116</f>
        <v>0</v>
      </c>
      <c r="C99" s="128">
        <f>'1. All Data'!D116</f>
        <v>0</v>
      </c>
      <c r="D99" s="124">
        <f>'1. All Data'!H116</f>
        <v>0</v>
      </c>
      <c r="E99" s="97"/>
      <c r="F99" s="125">
        <f>'1. All Data'!M116</f>
        <v>0</v>
      </c>
      <c r="G99" s="104"/>
      <c r="H99" s="126">
        <f>'1. All Data'!R116</f>
        <v>0</v>
      </c>
      <c r="I99" s="97"/>
      <c r="J99" s="126">
        <f>'1. All Data'!V116</f>
        <v>0</v>
      </c>
    </row>
    <row r="100" spans="1:10" ht="99.75" customHeight="1">
      <c r="A100" s="95">
        <f>'1. All Data'!B117</f>
        <v>0</v>
      </c>
      <c r="B100" s="127">
        <f>'1. All Data'!C117</f>
        <v>0</v>
      </c>
      <c r="C100" s="128">
        <f>'1. All Data'!D117</f>
        <v>0</v>
      </c>
      <c r="D100" s="124">
        <f>'1. All Data'!H117</f>
        <v>0</v>
      </c>
      <c r="E100" s="97"/>
      <c r="F100" s="125">
        <f>'1. All Data'!M117</f>
        <v>0</v>
      </c>
      <c r="G100" s="97"/>
      <c r="H100" s="126">
        <f>'1. All Data'!R117</f>
        <v>0</v>
      </c>
      <c r="I100" s="97"/>
      <c r="J100" s="126">
        <f>'1. All Data'!V117</f>
        <v>0</v>
      </c>
    </row>
    <row r="101" spans="1:10" ht="99.75" customHeight="1">
      <c r="A101" s="95">
        <f>'1. All Data'!B120</f>
        <v>0</v>
      </c>
      <c r="B101" s="127">
        <f>'1. All Data'!C120</f>
        <v>0</v>
      </c>
      <c r="C101" s="128">
        <f>'1. All Data'!D120</f>
        <v>0</v>
      </c>
      <c r="D101" s="124">
        <f>'1. All Data'!H120</f>
        <v>0</v>
      </c>
      <c r="E101" s="97"/>
      <c r="F101" s="125">
        <f>'1. All Data'!M120</f>
        <v>0</v>
      </c>
      <c r="G101" s="97"/>
      <c r="H101" s="126">
        <f>'1. All Data'!R120</f>
        <v>0</v>
      </c>
      <c r="I101" s="97"/>
      <c r="J101" s="126">
        <f>'1. All Data'!V120</f>
        <v>0</v>
      </c>
    </row>
    <row r="102" spans="1:10" ht="99.75" customHeight="1">
      <c r="A102" s="95">
        <f>'1. All Data'!B123</f>
        <v>0</v>
      </c>
      <c r="B102" s="127">
        <f>'1. All Data'!C123</f>
        <v>0</v>
      </c>
      <c r="C102" s="128">
        <f>'1. All Data'!D123</f>
        <v>0</v>
      </c>
      <c r="D102" s="124">
        <f>'1. All Data'!H123</f>
        <v>0</v>
      </c>
      <c r="E102" s="96"/>
      <c r="F102" s="125">
        <f>'1. All Data'!M123</f>
        <v>0</v>
      </c>
      <c r="G102" s="97"/>
      <c r="H102" s="126">
        <f>'1. All Data'!R123</f>
        <v>0</v>
      </c>
      <c r="I102" s="97"/>
      <c r="J102" s="126">
        <f>'1. All Data'!V123</f>
        <v>0</v>
      </c>
    </row>
    <row r="103" spans="1:10" ht="99.75" customHeight="1">
      <c r="A103" s="95">
        <f>'1. All Data'!B125</f>
        <v>0</v>
      </c>
      <c r="B103" s="127">
        <f>'1. All Data'!C125</f>
        <v>0</v>
      </c>
      <c r="C103" s="128">
        <f>'1. All Data'!D125</f>
        <v>0</v>
      </c>
      <c r="D103" s="124">
        <f>'1. All Data'!H125</f>
        <v>0</v>
      </c>
      <c r="E103" s="96"/>
      <c r="F103" s="125">
        <f>'1. All Data'!M125</f>
        <v>0</v>
      </c>
      <c r="G103" s="97"/>
      <c r="H103" s="126">
        <f>'1. All Data'!R125</f>
        <v>0</v>
      </c>
      <c r="I103" s="97"/>
      <c r="J103" s="126">
        <f>'1. All Data'!V125</f>
        <v>0</v>
      </c>
    </row>
    <row r="104" spans="1:10" ht="99.75" customHeight="1">
      <c r="A104" s="95">
        <f>'1. All Data'!B126</f>
        <v>0</v>
      </c>
      <c r="B104" s="127">
        <f>'1. All Data'!C126</f>
        <v>0</v>
      </c>
      <c r="C104" s="128">
        <f>'1. All Data'!D126</f>
        <v>0</v>
      </c>
      <c r="D104" s="124">
        <f>'1. All Data'!H126</f>
        <v>0</v>
      </c>
      <c r="E104" s="97"/>
      <c r="F104" s="125">
        <f>'1. All Data'!M126</f>
        <v>0</v>
      </c>
      <c r="G104" s="97"/>
      <c r="H104" s="126">
        <f>'1. All Data'!R126</f>
        <v>0</v>
      </c>
      <c r="I104" s="97"/>
      <c r="J104" s="126">
        <f>'1. All Data'!V126</f>
        <v>0</v>
      </c>
    </row>
    <row r="105" spans="1:10" ht="99.75" customHeight="1">
      <c r="A105" s="95" t="e">
        <f>'1. All Data'!#REF!</f>
        <v>#REF!</v>
      </c>
      <c r="B105" s="127" t="e">
        <f>'1. All Data'!#REF!</f>
        <v>#REF!</v>
      </c>
      <c r="C105" s="128" t="e">
        <f>'1. All Data'!#REF!</f>
        <v>#REF!</v>
      </c>
      <c r="D105" s="124" t="e">
        <f>'1. All Data'!#REF!</f>
        <v>#REF!</v>
      </c>
      <c r="E105" s="97"/>
      <c r="F105" s="125" t="e">
        <f>'1. All Data'!#REF!</f>
        <v>#REF!</v>
      </c>
      <c r="G105" s="97"/>
      <c r="H105" s="126" t="e">
        <f>'1. All Data'!#REF!</f>
        <v>#REF!</v>
      </c>
      <c r="I105" s="97"/>
      <c r="J105" s="126" t="e">
        <f>'1. All Data'!#REF!</f>
        <v>#REF!</v>
      </c>
    </row>
    <row r="106" spans="1:10" ht="99.75" customHeight="1">
      <c r="A106" s="95" t="e">
        <f>'1. All Data'!#REF!</f>
        <v>#REF!</v>
      </c>
      <c r="B106" s="127" t="e">
        <f>'1. All Data'!#REF!</f>
        <v>#REF!</v>
      </c>
      <c r="C106" s="128" t="e">
        <f>'1. All Data'!#REF!</f>
        <v>#REF!</v>
      </c>
      <c r="D106" s="124" t="e">
        <f>'1. All Data'!#REF!</f>
        <v>#REF!</v>
      </c>
      <c r="E106" s="97"/>
      <c r="F106" s="125" t="e">
        <f>'1. All Data'!#REF!</f>
        <v>#REF!</v>
      </c>
      <c r="G106" s="97"/>
      <c r="H106" s="126" t="e">
        <f>'1. All Data'!#REF!</f>
        <v>#REF!</v>
      </c>
      <c r="I106" s="97"/>
      <c r="J106" s="126" t="e">
        <f>'1. All Data'!#REF!</f>
        <v>#REF!</v>
      </c>
    </row>
    <row r="107" spans="1:10" ht="99.75" customHeight="1">
      <c r="A107" s="95" t="e">
        <f>'1. All Data'!#REF!</f>
        <v>#REF!</v>
      </c>
      <c r="B107" s="127" t="e">
        <f>'1. All Data'!#REF!</f>
        <v>#REF!</v>
      </c>
      <c r="C107" s="128" t="e">
        <f>'1. All Data'!#REF!</f>
        <v>#REF!</v>
      </c>
      <c r="D107" s="124" t="e">
        <f>'1. All Data'!#REF!</f>
        <v>#REF!</v>
      </c>
      <c r="E107" s="97"/>
      <c r="F107" s="125" t="e">
        <f>'1. All Data'!#REF!</f>
        <v>#REF!</v>
      </c>
      <c r="G107" s="97"/>
      <c r="H107" s="126" t="e">
        <f>'1. All Data'!#REF!</f>
        <v>#REF!</v>
      </c>
      <c r="I107" s="97"/>
      <c r="J107" s="126" t="e">
        <f>'1. All Data'!#REF!</f>
        <v>#REF!</v>
      </c>
    </row>
    <row r="108" spans="1:10" ht="99.75" customHeight="1">
      <c r="A108" s="95" t="e">
        <f>'1. All Data'!#REF!</f>
        <v>#REF!</v>
      </c>
      <c r="B108" s="127" t="e">
        <f>'1. All Data'!#REF!</f>
        <v>#REF!</v>
      </c>
      <c r="C108" s="128" t="e">
        <f>'1. All Data'!#REF!</f>
        <v>#REF!</v>
      </c>
      <c r="D108" s="124" t="e">
        <f>'1. All Data'!#REF!</f>
        <v>#REF!</v>
      </c>
      <c r="E108" s="97"/>
      <c r="F108" s="125" t="e">
        <f>'1. All Data'!#REF!</f>
        <v>#REF!</v>
      </c>
      <c r="G108" s="97"/>
      <c r="H108" s="126" t="e">
        <f>'1. All Data'!#REF!</f>
        <v>#REF!</v>
      </c>
      <c r="I108" s="97"/>
      <c r="J108" s="126" t="e">
        <f>'1. All Data'!#REF!</f>
        <v>#REF!</v>
      </c>
    </row>
    <row r="109" spans="1:10" ht="99.75" customHeight="1">
      <c r="A109" s="95" t="e">
        <f>'1. All Data'!#REF!</f>
        <v>#REF!</v>
      </c>
      <c r="B109" s="127" t="e">
        <f>'1. All Data'!#REF!</f>
        <v>#REF!</v>
      </c>
      <c r="C109" s="128" t="e">
        <f>'1. All Data'!#REF!</f>
        <v>#REF!</v>
      </c>
      <c r="D109" s="124" t="e">
        <f>'1. All Data'!#REF!</f>
        <v>#REF!</v>
      </c>
      <c r="E109" s="97"/>
      <c r="F109" s="125" t="e">
        <f>'1. All Data'!#REF!</f>
        <v>#REF!</v>
      </c>
      <c r="G109" s="97"/>
      <c r="H109" s="126" t="e">
        <f>'1. All Data'!#REF!</f>
        <v>#REF!</v>
      </c>
      <c r="I109" s="97"/>
      <c r="J109" s="126" t="e">
        <f>'1. All Data'!#REF!</f>
        <v>#REF!</v>
      </c>
    </row>
    <row r="110" spans="1:10" ht="99.75" customHeight="1">
      <c r="A110" s="95" t="e">
        <f>'1. All Data'!#REF!</f>
        <v>#REF!</v>
      </c>
      <c r="B110" s="127" t="e">
        <f>'1. All Data'!#REF!</f>
        <v>#REF!</v>
      </c>
      <c r="C110" s="128" t="e">
        <f>'1. All Data'!#REF!</f>
        <v>#REF!</v>
      </c>
      <c r="D110" s="124" t="e">
        <f>'1. All Data'!#REF!</f>
        <v>#REF!</v>
      </c>
      <c r="E110" s="96"/>
      <c r="F110" s="125" t="e">
        <f>'1. All Data'!#REF!</f>
        <v>#REF!</v>
      </c>
      <c r="G110" s="97"/>
      <c r="H110" s="126" t="e">
        <f>'1. All Data'!#REF!</f>
        <v>#REF!</v>
      </c>
      <c r="I110" s="104"/>
      <c r="J110" s="126" t="e">
        <f>'1. All Data'!#REF!</f>
        <v>#REF!</v>
      </c>
    </row>
    <row r="111" spans="1:10" s="98" customFormat="1">
      <c r="C111" s="122"/>
    </row>
    <row r="112" spans="1:10" s="98" customFormat="1">
      <c r="C112" s="122"/>
    </row>
    <row r="113" spans="3:3" s="98" customFormat="1">
      <c r="C113" s="122"/>
    </row>
    <row r="114" spans="3:3" s="98" customFormat="1">
      <c r="C114" s="122"/>
    </row>
    <row r="115" spans="3:3" s="98" customFormat="1">
      <c r="C115" s="122"/>
    </row>
    <row r="116" spans="3:3" s="98" customFormat="1">
      <c r="C116" s="122"/>
    </row>
    <row r="117" spans="3:3" s="98" customFormat="1">
      <c r="C117" s="122"/>
    </row>
    <row r="118" spans="3:3" s="98" customFormat="1">
      <c r="C118" s="122"/>
    </row>
    <row r="119" spans="3:3" s="98" customFormat="1">
      <c r="C119" s="122"/>
    </row>
    <row r="120" spans="3:3" s="98" customFormat="1">
      <c r="C120" s="122"/>
    </row>
    <row r="121" spans="3:3" s="98" customFormat="1">
      <c r="C121" s="122"/>
    </row>
    <row r="122" spans="3:3" s="98" customFormat="1">
      <c r="C122" s="122"/>
    </row>
    <row r="123" spans="3:3" s="98" customFormat="1">
      <c r="C123" s="122"/>
    </row>
    <row r="124" spans="3:3" s="98" customFormat="1">
      <c r="C124" s="122"/>
    </row>
    <row r="125" spans="3:3" s="98" customFormat="1">
      <c r="C125" s="122"/>
    </row>
    <row r="126" spans="3:3" s="98" customFormat="1">
      <c r="C126" s="122"/>
    </row>
    <row r="127" spans="3:3" s="98" customFormat="1">
      <c r="C127" s="122"/>
    </row>
    <row r="128" spans="3:3" s="98" customFormat="1">
      <c r="C128" s="122"/>
    </row>
    <row r="129" spans="3:3">
      <c r="C129" s="122"/>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4"/>
      <c r="B1" s="135"/>
      <c r="C1" s="136"/>
    </row>
    <row r="2" spans="1:3">
      <c r="A2" s="137"/>
      <c r="B2" s="138"/>
      <c r="C2" s="139"/>
    </row>
    <row r="3" spans="1:3">
      <c r="A3" s="137"/>
      <c r="B3" s="138"/>
      <c r="C3" s="139"/>
    </row>
    <row r="4" spans="1:3">
      <c r="A4" s="137"/>
      <c r="B4" s="138"/>
      <c r="C4" s="139"/>
    </row>
    <row r="5" spans="1:3">
      <c r="A5" s="137"/>
      <c r="B5" s="138"/>
      <c r="C5" s="139"/>
    </row>
    <row r="6" spans="1:3">
      <c r="A6" s="137"/>
      <c r="B6" s="138"/>
      <c r="C6" s="139"/>
    </row>
    <row r="7" spans="1:3">
      <c r="A7" s="137"/>
      <c r="B7" s="138"/>
      <c r="C7" s="139"/>
    </row>
    <row r="8" spans="1:3">
      <c r="A8" s="137"/>
      <c r="B8" s="138"/>
      <c r="C8" s="139"/>
    </row>
    <row r="9" spans="1:3">
      <c r="A9" s="137"/>
      <c r="B9" s="138"/>
      <c r="C9" s="139"/>
    </row>
    <row r="10" spans="1:3">
      <c r="A10" s="137"/>
      <c r="B10" s="138"/>
      <c r="C10" s="139"/>
    </row>
    <row r="11" spans="1:3">
      <c r="A11" s="137"/>
      <c r="B11" s="138"/>
      <c r="C11" s="139"/>
    </row>
    <row r="12" spans="1:3">
      <c r="A12" s="137"/>
      <c r="B12" s="138"/>
      <c r="C12" s="139"/>
    </row>
    <row r="13" spans="1:3">
      <c r="A13" s="137"/>
      <c r="B13" s="138"/>
      <c r="C13" s="139"/>
    </row>
    <row r="14" spans="1:3">
      <c r="A14" s="137"/>
      <c r="B14" s="138"/>
      <c r="C14" s="139"/>
    </row>
    <row r="15" spans="1:3">
      <c r="A15" s="137"/>
      <c r="B15" s="138"/>
      <c r="C15" s="139"/>
    </row>
    <row r="16" spans="1:3">
      <c r="A16" s="137"/>
      <c r="B16" s="138"/>
      <c r="C16" s="139"/>
    </row>
    <row r="17" spans="1:3">
      <c r="A17" s="137"/>
      <c r="B17" s="138"/>
      <c r="C17" s="139"/>
    </row>
    <row r="18" spans="1:3">
      <c r="A18" s="140"/>
      <c r="B18" s="141"/>
      <c r="C18"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'2a. % By Priority'!Print_Area</vt:lpstr>
      <vt:lpstr>'2b. Charts by Priority'!Print_Area</vt:lpstr>
      <vt:lpstr>'3a. % by Portfolio'!Print_Area</vt:lpstr>
      <vt:lpstr>'3b. Charts by Portfolio'!Print_Area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James Abbott</cp:lastModifiedBy>
  <cp:lastPrinted>2023-07-05T18:47:41Z</cp:lastPrinted>
  <dcterms:created xsi:type="dcterms:W3CDTF">2019-02-13T13:28:16Z</dcterms:created>
  <dcterms:modified xsi:type="dcterms:W3CDTF">2024-08-19T11:09:13Z</dcterms:modified>
</cp:coreProperties>
</file>