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mocratic Services\PRE CABINET MEETING\Agenda\2024\8 August\240822\"/>
    </mc:Choice>
  </mc:AlternateContent>
  <bookViews>
    <workbookView xWindow="0" yWindow="0" windowWidth="2172" windowHeight="0" tabRatio="750"/>
  </bookViews>
  <sheets>
    <sheet name="1. All Data" sheetId="1" r:id="rId1"/>
    <sheet name="Q1 Summary" sheetId="9" r:id="rId2"/>
    <sheet name="Q2 Summary" sheetId="20" r:id="rId3"/>
    <sheet name="Q3 Summary" sheetId="21" r:id="rId4"/>
    <sheet name="Q4 Summary" sheetId="22" state="hidden" r:id="rId5"/>
    <sheet name="2a. % By Priority" sheetId="5" r:id="rId6"/>
    <sheet name="2b. Charts by Priority" sheetId="6" state="hidden" r:id="rId7"/>
    <sheet name="3a. % by Portfolio" sheetId="7" r:id="rId8"/>
    <sheet name="3b. Charts by Portfolio" sheetId="8" state="hidden" r:id="rId9"/>
    <sheet name="4. Status Tracking" sheetId="10" state="hidden" r:id="rId10"/>
    <sheet name="Custom Pivot" sheetId="17" state="hidden" r:id="rId11"/>
  </sheets>
  <definedNames>
    <definedName name="_xlnm._FilterDatabase" localSheetId="0" hidden="1">'1. All Data'!$A$2:$AK$135</definedName>
    <definedName name="_Toc382250483" localSheetId="0">'1. All Data'!$B$77</definedName>
    <definedName name="OLE_LINK3" localSheetId="0">'1. All Data'!$D$40</definedName>
    <definedName name="_xlnm.Print_Area" localSheetId="0">'1. All Data'!$A$1:$AB$134</definedName>
    <definedName name="_xlnm.Print_Area" localSheetId="5">'2a. % By Priority'!$A$1:$G$125</definedName>
    <definedName name="_xlnm.Print_Area" localSheetId="6">'2b. Charts by Priority'!$A$1:$AS$99</definedName>
    <definedName name="_xlnm.Print_Area" localSheetId="7">'3a. % by Portfolio'!$A$1:$G$108</definedName>
    <definedName name="_xlnm.Print_Area" localSheetId="8">'3b. Charts by Portfolio'!$A$1:$AT$99</definedName>
    <definedName name="_xlnm.Print_Area" localSheetId="1">'Q1 Summary'!$A$1:$H$17</definedName>
    <definedName name="_xlnm.Print_Area" localSheetId="2">'Q2 Summary'!$A$1:$H$17</definedName>
    <definedName name="_xlnm.Print_Area" localSheetId="3">'Q3 Summary'!$A$1:$H$17</definedName>
    <definedName name="_xlnm.Print_Area" localSheetId="4">'Q4 Summary'!$A$1:$H$17</definedName>
    <definedName name="_xlnm.Print_Titles" localSheetId="0">'1. All Data'!$2:$2</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5" i="5" l="1"/>
  <c r="C60" i="7" l="1"/>
  <c r="X106" i="7" l="1"/>
  <c r="X105" i="7"/>
  <c r="X104" i="7"/>
  <c r="X103" i="7"/>
  <c r="X102" i="7"/>
  <c r="X101" i="7"/>
  <c r="X100" i="7"/>
  <c r="X99" i="7"/>
  <c r="X98" i="7"/>
  <c r="X97" i="7"/>
  <c r="X96" i="7"/>
  <c r="Q106" i="7"/>
  <c r="Q105" i="7"/>
  <c r="Q104" i="7"/>
  <c r="Q103" i="7"/>
  <c r="Q102" i="7"/>
  <c r="Q101" i="7"/>
  <c r="Q98" i="7"/>
  <c r="E18" i="21" s="1"/>
  <c r="Q97" i="7"/>
  <c r="Q96" i="7"/>
  <c r="J106" i="7"/>
  <c r="J105" i="7"/>
  <c r="J104" i="7"/>
  <c r="J103" i="7"/>
  <c r="J102" i="7"/>
  <c r="J101" i="7"/>
  <c r="J98" i="7"/>
  <c r="E18" i="20" s="1"/>
  <c r="J97" i="7"/>
  <c r="J96" i="7"/>
  <c r="X88" i="7"/>
  <c r="X87" i="7"/>
  <c r="X86" i="7"/>
  <c r="X85" i="7"/>
  <c r="X84" i="7"/>
  <c r="X83" i="7"/>
  <c r="X82" i="7"/>
  <c r="X81" i="7"/>
  <c r="X80" i="7"/>
  <c r="X79" i="7"/>
  <c r="X78" i="7"/>
  <c r="Q88" i="7"/>
  <c r="Q87" i="7"/>
  <c r="Q86" i="7"/>
  <c r="Q85" i="7"/>
  <c r="Q84" i="7"/>
  <c r="Q83" i="7"/>
  <c r="Q80" i="7"/>
  <c r="E17" i="21" s="1"/>
  <c r="Q79" i="7"/>
  <c r="Q78" i="7"/>
  <c r="J88" i="7"/>
  <c r="J87" i="7"/>
  <c r="J86" i="7"/>
  <c r="J85" i="7"/>
  <c r="J84" i="7"/>
  <c r="J83" i="7"/>
  <c r="J80" i="7"/>
  <c r="E17" i="20" s="1"/>
  <c r="J79" i="7"/>
  <c r="J78" i="7"/>
  <c r="X70" i="7"/>
  <c r="X69" i="7"/>
  <c r="X68" i="7"/>
  <c r="X67" i="7"/>
  <c r="X66" i="7"/>
  <c r="X65" i="7"/>
  <c r="X64" i="7"/>
  <c r="X63" i="7"/>
  <c r="X62" i="7"/>
  <c r="X61" i="7"/>
  <c r="X60" i="7"/>
  <c r="Q70" i="7"/>
  <c r="Q69" i="7"/>
  <c r="Q68" i="7"/>
  <c r="Q67" i="7"/>
  <c r="Q66" i="7"/>
  <c r="Q65" i="7"/>
  <c r="Q62" i="7"/>
  <c r="E16" i="21" s="1"/>
  <c r="Q61" i="7"/>
  <c r="Q60" i="7"/>
  <c r="J70" i="7"/>
  <c r="J69" i="7"/>
  <c r="J68" i="7"/>
  <c r="J67" i="7"/>
  <c r="J66" i="7"/>
  <c r="J65" i="7"/>
  <c r="J62" i="7"/>
  <c r="E16" i="20" s="1"/>
  <c r="J61" i="7"/>
  <c r="J60" i="7"/>
  <c r="X52" i="7"/>
  <c r="X51" i="7"/>
  <c r="X50" i="7"/>
  <c r="X49" i="7"/>
  <c r="X48" i="7"/>
  <c r="X47" i="7"/>
  <c r="X46" i="7"/>
  <c r="X45" i="7"/>
  <c r="X44" i="7"/>
  <c r="X43" i="7"/>
  <c r="X42" i="7"/>
  <c r="Q52" i="7"/>
  <c r="Q51" i="7"/>
  <c r="Q50" i="7"/>
  <c r="Q49" i="7"/>
  <c r="Q48" i="7"/>
  <c r="Q47" i="7"/>
  <c r="Q44" i="7"/>
  <c r="E15" i="21" s="1"/>
  <c r="Q43" i="7"/>
  <c r="Q42" i="7"/>
  <c r="J52" i="7"/>
  <c r="J51" i="7"/>
  <c r="J50" i="7"/>
  <c r="J49" i="7"/>
  <c r="J48" i="7"/>
  <c r="J47" i="7"/>
  <c r="J44" i="7"/>
  <c r="E15" i="20" s="1"/>
  <c r="J43" i="7"/>
  <c r="J42" i="7"/>
  <c r="X34" i="7"/>
  <c r="X33" i="7"/>
  <c r="X32" i="7"/>
  <c r="X31" i="7"/>
  <c r="X30" i="7"/>
  <c r="X29" i="7"/>
  <c r="X28" i="7"/>
  <c r="X27" i="7"/>
  <c r="X26" i="7"/>
  <c r="X25" i="7"/>
  <c r="X24" i="7"/>
  <c r="Q34" i="7"/>
  <c r="Q33" i="7"/>
  <c r="Q32" i="7"/>
  <c r="Q31" i="7"/>
  <c r="Q30" i="7"/>
  <c r="Q29" i="7"/>
  <c r="Q26" i="7"/>
  <c r="E14" i="21" s="1"/>
  <c r="Q25" i="7"/>
  <c r="Q24" i="7"/>
  <c r="J34" i="7"/>
  <c r="J33" i="7"/>
  <c r="J32" i="7"/>
  <c r="J31" i="7"/>
  <c r="J30" i="7"/>
  <c r="J29" i="7"/>
  <c r="J26" i="7"/>
  <c r="E14" i="20" s="1"/>
  <c r="J25" i="7"/>
  <c r="J24" i="7"/>
  <c r="X15" i="7"/>
  <c r="X14" i="7"/>
  <c r="X13" i="7"/>
  <c r="X12" i="7"/>
  <c r="X11" i="7"/>
  <c r="X10" i="7"/>
  <c r="X9" i="7"/>
  <c r="X8" i="7"/>
  <c r="X7" i="7"/>
  <c r="X6" i="7"/>
  <c r="X5" i="7"/>
  <c r="Q15" i="7"/>
  <c r="Q14" i="7"/>
  <c r="Q13" i="7"/>
  <c r="Q12" i="7"/>
  <c r="Q11" i="7"/>
  <c r="Q10" i="7"/>
  <c r="Q7" i="7"/>
  <c r="E13" i="21" s="1"/>
  <c r="Q6" i="7"/>
  <c r="Q5" i="7"/>
  <c r="J15" i="7"/>
  <c r="J14" i="7"/>
  <c r="J13" i="7"/>
  <c r="J12" i="7"/>
  <c r="J11" i="7"/>
  <c r="J10" i="7"/>
  <c r="J7" i="7"/>
  <c r="E13" i="20" s="1"/>
  <c r="J6" i="7"/>
  <c r="J5" i="7"/>
  <c r="X123" i="5"/>
  <c r="X122" i="5"/>
  <c r="X121" i="5"/>
  <c r="X120" i="5"/>
  <c r="X119" i="5"/>
  <c r="X118" i="5"/>
  <c r="X117" i="5"/>
  <c r="X116" i="5"/>
  <c r="X115" i="5"/>
  <c r="X114" i="5"/>
  <c r="X113" i="5"/>
  <c r="Q123" i="5"/>
  <c r="Q122" i="5"/>
  <c r="Q121" i="5"/>
  <c r="Q120" i="5"/>
  <c r="Q119" i="5"/>
  <c r="Q118" i="5"/>
  <c r="Q115" i="5"/>
  <c r="Q114" i="5"/>
  <c r="Q113" i="5"/>
  <c r="J123" i="5"/>
  <c r="J122" i="5"/>
  <c r="J121" i="5"/>
  <c r="J120" i="5"/>
  <c r="J119" i="5"/>
  <c r="J118" i="5"/>
  <c r="J115" i="5"/>
  <c r="J114" i="5"/>
  <c r="J113" i="5"/>
  <c r="X105" i="5"/>
  <c r="X104" i="5"/>
  <c r="X103" i="5"/>
  <c r="X102" i="5"/>
  <c r="X101" i="5"/>
  <c r="X100" i="5"/>
  <c r="X99" i="5"/>
  <c r="X98" i="5"/>
  <c r="X97" i="5"/>
  <c r="X96" i="5"/>
  <c r="X95" i="5"/>
  <c r="Q105" i="5"/>
  <c r="Q104" i="5"/>
  <c r="Q103" i="5"/>
  <c r="Q102" i="5"/>
  <c r="Q101" i="5"/>
  <c r="Q100" i="5"/>
  <c r="Q97" i="5"/>
  <c r="E11" i="21" s="1"/>
  <c r="Q96" i="5"/>
  <c r="Q95" i="5"/>
  <c r="J105" i="5"/>
  <c r="J104" i="5"/>
  <c r="J103" i="5"/>
  <c r="J102" i="5"/>
  <c r="J101" i="5"/>
  <c r="J100" i="5"/>
  <c r="J97" i="5"/>
  <c r="E11" i="20" s="1"/>
  <c r="J96" i="5"/>
  <c r="J95" i="5"/>
  <c r="X87" i="5"/>
  <c r="X86" i="5"/>
  <c r="X85" i="5"/>
  <c r="X84" i="5"/>
  <c r="X83" i="5"/>
  <c r="X82" i="5"/>
  <c r="X81" i="5"/>
  <c r="X80" i="5"/>
  <c r="X79" i="5"/>
  <c r="X78" i="5"/>
  <c r="X77" i="5"/>
  <c r="Q87" i="5"/>
  <c r="Q86" i="5"/>
  <c r="Q85" i="5"/>
  <c r="Q84" i="5"/>
  <c r="Q83" i="5"/>
  <c r="Q82" i="5"/>
  <c r="Q79" i="5"/>
  <c r="E10" i="21" s="1"/>
  <c r="Q78" i="5"/>
  <c r="Q77" i="5"/>
  <c r="J87" i="5"/>
  <c r="J86" i="5"/>
  <c r="J85" i="5"/>
  <c r="J84" i="5"/>
  <c r="J83" i="5"/>
  <c r="J82" i="5"/>
  <c r="J79" i="5"/>
  <c r="E10" i="20" s="1"/>
  <c r="J78" i="5"/>
  <c r="J77" i="5"/>
  <c r="G13" i="22" l="1"/>
  <c r="C14" i="22"/>
  <c r="C16" i="20"/>
  <c r="G17" i="20"/>
  <c r="C13" i="20"/>
  <c r="G13" i="20"/>
  <c r="C15" i="21"/>
  <c r="G16" i="21"/>
  <c r="C18" i="21"/>
  <c r="C11" i="21"/>
  <c r="G10" i="20"/>
  <c r="G18" i="21"/>
  <c r="C11" i="22"/>
  <c r="C10" i="21"/>
  <c r="G11" i="21"/>
  <c r="E16" i="22"/>
  <c r="G13" i="21"/>
  <c r="E13" i="22"/>
  <c r="G17" i="21"/>
  <c r="E17" i="22"/>
  <c r="G18" i="22"/>
  <c r="C13" i="21"/>
  <c r="E11" i="22"/>
  <c r="C15" i="20"/>
  <c r="G17" i="22"/>
  <c r="G10" i="21"/>
  <c r="E10" i="22"/>
  <c r="G11" i="22"/>
  <c r="C14" i="20"/>
  <c r="G15" i="20"/>
  <c r="C17" i="21"/>
  <c r="E18" i="22"/>
  <c r="C11" i="20"/>
  <c r="C14" i="21"/>
  <c r="G15" i="21"/>
  <c r="E15" i="22"/>
  <c r="G16" i="22"/>
  <c r="C17" i="22"/>
  <c r="C10" i="20"/>
  <c r="G11" i="20"/>
  <c r="G14" i="21"/>
  <c r="E14" i="22"/>
  <c r="G15" i="22"/>
  <c r="C16" i="22"/>
  <c r="C18" i="20"/>
  <c r="C10" i="22"/>
  <c r="C13" i="22"/>
  <c r="G16" i="20"/>
  <c r="X107" i="7"/>
  <c r="Y105" i="7" s="1"/>
  <c r="Z105" i="7" s="1"/>
  <c r="G14" i="22"/>
  <c r="C15" i="22"/>
  <c r="C17" i="20"/>
  <c r="G18" i="20"/>
  <c r="G10" i="22"/>
  <c r="G14" i="20"/>
  <c r="C16" i="21"/>
  <c r="C18" i="22"/>
  <c r="J107" i="7"/>
  <c r="K101" i="7" s="1"/>
  <c r="Q107" i="7"/>
  <c r="R98" i="7" s="1"/>
  <c r="S98" i="7" s="1"/>
  <c r="X124" i="5"/>
  <c r="X125" i="5" s="1"/>
  <c r="AA113" i="5" s="1"/>
  <c r="J124" i="5"/>
  <c r="K115" i="5" s="1"/>
  <c r="L115" i="5" s="1"/>
  <c r="Q124" i="5"/>
  <c r="J106" i="5"/>
  <c r="K102" i="5" s="1"/>
  <c r="L102" i="5" s="1"/>
  <c r="Q106" i="5"/>
  <c r="R102" i="5" s="1"/>
  <c r="S102" i="5" s="1"/>
  <c r="X106" i="5"/>
  <c r="X107" i="5" s="1"/>
  <c r="AA100" i="5" s="1"/>
  <c r="J88" i="5"/>
  <c r="K85" i="5" s="1"/>
  <c r="L85" i="5" s="1"/>
  <c r="Q88" i="5"/>
  <c r="R84" i="5" s="1"/>
  <c r="S84" i="5" s="1"/>
  <c r="X88" i="5"/>
  <c r="X89" i="5" s="1"/>
  <c r="AA79" i="5" s="1"/>
  <c r="AB79" i="5" s="1"/>
  <c r="X69" i="5"/>
  <c r="X68" i="5"/>
  <c r="X67" i="5"/>
  <c r="X66" i="5"/>
  <c r="X65" i="5"/>
  <c r="X64" i="5"/>
  <c r="X63" i="5"/>
  <c r="X62" i="5"/>
  <c r="X61" i="5"/>
  <c r="X60" i="5"/>
  <c r="X59" i="5"/>
  <c r="Q69" i="5"/>
  <c r="Q68" i="5"/>
  <c r="Q67" i="5"/>
  <c r="Q66" i="5"/>
  <c r="Q65" i="5"/>
  <c r="Q64" i="5"/>
  <c r="Q61" i="5"/>
  <c r="E9" i="21" s="1"/>
  <c r="Q60" i="5"/>
  <c r="Q59" i="5"/>
  <c r="J69" i="5"/>
  <c r="J68" i="5"/>
  <c r="J67" i="5"/>
  <c r="J66" i="5"/>
  <c r="J65" i="5"/>
  <c r="J64" i="5"/>
  <c r="J61" i="5"/>
  <c r="E9" i="20" s="1"/>
  <c r="J60" i="5"/>
  <c r="J59" i="5"/>
  <c r="X51" i="5"/>
  <c r="X50" i="5"/>
  <c r="X49" i="5"/>
  <c r="X48" i="5"/>
  <c r="X47" i="5"/>
  <c r="X46" i="5"/>
  <c r="X45" i="5"/>
  <c r="X44" i="5"/>
  <c r="X43" i="5"/>
  <c r="X42" i="5"/>
  <c r="X41" i="5"/>
  <c r="Q51" i="5"/>
  <c r="Q50" i="5"/>
  <c r="Q49" i="5"/>
  <c r="Q48" i="5"/>
  <c r="Q47" i="5"/>
  <c r="Q46" i="5"/>
  <c r="Q43" i="5"/>
  <c r="E8" i="21" s="1"/>
  <c r="Q42" i="5"/>
  <c r="Q41" i="5"/>
  <c r="J51" i="5"/>
  <c r="J50" i="5"/>
  <c r="J49" i="5"/>
  <c r="J48" i="5"/>
  <c r="J47" i="5"/>
  <c r="J46" i="5"/>
  <c r="J43" i="5"/>
  <c r="E8" i="20" s="1"/>
  <c r="J42" i="5"/>
  <c r="J41" i="5"/>
  <c r="X33" i="5"/>
  <c r="X32" i="5"/>
  <c r="X31" i="5"/>
  <c r="X30" i="5"/>
  <c r="X29" i="5"/>
  <c r="X28" i="5"/>
  <c r="X27" i="5"/>
  <c r="X26" i="5"/>
  <c r="X25" i="5"/>
  <c r="X24" i="5"/>
  <c r="X23" i="5"/>
  <c r="Q33" i="5"/>
  <c r="Q32" i="5"/>
  <c r="Q31" i="5"/>
  <c r="Q30" i="5"/>
  <c r="Q29" i="5"/>
  <c r="Q28" i="5"/>
  <c r="Q25" i="5"/>
  <c r="E7" i="21" s="1"/>
  <c r="Q24" i="5"/>
  <c r="Q23" i="5"/>
  <c r="J33" i="5"/>
  <c r="J32" i="5"/>
  <c r="J31" i="5"/>
  <c r="J30" i="5"/>
  <c r="J29" i="5"/>
  <c r="J28" i="5"/>
  <c r="J25" i="5"/>
  <c r="E7" i="20" s="1"/>
  <c r="J24" i="5"/>
  <c r="J23" i="5"/>
  <c r="C106" i="7"/>
  <c r="C105" i="7"/>
  <c r="C104" i="7"/>
  <c r="C103" i="7"/>
  <c r="C102" i="7"/>
  <c r="C101" i="7"/>
  <c r="C98" i="7"/>
  <c r="E18" i="9" s="1"/>
  <c r="C97" i="7"/>
  <c r="C96" i="7"/>
  <c r="C88" i="7"/>
  <c r="C87" i="7"/>
  <c r="C86" i="7"/>
  <c r="C85" i="7"/>
  <c r="C84" i="7"/>
  <c r="C83" i="7"/>
  <c r="C80" i="7"/>
  <c r="C79" i="7"/>
  <c r="C78" i="7"/>
  <c r="C70" i="7"/>
  <c r="C69" i="7"/>
  <c r="C68" i="7"/>
  <c r="C67" i="7"/>
  <c r="C66" i="7"/>
  <c r="C65" i="7"/>
  <c r="C62" i="7"/>
  <c r="C61" i="7"/>
  <c r="C52" i="7"/>
  <c r="C51" i="7"/>
  <c r="C50" i="7"/>
  <c r="C49" i="7"/>
  <c r="C48" i="7"/>
  <c r="C47" i="7"/>
  <c r="C44" i="7"/>
  <c r="C43" i="7"/>
  <c r="C42" i="7"/>
  <c r="C34" i="7"/>
  <c r="C33" i="7"/>
  <c r="C32" i="7"/>
  <c r="C31" i="7"/>
  <c r="C30" i="7"/>
  <c r="C29" i="7"/>
  <c r="C26" i="7"/>
  <c r="C25" i="7"/>
  <c r="C24" i="7"/>
  <c r="C15" i="7"/>
  <c r="C14" i="7"/>
  <c r="C13" i="7"/>
  <c r="C12" i="7"/>
  <c r="C11" i="7"/>
  <c r="C10" i="7"/>
  <c r="C7" i="7"/>
  <c r="C6" i="7"/>
  <c r="C5" i="7"/>
  <c r="C123" i="5"/>
  <c r="C122" i="5"/>
  <c r="C121" i="5"/>
  <c r="C120" i="5"/>
  <c r="C119" i="5"/>
  <c r="C118" i="5"/>
  <c r="C115" i="5"/>
  <c r="C114" i="5"/>
  <c r="C113" i="5"/>
  <c r="C105" i="5"/>
  <c r="C104" i="5"/>
  <c r="C103" i="5"/>
  <c r="C102" i="5"/>
  <c r="C101" i="5"/>
  <c r="C100" i="5"/>
  <c r="C97" i="5"/>
  <c r="E11" i="9" s="1"/>
  <c r="C96" i="5"/>
  <c r="C69" i="5"/>
  <c r="C68" i="5"/>
  <c r="C67" i="5"/>
  <c r="C66" i="5"/>
  <c r="C65" i="5"/>
  <c r="C64" i="5"/>
  <c r="C61" i="5"/>
  <c r="E9" i="9" s="1"/>
  <c r="C60" i="5"/>
  <c r="C59" i="5"/>
  <c r="C87" i="5"/>
  <c r="C86" i="5"/>
  <c r="C85" i="5"/>
  <c r="C84" i="5"/>
  <c r="C83" i="5"/>
  <c r="C82" i="5"/>
  <c r="C79" i="5"/>
  <c r="E10" i="9" s="1"/>
  <c r="C78" i="5"/>
  <c r="C77" i="5"/>
  <c r="C51" i="5"/>
  <c r="C50" i="5"/>
  <c r="C49" i="5"/>
  <c r="C48" i="5"/>
  <c r="C47" i="5"/>
  <c r="C46" i="5"/>
  <c r="C43" i="5"/>
  <c r="C42" i="5"/>
  <c r="C41" i="5"/>
  <c r="C33" i="5"/>
  <c r="C32" i="5"/>
  <c r="C31" i="5"/>
  <c r="C30" i="5"/>
  <c r="C29" i="5"/>
  <c r="C28" i="5"/>
  <c r="C25" i="5"/>
  <c r="E7" i="9" s="1"/>
  <c r="C24" i="5"/>
  <c r="C23" i="5"/>
  <c r="Y113" i="5" l="1"/>
  <c r="G9" i="9"/>
  <c r="G18" i="9"/>
  <c r="C7" i="9"/>
  <c r="G8" i="21"/>
  <c r="E8" i="22"/>
  <c r="G9" i="21"/>
  <c r="G9" i="22"/>
  <c r="AA77" i="5"/>
  <c r="AA114" i="5"/>
  <c r="AB113" i="5" s="1"/>
  <c r="AA80" i="5"/>
  <c r="K120" i="5"/>
  <c r="L120" i="5" s="1"/>
  <c r="AA117" i="5"/>
  <c r="C8" i="20"/>
  <c r="G9" i="20"/>
  <c r="K114" i="5"/>
  <c r="G7" i="20"/>
  <c r="C9" i="21"/>
  <c r="Y97" i="7"/>
  <c r="Y98" i="7"/>
  <c r="Z98" i="7" s="1"/>
  <c r="Y99" i="7"/>
  <c r="AA116" i="5"/>
  <c r="Y104" i="7"/>
  <c r="Z104" i="7" s="1"/>
  <c r="C11" i="9"/>
  <c r="Y77" i="5"/>
  <c r="X108" i="7"/>
  <c r="AA102" i="7" s="1"/>
  <c r="Y100" i="7"/>
  <c r="Y106" i="7"/>
  <c r="Z106" i="7" s="1"/>
  <c r="C9" i="20"/>
  <c r="Y96" i="7"/>
  <c r="Y103" i="7"/>
  <c r="Z103" i="7" s="1"/>
  <c r="G10" i="9"/>
  <c r="C7" i="21"/>
  <c r="C7" i="22"/>
  <c r="AA97" i="5"/>
  <c r="AB97" i="5" s="1"/>
  <c r="BC87" i="6" s="1"/>
  <c r="Y96" i="5"/>
  <c r="AA82" i="5"/>
  <c r="C8" i="21"/>
  <c r="E9" i="22"/>
  <c r="K87" i="5"/>
  <c r="L87" i="5" s="1"/>
  <c r="AA115" i="5"/>
  <c r="AB115" i="5" s="1"/>
  <c r="Y101" i="7"/>
  <c r="G7" i="9"/>
  <c r="C9" i="9"/>
  <c r="Y78" i="5"/>
  <c r="Y102" i="7"/>
  <c r="K97" i="5"/>
  <c r="L97" i="5" s="1"/>
  <c r="K95" i="5"/>
  <c r="C10" i="9"/>
  <c r="G7" i="21"/>
  <c r="E7" i="22"/>
  <c r="G8" i="22"/>
  <c r="C9" i="22"/>
  <c r="R86" i="5"/>
  <c r="S86" i="5" s="1"/>
  <c r="K101" i="5"/>
  <c r="K84" i="5"/>
  <c r="L84" i="5" s="1"/>
  <c r="AA96" i="5"/>
  <c r="C107" i="7"/>
  <c r="D106" i="7" s="1"/>
  <c r="E106" i="7" s="1"/>
  <c r="K105" i="5"/>
  <c r="L105" i="5" s="1"/>
  <c r="G7" i="22"/>
  <c r="C8" i="22"/>
  <c r="BC72" i="6"/>
  <c r="F10" i="22"/>
  <c r="R96" i="5"/>
  <c r="K100" i="5"/>
  <c r="AA118" i="5"/>
  <c r="G11" i="9"/>
  <c r="C7" i="20"/>
  <c r="G8" i="20"/>
  <c r="AA98" i="5"/>
  <c r="R104" i="7"/>
  <c r="S104" i="7" s="1"/>
  <c r="R101" i="7"/>
  <c r="K96" i="7"/>
  <c r="R97" i="7"/>
  <c r="K97" i="7"/>
  <c r="R96" i="7"/>
  <c r="R103" i="7"/>
  <c r="S103" i="7" s="1"/>
  <c r="K102" i="7"/>
  <c r="L101" i="7" s="1"/>
  <c r="J108" i="7"/>
  <c r="K105" i="7"/>
  <c r="L105" i="7" s="1"/>
  <c r="Q108" i="7"/>
  <c r="R105" i="7"/>
  <c r="S105" i="7" s="1"/>
  <c r="R102" i="7"/>
  <c r="R106" i="7"/>
  <c r="S106" i="7" s="1"/>
  <c r="K98" i="7"/>
  <c r="L98" i="7" s="1"/>
  <c r="K106" i="7"/>
  <c r="L106" i="7" s="1"/>
  <c r="K104" i="7"/>
  <c r="L104" i="7" s="1"/>
  <c r="K103" i="7"/>
  <c r="L103" i="7" s="1"/>
  <c r="AA119" i="5"/>
  <c r="Y114" i="5"/>
  <c r="Q125" i="5"/>
  <c r="R122" i="5"/>
  <c r="S122" i="5" s="1"/>
  <c r="R119" i="5"/>
  <c r="R123" i="5"/>
  <c r="S123" i="5" s="1"/>
  <c r="K118" i="5"/>
  <c r="K123" i="5"/>
  <c r="L123" i="5" s="1"/>
  <c r="K113" i="5"/>
  <c r="R113" i="5"/>
  <c r="K121" i="5"/>
  <c r="L121" i="5" s="1"/>
  <c r="R121" i="5"/>
  <c r="S121" i="5" s="1"/>
  <c r="R114" i="5"/>
  <c r="R120" i="5"/>
  <c r="S120" i="5" s="1"/>
  <c r="K119" i="5"/>
  <c r="J125" i="5"/>
  <c r="K122" i="5"/>
  <c r="L122" i="5" s="1"/>
  <c r="R115" i="5"/>
  <c r="S115" i="5" s="1"/>
  <c r="R118" i="5"/>
  <c r="Y95" i="5"/>
  <c r="Z95" i="5" s="1"/>
  <c r="R95" i="5"/>
  <c r="K78" i="5"/>
  <c r="R100" i="5"/>
  <c r="Q107" i="5"/>
  <c r="R105" i="5"/>
  <c r="S105" i="5" s="1"/>
  <c r="R104" i="5"/>
  <c r="S104" i="5" s="1"/>
  <c r="R103" i="5"/>
  <c r="S103" i="5" s="1"/>
  <c r="R101" i="5"/>
  <c r="J107" i="5"/>
  <c r="K104" i="5"/>
  <c r="L104" i="5" s="1"/>
  <c r="K103" i="5"/>
  <c r="L103" i="5" s="1"/>
  <c r="AA101" i="5"/>
  <c r="AB100" i="5" s="1"/>
  <c r="AA99" i="5"/>
  <c r="R97" i="5"/>
  <c r="S97" i="5" s="1"/>
  <c r="K96" i="5"/>
  <c r="AA95" i="5"/>
  <c r="Q89" i="5"/>
  <c r="R87" i="5"/>
  <c r="S87" i="5" s="1"/>
  <c r="R83" i="5"/>
  <c r="K82" i="5"/>
  <c r="R77" i="5"/>
  <c r="K83" i="5"/>
  <c r="R85" i="5"/>
  <c r="S85" i="5" s="1"/>
  <c r="R78" i="5"/>
  <c r="AA81" i="5"/>
  <c r="AA83" i="5"/>
  <c r="K77" i="5"/>
  <c r="J89" i="5"/>
  <c r="K86" i="5"/>
  <c r="L86" i="5" s="1"/>
  <c r="K79" i="5"/>
  <c r="L79" i="5" s="1"/>
  <c r="R82" i="5"/>
  <c r="AA78" i="5"/>
  <c r="R79" i="5"/>
  <c r="S79" i="5" s="1"/>
  <c r="C18" i="9"/>
  <c r="C88" i="5"/>
  <c r="D78" i="5" s="1"/>
  <c r="C106" i="5"/>
  <c r="D105" i="5" s="1"/>
  <c r="E105" i="5" s="1"/>
  <c r="C124" i="5"/>
  <c r="D121" i="5" s="1"/>
  <c r="E121" i="5" s="1"/>
  <c r="Z113" i="5" l="1"/>
  <c r="AB77" i="5"/>
  <c r="D10" i="22" s="1"/>
  <c r="AB95" i="5"/>
  <c r="BC86" i="6" s="1"/>
  <c r="AA101" i="7"/>
  <c r="AB101" i="7" s="1"/>
  <c r="BC89" i="8" s="1"/>
  <c r="AA99" i="7"/>
  <c r="L113" i="5"/>
  <c r="Z101" i="7"/>
  <c r="Z96" i="7"/>
  <c r="D101" i="7"/>
  <c r="AA97" i="7"/>
  <c r="C108" i="7"/>
  <c r="F102" i="7" s="1"/>
  <c r="AA98" i="7"/>
  <c r="AB98" i="7" s="1"/>
  <c r="BC88" i="8" s="1"/>
  <c r="Z77" i="5"/>
  <c r="D97" i="7"/>
  <c r="D98" i="7"/>
  <c r="E98" i="7" s="1"/>
  <c r="D104" i="7"/>
  <c r="E104" i="7" s="1"/>
  <c r="F11" i="22"/>
  <c r="S101" i="7"/>
  <c r="AA100" i="7"/>
  <c r="D105" i="7"/>
  <c r="E105" i="7" s="1"/>
  <c r="D103" i="7"/>
  <c r="E103" i="7" s="1"/>
  <c r="L77" i="5"/>
  <c r="AA96" i="7"/>
  <c r="L95" i="5"/>
  <c r="L100" i="5"/>
  <c r="AB118" i="5"/>
  <c r="D96" i="7"/>
  <c r="D102" i="7"/>
  <c r="AB82" i="5"/>
  <c r="BC73" i="6" s="1"/>
  <c r="BC88" i="6"/>
  <c r="H11" i="22"/>
  <c r="S82" i="5"/>
  <c r="S95" i="5"/>
  <c r="S96" i="7"/>
  <c r="T101" i="7"/>
  <c r="T102" i="7"/>
  <c r="T96" i="7"/>
  <c r="T98" i="7"/>
  <c r="U98" i="7" s="1"/>
  <c r="T97" i="7"/>
  <c r="M101" i="7"/>
  <c r="M97" i="7"/>
  <c r="M96" i="7"/>
  <c r="M98" i="7"/>
  <c r="N98" i="7" s="1"/>
  <c r="M102" i="7"/>
  <c r="L96" i="7"/>
  <c r="S118" i="5"/>
  <c r="T118" i="5"/>
  <c r="T119" i="5"/>
  <c r="T114" i="5"/>
  <c r="T113" i="5"/>
  <c r="T115" i="5"/>
  <c r="U115" i="5" s="1"/>
  <c r="S113" i="5"/>
  <c r="M119" i="5"/>
  <c r="M118" i="5"/>
  <c r="M113" i="5"/>
  <c r="M115" i="5"/>
  <c r="N115" i="5" s="1"/>
  <c r="M114" i="5"/>
  <c r="L118" i="5"/>
  <c r="T95" i="5"/>
  <c r="T96" i="5"/>
  <c r="T100" i="5"/>
  <c r="T97" i="5"/>
  <c r="U97" i="5" s="1"/>
  <c r="T101" i="5"/>
  <c r="M96" i="5"/>
  <c r="M101" i="5"/>
  <c r="M95" i="5"/>
  <c r="M100" i="5"/>
  <c r="M97" i="5"/>
  <c r="N97" i="5" s="1"/>
  <c r="S100" i="5"/>
  <c r="S77" i="5"/>
  <c r="M82" i="5"/>
  <c r="M77" i="5"/>
  <c r="M83" i="5"/>
  <c r="M79" i="5"/>
  <c r="N79" i="5" s="1"/>
  <c r="M78" i="5"/>
  <c r="L82" i="5"/>
  <c r="T77" i="5"/>
  <c r="T78" i="5"/>
  <c r="T83" i="5"/>
  <c r="T79" i="5"/>
  <c r="U79" i="5" s="1"/>
  <c r="T82" i="5"/>
  <c r="D77" i="5"/>
  <c r="E77" i="5" s="1"/>
  <c r="D84" i="5"/>
  <c r="E84" i="5" s="1"/>
  <c r="C89" i="5"/>
  <c r="F82" i="5" s="1"/>
  <c r="D123" i="5"/>
  <c r="E123" i="5" s="1"/>
  <c r="D79" i="5"/>
  <c r="E79" i="5" s="1"/>
  <c r="D100" i="5"/>
  <c r="D96" i="5"/>
  <c r="D86" i="5"/>
  <c r="E86" i="5" s="1"/>
  <c r="C125" i="5"/>
  <c r="F113" i="5" s="1"/>
  <c r="D83" i="5"/>
  <c r="D85" i="5"/>
  <c r="E85" i="5" s="1"/>
  <c r="C107" i="5"/>
  <c r="F97" i="5" s="1"/>
  <c r="G97" i="5" s="1"/>
  <c r="D82" i="5"/>
  <c r="D87" i="5"/>
  <c r="E87" i="5" s="1"/>
  <c r="D119" i="5"/>
  <c r="D95" i="5"/>
  <c r="D122" i="5"/>
  <c r="E122" i="5" s="1"/>
  <c r="D97" i="5"/>
  <c r="E97" i="5" s="1"/>
  <c r="D101" i="5"/>
  <c r="D102" i="5"/>
  <c r="E102" i="5" s="1"/>
  <c r="D120" i="5"/>
  <c r="E120" i="5" s="1"/>
  <c r="D104" i="5"/>
  <c r="E104" i="5" s="1"/>
  <c r="D114" i="5"/>
  <c r="D103" i="5"/>
  <c r="E103" i="5" s="1"/>
  <c r="D115" i="5"/>
  <c r="E115" i="5" s="1"/>
  <c r="D113" i="5"/>
  <c r="D118" i="5"/>
  <c r="X15" i="5"/>
  <c r="X14" i="5"/>
  <c r="X13" i="5"/>
  <c r="X12" i="5"/>
  <c r="X11" i="5"/>
  <c r="X10" i="5"/>
  <c r="BC71" i="6" l="1"/>
  <c r="F101" i="7"/>
  <c r="G101" i="7" s="1"/>
  <c r="H18" i="9" s="1"/>
  <c r="F96" i="7"/>
  <c r="F97" i="7"/>
  <c r="D11" i="22"/>
  <c r="F98" i="7"/>
  <c r="G98" i="7" s="1"/>
  <c r="F18" i="9" s="1"/>
  <c r="F18" i="22"/>
  <c r="H10" i="22"/>
  <c r="H18" i="22"/>
  <c r="E96" i="7"/>
  <c r="AB96" i="7"/>
  <c r="D18" i="22" s="1"/>
  <c r="E101" i="7"/>
  <c r="G5" i="22"/>
  <c r="U82" i="5"/>
  <c r="BB73" i="6" s="1"/>
  <c r="N101" i="7"/>
  <c r="BA89" i="8" s="1"/>
  <c r="N118" i="5"/>
  <c r="F11" i="9"/>
  <c r="AZ87" i="6"/>
  <c r="BA72" i="6"/>
  <c r="F10" i="20"/>
  <c r="BB72" i="6"/>
  <c r="F10" i="21"/>
  <c r="BB87" i="6"/>
  <c r="F11" i="21"/>
  <c r="F18" i="21"/>
  <c r="BB88" i="8"/>
  <c r="BA87" i="6"/>
  <c r="F11" i="20"/>
  <c r="F18" i="20"/>
  <c r="BA88" i="8"/>
  <c r="N96" i="7"/>
  <c r="U96" i="7"/>
  <c r="U101" i="7"/>
  <c r="U118" i="5"/>
  <c r="N113" i="5"/>
  <c r="U113" i="5"/>
  <c r="N95" i="5"/>
  <c r="U100" i="5"/>
  <c r="N100" i="5"/>
  <c r="U95" i="5"/>
  <c r="N77" i="5"/>
  <c r="U77" i="5"/>
  <c r="N82" i="5"/>
  <c r="E95" i="5"/>
  <c r="F78" i="5"/>
  <c r="F77" i="5"/>
  <c r="F83" i="5"/>
  <c r="G82" i="5" s="1"/>
  <c r="F114" i="5"/>
  <c r="G113" i="5" s="1"/>
  <c r="F115" i="5"/>
  <c r="G115" i="5" s="1"/>
  <c r="F118" i="5"/>
  <c r="F119" i="5"/>
  <c r="F79" i="5"/>
  <c r="G79" i="5" s="1"/>
  <c r="E82" i="5"/>
  <c r="F101" i="5"/>
  <c r="E100" i="5"/>
  <c r="F100" i="5"/>
  <c r="E118" i="5"/>
  <c r="F95" i="5"/>
  <c r="F96" i="5"/>
  <c r="E113" i="5"/>
  <c r="Q11" i="5"/>
  <c r="Q10" i="5"/>
  <c r="G77" i="5" l="1"/>
  <c r="D10" i="9" s="1"/>
  <c r="AZ89" i="8"/>
  <c r="G96" i="7"/>
  <c r="D18" i="9" s="1"/>
  <c r="H10" i="21"/>
  <c r="AZ88" i="8"/>
  <c r="BC87" i="8"/>
  <c r="H18" i="20"/>
  <c r="G5" i="21"/>
  <c r="G95" i="5"/>
  <c r="D11" i="9" s="1"/>
  <c r="BA87" i="8"/>
  <c r="D18" i="20"/>
  <c r="BB88" i="6"/>
  <c r="H11" i="21"/>
  <c r="F10" i="9"/>
  <c r="AZ72" i="6"/>
  <c r="BA86" i="6"/>
  <c r="D11" i="20"/>
  <c r="BA73" i="6"/>
  <c r="H10" i="20"/>
  <c r="BA88" i="6"/>
  <c r="H11" i="20"/>
  <c r="BB71" i="6"/>
  <c r="D10" i="21"/>
  <c r="BA71" i="6"/>
  <c r="D10" i="20"/>
  <c r="BB89" i="8"/>
  <c r="H18" i="21"/>
  <c r="H10" i="9"/>
  <c r="AZ73" i="6"/>
  <c r="BB86" i="6"/>
  <c r="D11" i="21"/>
  <c r="D18" i="21"/>
  <c r="BB87" i="8"/>
  <c r="G118" i="5"/>
  <c r="G100" i="5"/>
  <c r="J15" i="5"/>
  <c r="J14" i="5"/>
  <c r="J13" i="5"/>
  <c r="J12" i="5"/>
  <c r="J11" i="5"/>
  <c r="J10" i="5"/>
  <c r="J6" i="5"/>
  <c r="J5" i="5"/>
  <c r="AZ71" i="6" l="1"/>
  <c r="AZ87" i="8"/>
  <c r="AZ86" i="6"/>
  <c r="G5" i="20"/>
  <c r="C5" i="20"/>
  <c r="H11" i="9"/>
  <c r="AZ88" i="6"/>
  <c r="X9" i="5"/>
  <c r="X8" i="5"/>
  <c r="X7" i="5"/>
  <c r="X6" i="5"/>
  <c r="X5" i="5"/>
  <c r="Q7" i="5"/>
  <c r="E5" i="21" s="1"/>
  <c r="Q6" i="5"/>
  <c r="Q5" i="5"/>
  <c r="C7" i="5"/>
  <c r="C6" i="5"/>
  <c r="C5" i="5"/>
  <c r="C15" i="5"/>
  <c r="C14" i="5"/>
  <c r="C13" i="5"/>
  <c r="C12" i="5"/>
  <c r="C11" i="5"/>
  <c r="C10" i="5"/>
  <c r="E5" i="22" l="1"/>
  <c r="C5" i="22"/>
  <c r="C5" i="21"/>
  <c r="J7" i="5"/>
  <c r="E5" i="20" s="1"/>
  <c r="X89" i="7" l="1"/>
  <c r="Y86" i="7" s="1"/>
  <c r="Z86" i="7" s="1"/>
  <c r="X71" i="7"/>
  <c r="Y68" i="7" s="1"/>
  <c r="Z68" i="7" s="1"/>
  <c r="X53" i="7"/>
  <c r="Y49" i="7" s="1"/>
  <c r="Z49" i="7" s="1"/>
  <c r="X35" i="7"/>
  <c r="Y33" i="7" s="1"/>
  <c r="Z33" i="7" s="1"/>
  <c r="X16" i="7"/>
  <c r="Y14" i="7" s="1"/>
  <c r="Z14" i="7" s="1"/>
  <c r="Y28" i="7" l="1"/>
  <c r="Y45" i="7"/>
  <c r="Y63" i="7"/>
  <c r="Y27" i="7"/>
  <c r="Y62" i="7"/>
  <c r="Y80" i="7"/>
  <c r="Y44" i="7"/>
  <c r="Y81" i="7"/>
  <c r="Y26" i="7"/>
  <c r="Y46" i="7"/>
  <c r="Y64" i="7"/>
  <c r="Y82" i="7"/>
  <c r="X16" i="5"/>
  <c r="Y12" i="5" s="1"/>
  <c r="Z12" i="5" s="1"/>
  <c r="Y5" i="7"/>
  <c r="Y43" i="7"/>
  <c r="Y67" i="7"/>
  <c r="Z67" i="7" s="1"/>
  <c r="Y48" i="7"/>
  <c r="Y51" i="7"/>
  <c r="Z51" i="7" s="1"/>
  <c r="X54" i="7"/>
  <c r="Y11" i="7"/>
  <c r="Y84" i="7"/>
  <c r="Y8" i="7"/>
  <c r="Y85" i="7"/>
  <c r="Z85" i="7" s="1"/>
  <c r="Y13" i="7"/>
  <c r="Z13" i="7" s="1"/>
  <c r="X17" i="7"/>
  <c r="AA6" i="7" s="1"/>
  <c r="Y12" i="7"/>
  <c r="Z12" i="7" s="1"/>
  <c r="Y66" i="7"/>
  <c r="Y69" i="7"/>
  <c r="Z69" i="7" s="1"/>
  <c r="Y88" i="7"/>
  <c r="Z88" i="7" s="1"/>
  <c r="X90" i="7"/>
  <c r="Y10" i="7"/>
  <c r="Y15" i="7"/>
  <c r="Z15" i="7" s="1"/>
  <c r="Y7" i="7"/>
  <c r="Y70" i="7"/>
  <c r="Z70" i="7" s="1"/>
  <c r="Y78" i="7"/>
  <c r="Y87" i="7"/>
  <c r="Z87" i="7" s="1"/>
  <c r="Y9" i="7"/>
  <c r="Y60" i="7"/>
  <c r="Y83" i="7"/>
  <c r="Y79" i="7"/>
  <c r="X72" i="7"/>
  <c r="Y65" i="7"/>
  <c r="Y61" i="7"/>
  <c r="Y52" i="7"/>
  <c r="Z52" i="7" s="1"/>
  <c r="Y50" i="7"/>
  <c r="Z50" i="7" s="1"/>
  <c r="Y47" i="7"/>
  <c r="Y42" i="7"/>
  <c r="Y34" i="7"/>
  <c r="Z34" i="7" s="1"/>
  <c r="Y24" i="7"/>
  <c r="Y25" i="7"/>
  <c r="Y31" i="7"/>
  <c r="Z31" i="7" s="1"/>
  <c r="Y30" i="7"/>
  <c r="Y29" i="7"/>
  <c r="X36" i="7"/>
  <c r="Y32" i="7"/>
  <c r="Z32" i="7" s="1"/>
  <c r="Y6" i="7"/>
  <c r="X34" i="5"/>
  <c r="X70" i="5"/>
  <c r="Y60" i="5" s="1"/>
  <c r="X52" i="5"/>
  <c r="Y43" i="5" s="1"/>
  <c r="Y30" i="5" l="1"/>
  <c r="Z30" i="5" s="1"/>
  <c r="Y122" i="5"/>
  <c r="Z122" i="5" s="1"/>
  <c r="Y121" i="5"/>
  <c r="Z121" i="5" s="1"/>
  <c r="Y101" i="5"/>
  <c r="Y87" i="5"/>
  <c r="Z87" i="5" s="1"/>
  <c r="Y100" i="5"/>
  <c r="Z100" i="5" s="1"/>
  <c r="Y99" i="5"/>
  <c r="Y83" i="5"/>
  <c r="Y116" i="5"/>
  <c r="Y123" i="5"/>
  <c r="Z123" i="5" s="1"/>
  <c r="Y82" i="5"/>
  <c r="Z82" i="5" s="1"/>
  <c r="Y80" i="5"/>
  <c r="Y85" i="5"/>
  <c r="Z85" i="5" s="1"/>
  <c r="Y105" i="5"/>
  <c r="Z105" i="5" s="1"/>
  <c r="Y81" i="5"/>
  <c r="Y79" i="5"/>
  <c r="Z79" i="5" s="1"/>
  <c r="Y119" i="5"/>
  <c r="Y102" i="5"/>
  <c r="Z102" i="5" s="1"/>
  <c r="Y84" i="5"/>
  <c r="Z84" i="5" s="1"/>
  <c r="Y120" i="5"/>
  <c r="Z120" i="5" s="1"/>
  <c r="Y97" i="5"/>
  <c r="Z97" i="5" s="1"/>
  <c r="Y104" i="5"/>
  <c r="Z104" i="5" s="1"/>
  <c r="Y103" i="5"/>
  <c r="Z103" i="5" s="1"/>
  <c r="Y115" i="5"/>
  <c r="Z115" i="5" s="1"/>
  <c r="Y98" i="5"/>
  <c r="Y118" i="5"/>
  <c r="Z118" i="5" s="1"/>
  <c r="Y117" i="5"/>
  <c r="Y86" i="5"/>
  <c r="Z86" i="5" s="1"/>
  <c r="Z5" i="7"/>
  <c r="Z47" i="7"/>
  <c r="AA79" i="7"/>
  <c r="AA81" i="7"/>
  <c r="AA82" i="7"/>
  <c r="AA83" i="7"/>
  <c r="AA84" i="7"/>
  <c r="AA80" i="7"/>
  <c r="AA43" i="7"/>
  <c r="AA44" i="7"/>
  <c r="AA45" i="7"/>
  <c r="AA46" i="7"/>
  <c r="X17" i="5"/>
  <c r="AA5" i="5" s="1"/>
  <c r="Y6" i="5"/>
  <c r="Y5" i="5"/>
  <c r="Y41" i="5"/>
  <c r="Y42" i="5"/>
  <c r="AA30" i="7"/>
  <c r="AA26" i="7"/>
  <c r="AA28" i="7"/>
  <c r="AA27" i="7"/>
  <c r="AA60" i="7"/>
  <c r="AA65" i="7"/>
  <c r="AA62" i="7"/>
  <c r="AA63" i="7"/>
  <c r="AA64" i="7"/>
  <c r="AA66" i="7"/>
  <c r="Y47" i="5"/>
  <c r="X53" i="5"/>
  <c r="Y51" i="5"/>
  <c r="Z51" i="5" s="1"/>
  <c r="Y49" i="5"/>
  <c r="Z49" i="5" s="1"/>
  <c r="Y48" i="5"/>
  <c r="Z48" i="5" s="1"/>
  <c r="Y50" i="5"/>
  <c r="Z50" i="5" s="1"/>
  <c r="Y46" i="5"/>
  <c r="Y45" i="5"/>
  <c r="Y44" i="5"/>
  <c r="Z42" i="7"/>
  <c r="AA47" i="7"/>
  <c r="AA24" i="7"/>
  <c r="Z83" i="7"/>
  <c r="AA25" i="7"/>
  <c r="AA29" i="7"/>
  <c r="AA61" i="7"/>
  <c r="AA48" i="7"/>
  <c r="AA42" i="7"/>
  <c r="Z10" i="7"/>
  <c r="Z60" i="7"/>
  <c r="Z62" i="7"/>
  <c r="AA78" i="7"/>
  <c r="Z29" i="7"/>
  <c r="Z24" i="7"/>
  <c r="Z78" i="7"/>
  <c r="Z65" i="7"/>
  <c r="Y9" i="5"/>
  <c r="Z26" i="7"/>
  <c r="X71" i="5"/>
  <c r="Z80" i="7"/>
  <c r="Z7" i="7"/>
  <c r="AA5" i="7"/>
  <c r="AB5" i="7" s="1"/>
  <c r="D13" i="22" s="1"/>
  <c r="AA11" i="7"/>
  <c r="AA9" i="7"/>
  <c r="AA10" i="7"/>
  <c r="AA8" i="7"/>
  <c r="AA7" i="7"/>
  <c r="Y59" i="5"/>
  <c r="Z59" i="5" s="1"/>
  <c r="Y10" i="5"/>
  <c r="Z44" i="7"/>
  <c r="Y31" i="5"/>
  <c r="Z31" i="5" s="1"/>
  <c r="Y61" i="5"/>
  <c r="X35" i="5"/>
  <c r="AA23" i="5" s="1"/>
  <c r="Y69" i="5"/>
  <c r="Z69" i="5" s="1"/>
  <c r="Y65" i="5"/>
  <c r="Y67" i="5"/>
  <c r="Z67" i="5" s="1"/>
  <c r="Y64" i="5"/>
  <c r="Y33" i="5"/>
  <c r="Z33" i="5" s="1"/>
  <c r="Y23" i="5"/>
  <c r="Y25" i="5"/>
  <c r="Y63" i="5"/>
  <c r="Y14" i="5"/>
  <c r="Z14" i="5" s="1"/>
  <c r="Y68" i="5"/>
  <c r="Z68" i="5" s="1"/>
  <c r="Y29" i="5"/>
  <c r="Y32" i="5"/>
  <c r="Z32" i="5" s="1"/>
  <c r="Y27" i="5"/>
  <c r="Y62" i="5"/>
  <c r="Y66" i="5"/>
  <c r="Z66" i="5" s="1"/>
  <c r="Y28" i="5"/>
  <c r="Y24" i="5"/>
  <c r="Y26" i="5"/>
  <c r="Y8" i="5"/>
  <c r="Y7" i="5"/>
  <c r="Y11" i="5"/>
  <c r="Y15" i="5"/>
  <c r="Z15" i="5" s="1"/>
  <c r="Y13" i="5"/>
  <c r="Z13" i="5" s="1"/>
  <c r="Q12" i="5"/>
  <c r="Z43" i="5" l="1"/>
  <c r="AB42" i="7"/>
  <c r="D15" i="22" s="1"/>
  <c r="AB62" i="7"/>
  <c r="F16" i="22" s="1"/>
  <c r="AB80" i="7"/>
  <c r="F17" i="22" s="1"/>
  <c r="AB44" i="7"/>
  <c r="F15" i="22" s="1"/>
  <c r="AB26" i="7"/>
  <c r="F14" i="22" s="1"/>
  <c r="AB7" i="7"/>
  <c r="F13" i="22" s="1"/>
  <c r="Z10" i="5"/>
  <c r="AB10" i="7"/>
  <c r="H13" i="22" s="1"/>
  <c r="AA41" i="5"/>
  <c r="AA42" i="5"/>
  <c r="AA46" i="5"/>
  <c r="AA47" i="5"/>
  <c r="AA45" i="5"/>
  <c r="AA43" i="5"/>
  <c r="AA44" i="5"/>
  <c r="AA59" i="5"/>
  <c r="AA60" i="5"/>
  <c r="AA61" i="5"/>
  <c r="AA62" i="5"/>
  <c r="AA63" i="5"/>
  <c r="AA65" i="5"/>
  <c r="AA64" i="5"/>
  <c r="Z41" i="5"/>
  <c r="AB47" i="7"/>
  <c r="H15" i="22" s="1"/>
  <c r="Z28" i="5"/>
  <c r="Z7" i="5"/>
  <c r="Z23" i="5"/>
  <c r="Z46" i="5"/>
  <c r="Z5" i="5"/>
  <c r="Z64" i="5"/>
  <c r="Z25" i="5"/>
  <c r="AA24" i="5"/>
  <c r="AA29" i="5"/>
  <c r="AA27" i="5"/>
  <c r="AA25" i="5"/>
  <c r="AA26" i="5"/>
  <c r="AA28" i="5"/>
  <c r="AA11" i="5"/>
  <c r="AA8" i="5"/>
  <c r="AA7" i="5"/>
  <c r="AA10" i="5"/>
  <c r="AA6" i="5"/>
  <c r="AA9" i="5"/>
  <c r="Z61" i="5"/>
  <c r="AB25" i="5" l="1"/>
  <c r="F7" i="22" s="1"/>
  <c r="AB61" i="5"/>
  <c r="F9" i="22" s="1"/>
  <c r="AB10" i="5"/>
  <c r="H5" i="22" s="1"/>
  <c r="AB7" i="5"/>
  <c r="F5" i="22" s="1"/>
  <c r="AB59" i="5"/>
  <c r="D9" i="22" s="1"/>
  <c r="AB41" i="5"/>
  <c r="D8" i="22" s="1"/>
  <c r="AB43" i="5"/>
  <c r="F8" i="22" s="1"/>
  <c r="AB64" i="5"/>
  <c r="H9" i="22" s="1"/>
  <c r="AB23" i="5"/>
  <c r="D7" i="22" s="1"/>
  <c r="AB46" i="5"/>
  <c r="H8" i="22" s="1"/>
  <c r="AB5" i="5"/>
  <c r="AD5" i="5" l="1"/>
  <c r="D5" i="22"/>
  <c r="AD7" i="5"/>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3" i="10"/>
  <c r="H4" i="10"/>
  <c r="H5"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3"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61" i="10"/>
  <c r="A62" i="10"/>
  <c r="A63" i="10"/>
  <c r="A64" i="10"/>
  <c r="A65" i="10"/>
  <c r="A66" i="10"/>
  <c r="A67" i="10"/>
  <c r="A68" i="10"/>
  <c r="A69" i="10"/>
  <c r="A70" i="10"/>
  <c r="A71" i="10"/>
  <c r="A72" i="10"/>
  <c r="A73" i="10"/>
  <c r="A74"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3" i="10"/>
  <c r="AB83" i="7" l="1"/>
  <c r="H17" i="22" s="1"/>
  <c r="AB78" i="7"/>
  <c r="D17" i="22" s="1"/>
  <c r="AB65" i="7"/>
  <c r="H16" i="22" s="1"/>
  <c r="AB60" i="7"/>
  <c r="D16" i="22" s="1"/>
  <c r="BC41" i="8"/>
  <c r="BC40" i="8"/>
  <c r="BC39" i="8"/>
  <c r="AB29" i="7"/>
  <c r="H14" i="22" s="1"/>
  <c r="AB24" i="7"/>
  <c r="D14" i="22" s="1"/>
  <c r="BC7" i="8"/>
  <c r="G14" i="9" l="1"/>
  <c r="BC71" i="8"/>
  <c r="BC72" i="8"/>
  <c r="BC73" i="8"/>
  <c r="BC57" i="8"/>
  <c r="BC55" i="8"/>
  <c r="BC56" i="8"/>
  <c r="BC24" i="8"/>
  <c r="BC25" i="8"/>
  <c r="BC23" i="8"/>
  <c r="BC9" i="8"/>
  <c r="BC8" i="8"/>
  <c r="G16" i="9"/>
  <c r="C89" i="7"/>
  <c r="C90" i="7" s="1"/>
  <c r="F83" i="7" s="1"/>
  <c r="J35" i="7"/>
  <c r="K29" i="7" s="1"/>
  <c r="Q89" i="7"/>
  <c r="R84" i="7" s="1"/>
  <c r="Q71" i="7"/>
  <c r="R70" i="7" s="1"/>
  <c r="S70" i="7" s="1"/>
  <c r="Q35" i="7"/>
  <c r="R32" i="7" s="1"/>
  <c r="S32" i="7" s="1"/>
  <c r="Q16" i="7"/>
  <c r="J89" i="7"/>
  <c r="K85" i="7" s="1"/>
  <c r="L85" i="7" s="1"/>
  <c r="J71" i="7"/>
  <c r="K67" i="7" s="1"/>
  <c r="L67" i="7" s="1"/>
  <c r="J16" i="7"/>
  <c r="K15" i="7" s="1"/>
  <c r="L15" i="7" s="1"/>
  <c r="Q53" i="7"/>
  <c r="R47" i="7" s="1"/>
  <c r="J53" i="7"/>
  <c r="K49" i="7" s="1"/>
  <c r="L49" i="7" s="1"/>
  <c r="C35" i="7"/>
  <c r="D24" i="7" s="1"/>
  <c r="C53" i="7"/>
  <c r="C54" i="7" s="1"/>
  <c r="C71" i="7"/>
  <c r="D62" i="7" s="1"/>
  <c r="E62" i="7" s="1"/>
  <c r="C16" i="7"/>
  <c r="C17" i="7" s="1"/>
  <c r="F10" i="7" s="1"/>
  <c r="G17" i="9"/>
  <c r="G15" i="9"/>
  <c r="G13" i="9"/>
  <c r="E17" i="9"/>
  <c r="E16" i="9"/>
  <c r="E15" i="9"/>
  <c r="E14" i="9"/>
  <c r="E13" i="9"/>
  <c r="C17" i="9"/>
  <c r="C16" i="9"/>
  <c r="C15" i="9"/>
  <c r="C14" i="9"/>
  <c r="C13" i="9"/>
  <c r="Q17" i="7" l="1"/>
  <c r="T7" i="7" s="1"/>
  <c r="U7" i="7" s="1"/>
  <c r="F13" i="21" s="1"/>
  <c r="R7" i="7"/>
  <c r="S7" i="7" s="1"/>
  <c r="D88" i="7"/>
  <c r="E88" i="7" s="1"/>
  <c r="D79" i="7"/>
  <c r="D80" i="7"/>
  <c r="E80" i="7" s="1"/>
  <c r="D87" i="7"/>
  <c r="E87" i="7" s="1"/>
  <c r="D86" i="7"/>
  <c r="E86" i="7" s="1"/>
  <c r="D83" i="7"/>
  <c r="D85" i="7"/>
  <c r="E85" i="7" s="1"/>
  <c r="R29" i="7"/>
  <c r="K26" i="7"/>
  <c r="L26" i="7" s="1"/>
  <c r="D78" i="7"/>
  <c r="R26" i="7"/>
  <c r="S26" i="7" s="1"/>
  <c r="R31" i="7"/>
  <c r="S31" i="7" s="1"/>
  <c r="D84" i="7"/>
  <c r="R24" i="7"/>
  <c r="R33" i="7"/>
  <c r="S33" i="7" s="1"/>
  <c r="Q36" i="7"/>
  <c r="T25" i="7" s="1"/>
  <c r="D26" i="7"/>
  <c r="E26" i="7" s="1"/>
  <c r="R30" i="7"/>
  <c r="R34" i="7"/>
  <c r="S34" i="7" s="1"/>
  <c r="R25" i="7"/>
  <c r="D34" i="7"/>
  <c r="E34" i="7" s="1"/>
  <c r="D29" i="7"/>
  <c r="D33" i="7"/>
  <c r="E33" i="7" s="1"/>
  <c r="D31" i="7"/>
  <c r="E31" i="7" s="1"/>
  <c r="K25" i="7"/>
  <c r="K34" i="7"/>
  <c r="L34" i="7" s="1"/>
  <c r="R13" i="7"/>
  <c r="S13" i="7" s="1"/>
  <c r="K24" i="7"/>
  <c r="K33" i="7"/>
  <c r="L33" i="7" s="1"/>
  <c r="K87" i="7"/>
  <c r="L87" i="7" s="1"/>
  <c r="J90" i="7"/>
  <c r="M84" i="7" s="1"/>
  <c r="R6" i="7"/>
  <c r="F79" i="7"/>
  <c r="F84" i="7"/>
  <c r="G83" i="7" s="1"/>
  <c r="R88" i="7"/>
  <c r="S88" i="7" s="1"/>
  <c r="K31" i="7"/>
  <c r="L31" i="7" s="1"/>
  <c r="J36" i="7"/>
  <c r="M25" i="7" s="1"/>
  <c r="R78" i="7"/>
  <c r="D30" i="7"/>
  <c r="C36" i="7"/>
  <c r="F30" i="7" s="1"/>
  <c r="K30" i="7"/>
  <c r="L29" i="7" s="1"/>
  <c r="K32" i="7"/>
  <c r="L32" i="7" s="1"/>
  <c r="K88" i="7"/>
  <c r="L88" i="7" s="1"/>
  <c r="Q90" i="7"/>
  <c r="T79" i="7" s="1"/>
  <c r="R67" i="7"/>
  <c r="S67" i="7" s="1"/>
  <c r="D25" i="7"/>
  <c r="E24" i="7" s="1"/>
  <c r="D32" i="7"/>
  <c r="E32" i="7" s="1"/>
  <c r="D44" i="7"/>
  <c r="E44" i="7" s="1"/>
  <c r="D51" i="7"/>
  <c r="E51" i="7" s="1"/>
  <c r="D47" i="7"/>
  <c r="D42" i="7"/>
  <c r="D50" i="7"/>
  <c r="E50" i="7" s="1"/>
  <c r="F43" i="7"/>
  <c r="F47" i="7"/>
  <c r="R62" i="7"/>
  <c r="S62" i="7" s="1"/>
  <c r="D48" i="7"/>
  <c r="D49" i="7"/>
  <c r="E49" i="7" s="1"/>
  <c r="D68" i="7"/>
  <c r="E68" i="7" s="1"/>
  <c r="K83" i="7"/>
  <c r="K86" i="7"/>
  <c r="L86" i="7" s="1"/>
  <c r="R79" i="7"/>
  <c r="R86" i="7"/>
  <c r="S86" i="7" s="1"/>
  <c r="R83" i="7"/>
  <c r="S83" i="7" s="1"/>
  <c r="D43" i="7"/>
  <c r="D52" i="7"/>
  <c r="E52" i="7" s="1"/>
  <c r="D65" i="7"/>
  <c r="K79" i="7"/>
  <c r="K70" i="7"/>
  <c r="L70" i="7" s="1"/>
  <c r="K84" i="7"/>
  <c r="R87" i="7"/>
  <c r="S87" i="7" s="1"/>
  <c r="R80" i="7"/>
  <c r="S80" i="7" s="1"/>
  <c r="R85" i="7"/>
  <c r="S85" i="7" s="1"/>
  <c r="J72" i="7"/>
  <c r="M60" i="7" s="1"/>
  <c r="K80" i="7"/>
  <c r="L80" i="7" s="1"/>
  <c r="K78" i="7"/>
  <c r="K6" i="7"/>
  <c r="K7" i="7"/>
  <c r="L7" i="7" s="1"/>
  <c r="K13" i="7"/>
  <c r="L13" i="7" s="1"/>
  <c r="K11" i="7"/>
  <c r="K68" i="7"/>
  <c r="L68" i="7" s="1"/>
  <c r="K14" i="7"/>
  <c r="L14" i="7" s="1"/>
  <c r="K12" i="7"/>
  <c r="L12" i="7" s="1"/>
  <c r="K47" i="7"/>
  <c r="K5" i="7"/>
  <c r="J17" i="7"/>
  <c r="M6" i="7" s="1"/>
  <c r="K10" i="7"/>
  <c r="R68" i="7"/>
  <c r="S68" i="7" s="1"/>
  <c r="R60" i="7"/>
  <c r="R69" i="7"/>
  <c r="S69" i="7" s="1"/>
  <c r="R65" i="7"/>
  <c r="R66" i="7"/>
  <c r="R61" i="7"/>
  <c r="Q72" i="7"/>
  <c r="T65" i="7" s="1"/>
  <c r="R14" i="7"/>
  <c r="S14" i="7" s="1"/>
  <c r="R5" i="7"/>
  <c r="R10" i="7"/>
  <c r="R15" i="7"/>
  <c r="S15" i="7" s="1"/>
  <c r="R12" i="7"/>
  <c r="S12" i="7" s="1"/>
  <c r="R11" i="7"/>
  <c r="K61" i="7"/>
  <c r="K60" i="7"/>
  <c r="K69" i="7"/>
  <c r="L69" i="7" s="1"/>
  <c r="K62" i="7"/>
  <c r="L62" i="7" s="1"/>
  <c r="K65" i="7"/>
  <c r="K66" i="7"/>
  <c r="R51" i="7"/>
  <c r="S51" i="7" s="1"/>
  <c r="R43" i="7"/>
  <c r="R52" i="7"/>
  <c r="S52" i="7" s="1"/>
  <c r="R48" i="7"/>
  <c r="S47" i="7" s="1"/>
  <c r="R44" i="7"/>
  <c r="S44" i="7" s="1"/>
  <c r="R42" i="7"/>
  <c r="Q54" i="7"/>
  <c r="R50" i="7"/>
  <c r="S50" i="7" s="1"/>
  <c r="R49" i="7"/>
  <c r="S49" i="7" s="1"/>
  <c r="K52" i="7"/>
  <c r="L52" i="7" s="1"/>
  <c r="K48" i="7"/>
  <c r="K44" i="7"/>
  <c r="L44" i="7" s="1"/>
  <c r="K42" i="7"/>
  <c r="J54" i="7"/>
  <c r="K50" i="7"/>
  <c r="L50" i="7" s="1"/>
  <c r="K51" i="7"/>
  <c r="L51" i="7" s="1"/>
  <c r="K43" i="7"/>
  <c r="D66" i="7"/>
  <c r="D67" i="7"/>
  <c r="E67" i="7" s="1"/>
  <c r="D61" i="7"/>
  <c r="D69" i="7"/>
  <c r="E69" i="7" s="1"/>
  <c r="D70" i="7"/>
  <c r="E70" i="7" s="1"/>
  <c r="C72" i="7"/>
  <c r="F60" i="7" s="1"/>
  <c r="F11" i="7"/>
  <c r="G10" i="7" s="1"/>
  <c r="D60" i="7"/>
  <c r="F7" i="7"/>
  <c r="G7" i="7" s="1"/>
  <c r="F48" i="7"/>
  <c r="F42" i="7"/>
  <c r="F44" i="7"/>
  <c r="G44" i="7" s="1"/>
  <c r="F80" i="7"/>
  <c r="G80" i="7" s="1"/>
  <c r="F78" i="7"/>
  <c r="F6" i="7"/>
  <c r="F5" i="7"/>
  <c r="D6" i="7"/>
  <c r="BC57" i="6"/>
  <c r="BC56" i="6"/>
  <c r="BC55" i="6"/>
  <c r="BC41" i="6"/>
  <c r="BC40" i="6"/>
  <c r="BC39" i="6"/>
  <c r="AB28" i="5"/>
  <c r="H7" i="22" s="1"/>
  <c r="BC23" i="6"/>
  <c r="Q15" i="5"/>
  <c r="Q14" i="5"/>
  <c r="Q13" i="5"/>
  <c r="E5" i="9"/>
  <c r="Q16" i="5" l="1"/>
  <c r="T6" i="7"/>
  <c r="T11" i="7"/>
  <c r="T5" i="7"/>
  <c r="T10" i="7"/>
  <c r="L5" i="7"/>
  <c r="S60" i="7"/>
  <c r="BC24" i="6"/>
  <c r="BC25" i="6"/>
  <c r="BB8" i="8"/>
  <c r="AZ9" i="8"/>
  <c r="E8" i="9"/>
  <c r="AZ8" i="8"/>
  <c r="C5" i="9"/>
  <c r="J16" i="5"/>
  <c r="K7" i="5" s="1"/>
  <c r="C16" i="5"/>
  <c r="D5" i="5" s="1"/>
  <c r="T84" i="7"/>
  <c r="M79" i="7"/>
  <c r="E78" i="7"/>
  <c r="L78" i="7"/>
  <c r="E83" i="7"/>
  <c r="T29" i="7"/>
  <c r="H17" i="9"/>
  <c r="AZ73" i="8"/>
  <c r="F17" i="9"/>
  <c r="AZ72" i="8"/>
  <c r="S29" i="7"/>
  <c r="T30" i="7"/>
  <c r="T24" i="7"/>
  <c r="U24" i="7" s="1"/>
  <c r="D14" i="21" s="1"/>
  <c r="T26" i="7"/>
  <c r="U26" i="7" s="1"/>
  <c r="F14" i="21" s="1"/>
  <c r="S24" i="7"/>
  <c r="S42" i="7"/>
  <c r="G78" i="7"/>
  <c r="G42" i="7"/>
  <c r="M62" i="7"/>
  <c r="N62" i="7" s="1"/>
  <c r="F16" i="20" s="1"/>
  <c r="G47" i="7"/>
  <c r="M65" i="7"/>
  <c r="E29" i="7"/>
  <c r="M80" i="7"/>
  <c r="N80" i="7" s="1"/>
  <c r="F17" i="20" s="1"/>
  <c r="M83" i="7"/>
  <c r="N83" i="7" s="1"/>
  <c r="H17" i="20" s="1"/>
  <c r="E65" i="7"/>
  <c r="E42" i="7"/>
  <c r="E47" i="7"/>
  <c r="L24" i="7"/>
  <c r="S5" i="7"/>
  <c r="M78" i="7"/>
  <c r="T78" i="7"/>
  <c r="U78" i="7" s="1"/>
  <c r="D17" i="21" s="1"/>
  <c r="S78" i="7"/>
  <c r="L83" i="7"/>
  <c r="S10" i="7"/>
  <c r="G5" i="7"/>
  <c r="F26" i="7"/>
  <c r="G26" i="7" s="1"/>
  <c r="F25" i="7"/>
  <c r="F24" i="7"/>
  <c r="M11" i="7"/>
  <c r="T83" i="7"/>
  <c r="M29" i="7"/>
  <c r="M66" i="7"/>
  <c r="F29" i="7"/>
  <c r="G29" i="7" s="1"/>
  <c r="E60" i="7"/>
  <c r="M26" i="7"/>
  <c r="N26" i="7" s="1"/>
  <c r="F14" i="20" s="1"/>
  <c r="M24" i="7"/>
  <c r="N24" i="7" s="1"/>
  <c r="D14" i="20" s="1"/>
  <c r="M30" i="7"/>
  <c r="T80" i="7"/>
  <c r="U80" i="7" s="1"/>
  <c r="F17" i="21" s="1"/>
  <c r="F15" i="9"/>
  <c r="AZ40" i="8"/>
  <c r="L60" i="7"/>
  <c r="M61" i="7"/>
  <c r="N60" i="7" s="1"/>
  <c r="D16" i="20" s="1"/>
  <c r="M7" i="7"/>
  <c r="N7" i="7" s="1"/>
  <c r="F13" i="20" s="1"/>
  <c r="M5" i="7"/>
  <c r="N5" i="7" s="1"/>
  <c r="D13" i="20" s="1"/>
  <c r="L10" i="7"/>
  <c r="L47" i="7"/>
  <c r="M10" i="7"/>
  <c r="T62" i="7"/>
  <c r="U62" i="7" s="1"/>
  <c r="F16" i="21" s="1"/>
  <c r="S65" i="7"/>
  <c r="T66" i="7"/>
  <c r="U65" i="7" s="1"/>
  <c r="H16" i="21" s="1"/>
  <c r="T61" i="7"/>
  <c r="T60" i="7"/>
  <c r="L65" i="7"/>
  <c r="T48" i="7"/>
  <c r="T44" i="7"/>
  <c r="U44" i="7" s="1"/>
  <c r="F15" i="21" s="1"/>
  <c r="T43" i="7"/>
  <c r="T42" i="7"/>
  <c r="T47" i="7"/>
  <c r="M48" i="7"/>
  <c r="M44" i="7"/>
  <c r="N44" i="7" s="1"/>
  <c r="F15" i="20" s="1"/>
  <c r="M43" i="7"/>
  <c r="M42" i="7"/>
  <c r="M47" i="7"/>
  <c r="L42" i="7"/>
  <c r="F62" i="7"/>
  <c r="G62" i="7" s="1"/>
  <c r="F65" i="7"/>
  <c r="F66" i="7"/>
  <c r="F61" i="7"/>
  <c r="G60" i="7" s="1"/>
  <c r="G5" i="9"/>
  <c r="G8" i="9"/>
  <c r="C8" i="9"/>
  <c r="D15" i="7"/>
  <c r="E15" i="7" s="1"/>
  <c r="D14" i="7"/>
  <c r="E14" i="7" s="1"/>
  <c r="D13" i="7"/>
  <c r="E13" i="7" s="1"/>
  <c r="D12" i="7"/>
  <c r="E12" i="7" s="1"/>
  <c r="D7" i="7"/>
  <c r="E7" i="7" s="1"/>
  <c r="D11" i="7"/>
  <c r="D10" i="7"/>
  <c r="D5" i="7"/>
  <c r="E5" i="7" s="1"/>
  <c r="C52" i="5"/>
  <c r="D51" i="5" s="1"/>
  <c r="E51" i="5" s="1"/>
  <c r="C70" i="5"/>
  <c r="D64" i="5" s="1"/>
  <c r="BC8" i="6"/>
  <c r="J70" i="5"/>
  <c r="K66" i="5" s="1"/>
  <c r="L66" i="5" s="1"/>
  <c r="Q70" i="5"/>
  <c r="R67" i="5" s="1"/>
  <c r="S67" i="5" s="1"/>
  <c r="J52" i="5"/>
  <c r="Q52" i="5"/>
  <c r="R48" i="5" s="1"/>
  <c r="S48" i="5" s="1"/>
  <c r="Q34" i="5"/>
  <c r="J34" i="5"/>
  <c r="J35" i="5" s="1"/>
  <c r="C34" i="5"/>
  <c r="C35" i="5" s="1"/>
  <c r="U5" i="7" l="1"/>
  <c r="D13" i="21" s="1"/>
  <c r="U10" i="7"/>
  <c r="R32" i="5"/>
  <c r="S32" i="5" s="1"/>
  <c r="R25" i="5"/>
  <c r="S25" i="5" s="1"/>
  <c r="R15" i="5"/>
  <c r="S15" i="5" s="1"/>
  <c r="Q17" i="5"/>
  <c r="T5" i="5" s="1"/>
  <c r="R12" i="5"/>
  <c r="S12" i="5" s="1"/>
  <c r="R11" i="5"/>
  <c r="BB24" i="8"/>
  <c r="BB57" i="8"/>
  <c r="BB23" i="8"/>
  <c r="BB72" i="8"/>
  <c r="BB40" i="8"/>
  <c r="BB56" i="8"/>
  <c r="BB71" i="8"/>
  <c r="H15" i="9"/>
  <c r="AZ7" i="8"/>
  <c r="AZ39" i="8"/>
  <c r="K12" i="5"/>
  <c r="L12" i="5" s="1"/>
  <c r="BA72" i="8"/>
  <c r="BA56" i="8"/>
  <c r="BA8" i="8"/>
  <c r="BA23" i="8"/>
  <c r="BA7" i="8"/>
  <c r="BA55" i="8"/>
  <c r="BA24" i="8"/>
  <c r="BA40" i="8"/>
  <c r="BA73" i="8"/>
  <c r="K33" i="5"/>
  <c r="L33" i="5" s="1"/>
  <c r="K25" i="5"/>
  <c r="L25" i="5" s="1"/>
  <c r="K48" i="5"/>
  <c r="L48" i="5" s="1"/>
  <c r="K43" i="5"/>
  <c r="L43" i="5" s="1"/>
  <c r="N78" i="7"/>
  <c r="D17" i="20" s="1"/>
  <c r="U83" i="7"/>
  <c r="H17" i="21" s="1"/>
  <c r="U47" i="7"/>
  <c r="H15" i="21" s="1"/>
  <c r="U29" i="7"/>
  <c r="H14" i="21" s="1"/>
  <c r="N65" i="7"/>
  <c r="H16" i="20" s="1"/>
  <c r="F16" i="9"/>
  <c r="AZ56" i="8"/>
  <c r="D17" i="9"/>
  <c r="AZ71" i="8"/>
  <c r="D16" i="9"/>
  <c r="AZ55" i="8"/>
  <c r="D15" i="9"/>
  <c r="D49" i="5"/>
  <c r="E49" i="5" s="1"/>
  <c r="AZ41" i="8"/>
  <c r="N29" i="7"/>
  <c r="H14" i="20" s="1"/>
  <c r="G24" i="7"/>
  <c r="N10" i="7"/>
  <c r="H13" i="20" s="1"/>
  <c r="F14" i="9"/>
  <c r="AZ24" i="8"/>
  <c r="D59" i="5"/>
  <c r="H14" i="9"/>
  <c r="AZ25" i="8"/>
  <c r="N42" i="7"/>
  <c r="D15" i="20" s="1"/>
  <c r="U60" i="7"/>
  <c r="D16" i="21" s="1"/>
  <c r="U42" i="7"/>
  <c r="D15" i="21" s="1"/>
  <c r="N47" i="7"/>
  <c r="H15" i="20" s="1"/>
  <c r="G65" i="7"/>
  <c r="D50" i="5"/>
  <c r="E50" i="5" s="1"/>
  <c r="D68" i="5"/>
  <c r="E68" i="5" s="1"/>
  <c r="D46" i="5"/>
  <c r="D41" i="5"/>
  <c r="D48" i="5"/>
  <c r="E48" i="5" s="1"/>
  <c r="K13" i="5"/>
  <c r="L13" i="5" s="1"/>
  <c r="D42" i="5"/>
  <c r="D47" i="5"/>
  <c r="C53" i="5"/>
  <c r="F46" i="5" s="1"/>
  <c r="D61" i="5"/>
  <c r="E61" i="5" s="1"/>
  <c r="D67" i="5"/>
  <c r="E67" i="5" s="1"/>
  <c r="D66" i="5"/>
  <c r="E66" i="5" s="1"/>
  <c r="D65" i="5"/>
  <c r="E64" i="5" s="1"/>
  <c r="C71" i="5"/>
  <c r="F64" i="5" s="1"/>
  <c r="D43" i="5"/>
  <c r="E43" i="5" s="1"/>
  <c r="D60" i="5"/>
  <c r="D69" i="5"/>
  <c r="E69" i="5" s="1"/>
  <c r="E10" i="7"/>
  <c r="F13" i="9"/>
  <c r="R5" i="5"/>
  <c r="R6" i="5"/>
  <c r="R7" i="5"/>
  <c r="S7" i="5" s="1"/>
  <c r="R10" i="5"/>
  <c r="R14" i="5"/>
  <c r="S14" i="5" s="1"/>
  <c r="R13" i="5"/>
  <c r="S13" i="5" s="1"/>
  <c r="J17" i="5"/>
  <c r="L7" i="5"/>
  <c r="K5" i="5"/>
  <c r="K15" i="5"/>
  <c r="L15" i="5" s="1"/>
  <c r="BC7" i="6"/>
  <c r="BC9" i="6"/>
  <c r="J71" i="5"/>
  <c r="M61" i="5" s="1"/>
  <c r="N61" i="5" s="1"/>
  <c r="F9" i="20" s="1"/>
  <c r="K60" i="5"/>
  <c r="K69" i="5"/>
  <c r="L69" i="5" s="1"/>
  <c r="K67" i="5"/>
  <c r="L67" i="5" s="1"/>
  <c r="K59" i="5"/>
  <c r="K61" i="5"/>
  <c r="L61" i="5" s="1"/>
  <c r="K64" i="5"/>
  <c r="K68" i="5"/>
  <c r="L68" i="5" s="1"/>
  <c r="K65" i="5"/>
  <c r="K49" i="5"/>
  <c r="L49" i="5" s="1"/>
  <c r="K41" i="5"/>
  <c r="K42" i="5"/>
  <c r="K46" i="5"/>
  <c r="J53" i="5"/>
  <c r="K47" i="5"/>
  <c r="K50" i="5"/>
  <c r="L50" i="5" s="1"/>
  <c r="K51" i="5"/>
  <c r="L51" i="5" s="1"/>
  <c r="R50" i="5"/>
  <c r="S50" i="5" s="1"/>
  <c r="R49" i="5"/>
  <c r="S49" i="5" s="1"/>
  <c r="R47" i="5"/>
  <c r="Q53" i="5"/>
  <c r="R42" i="5"/>
  <c r="R41" i="5"/>
  <c r="R46" i="5"/>
  <c r="R51" i="5"/>
  <c r="S51" i="5" s="1"/>
  <c r="R43" i="5"/>
  <c r="S43" i="5" s="1"/>
  <c r="K11" i="5"/>
  <c r="K10" i="5"/>
  <c r="K6" i="5"/>
  <c r="K14" i="5"/>
  <c r="L14" i="5" s="1"/>
  <c r="K30" i="5"/>
  <c r="L30" i="5" s="1"/>
  <c r="R64" i="5"/>
  <c r="R66" i="5"/>
  <c r="S66" i="5" s="1"/>
  <c r="K29" i="5"/>
  <c r="K23" i="5"/>
  <c r="R61" i="5"/>
  <c r="S61" i="5" s="1"/>
  <c r="Q71" i="5"/>
  <c r="R65" i="5"/>
  <c r="R60" i="5"/>
  <c r="R59" i="5"/>
  <c r="R69" i="5"/>
  <c r="S69" i="5" s="1"/>
  <c r="R68" i="5"/>
  <c r="S68" i="5" s="1"/>
  <c r="F25" i="5"/>
  <c r="G25" i="5" s="1"/>
  <c r="F7" i="9" s="1"/>
  <c r="F23" i="5"/>
  <c r="D23" i="5"/>
  <c r="D28" i="5"/>
  <c r="D25" i="5"/>
  <c r="E25" i="5" s="1"/>
  <c r="D24" i="5"/>
  <c r="D33" i="5"/>
  <c r="E33" i="5" s="1"/>
  <c r="D30" i="5"/>
  <c r="E30" i="5" s="1"/>
  <c r="K32" i="5"/>
  <c r="L32" i="5" s="1"/>
  <c r="D31" i="5"/>
  <c r="E31" i="5" s="1"/>
  <c r="D29" i="5"/>
  <c r="D32" i="5"/>
  <c r="E32" i="5" s="1"/>
  <c r="R24" i="5"/>
  <c r="R31" i="5"/>
  <c r="S31" i="5" s="1"/>
  <c r="R23" i="5"/>
  <c r="R30" i="5"/>
  <c r="S30" i="5" s="1"/>
  <c r="R33" i="5"/>
  <c r="S33" i="5" s="1"/>
  <c r="R29" i="5"/>
  <c r="Q35" i="5"/>
  <c r="R28" i="5"/>
  <c r="K31" i="5"/>
  <c r="L31" i="5" s="1"/>
  <c r="M25" i="5"/>
  <c r="K28" i="5"/>
  <c r="K24" i="5"/>
  <c r="F29" i="5"/>
  <c r="F24" i="5"/>
  <c r="F28" i="5"/>
  <c r="D6" i="5"/>
  <c r="E5" i="5" s="1"/>
  <c r="D7" i="5"/>
  <c r="E7" i="5" s="1"/>
  <c r="C17" i="5"/>
  <c r="D15" i="5"/>
  <c r="E15" i="5" s="1"/>
  <c r="D14" i="5"/>
  <c r="E14" i="5" s="1"/>
  <c r="D12" i="5"/>
  <c r="E12" i="5" s="1"/>
  <c r="D13" i="5"/>
  <c r="E13" i="5" s="1"/>
  <c r="D11" i="5"/>
  <c r="D10" i="5"/>
  <c r="BB9" i="8" l="1"/>
  <c r="H13" i="21"/>
  <c r="BB7" i="8"/>
  <c r="S5" i="5"/>
  <c r="BB41" i="8"/>
  <c r="BB73" i="8"/>
  <c r="BB55" i="8"/>
  <c r="BB25" i="8"/>
  <c r="BB39" i="8"/>
  <c r="T6" i="5"/>
  <c r="T7" i="5"/>
  <c r="U7" i="5" s="1"/>
  <c r="F5" i="21" s="1"/>
  <c r="D14" i="9"/>
  <c r="F59" i="5"/>
  <c r="BA9" i="8"/>
  <c r="BA57" i="8"/>
  <c r="BA71" i="8"/>
  <c r="BA56" i="6"/>
  <c r="BA41" i="8"/>
  <c r="BA39" i="8"/>
  <c r="BA25" i="8"/>
  <c r="M42" i="5"/>
  <c r="M43" i="5"/>
  <c r="N43" i="5" s="1"/>
  <c r="F8" i="20" s="1"/>
  <c r="M10" i="5"/>
  <c r="M7" i="5"/>
  <c r="N7" i="5" s="1"/>
  <c r="F5" i="20" s="1"/>
  <c r="E46" i="5"/>
  <c r="F65" i="5"/>
  <c r="G64" i="5" s="1"/>
  <c r="H9" i="9" s="1"/>
  <c r="E41" i="5"/>
  <c r="H16" i="9"/>
  <c r="AZ57" i="8"/>
  <c r="S64" i="5"/>
  <c r="F42" i="5"/>
  <c r="E59" i="5"/>
  <c r="F41" i="5"/>
  <c r="AZ23" i="8"/>
  <c r="G23" i="5"/>
  <c r="D7" i="9" s="1"/>
  <c r="E23" i="5"/>
  <c r="T11" i="5"/>
  <c r="F43" i="5"/>
  <c r="G43" i="5" s="1"/>
  <c r="T10" i="5"/>
  <c r="F47" i="5"/>
  <c r="G46" i="5" s="1"/>
  <c r="F61" i="5"/>
  <c r="G61" i="5" s="1"/>
  <c r="F9" i="9" s="1"/>
  <c r="F60" i="5"/>
  <c r="F5" i="5"/>
  <c r="F6" i="5"/>
  <c r="AZ24" i="6"/>
  <c r="H13" i="9"/>
  <c r="D13" i="9"/>
  <c r="M11" i="5"/>
  <c r="M65" i="5"/>
  <c r="M5" i="5"/>
  <c r="M6" i="5"/>
  <c r="L5" i="5"/>
  <c r="S46" i="5"/>
  <c r="S10" i="5"/>
  <c r="G28" i="5"/>
  <c r="H7" i="9" s="1"/>
  <c r="L10" i="5"/>
  <c r="M60" i="5"/>
  <c r="L41" i="5"/>
  <c r="M46" i="5"/>
  <c r="M59" i="5"/>
  <c r="M64" i="5"/>
  <c r="L59" i="5"/>
  <c r="L64" i="5"/>
  <c r="L46" i="5"/>
  <c r="M41" i="5"/>
  <c r="M47" i="5"/>
  <c r="S59" i="5"/>
  <c r="S41" i="5"/>
  <c r="T47" i="5"/>
  <c r="T42" i="5"/>
  <c r="T46" i="5"/>
  <c r="T41" i="5"/>
  <c r="T43" i="5"/>
  <c r="U43" i="5" s="1"/>
  <c r="F8" i="21" s="1"/>
  <c r="L23" i="5"/>
  <c r="L28" i="5"/>
  <c r="E28" i="5"/>
  <c r="T60" i="5"/>
  <c r="T61" i="5"/>
  <c r="U61" i="5" s="1"/>
  <c r="F9" i="21" s="1"/>
  <c r="T64" i="5"/>
  <c r="T59" i="5"/>
  <c r="T65" i="5"/>
  <c r="S28" i="5"/>
  <c r="T29" i="5"/>
  <c r="T28" i="5"/>
  <c r="T23" i="5"/>
  <c r="T24" i="5"/>
  <c r="T25" i="5"/>
  <c r="U25" i="5" s="1"/>
  <c r="F7" i="21" s="1"/>
  <c r="S23" i="5"/>
  <c r="N25" i="5"/>
  <c r="F7" i="20" s="1"/>
  <c r="M24" i="5"/>
  <c r="M23" i="5"/>
  <c r="M28" i="5"/>
  <c r="M29" i="5"/>
  <c r="E10" i="5"/>
  <c r="F10" i="5"/>
  <c r="F11" i="5"/>
  <c r="F7" i="5"/>
  <c r="G7" i="5" s="1"/>
  <c r="N41" i="5" l="1"/>
  <c r="D8" i="20" s="1"/>
  <c r="G5" i="5"/>
  <c r="G59" i="5"/>
  <c r="D9" i="9" s="1"/>
  <c r="BB24" i="6"/>
  <c r="BB56" i="6"/>
  <c r="BB40" i="6"/>
  <c r="BB8" i="6"/>
  <c r="U5" i="5"/>
  <c r="D5" i="21" s="1"/>
  <c r="U10" i="5"/>
  <c r="H5" i="21" s="1"/>
  <c r="H8" i="9"/>
  <c r="AZ40" i="6"/>
  <c r="BA24" i="6"/>
  <c r="BA8" i="6"/>
  <c r="BA40" i="6"/>
  <c r="N10" i="5"/>
  <c r="H5" i="20" s="1"/>
  <c r="AZ23" i="6"/>
  <c r="F8" i="9"/>
  <c r="AZ41" i="6"/>
  <c r="G41" i="5"/>
  <c r="AZ57" i="6"/>
  <c r="AZ8" i="6"/>
  <c r="F5" i="9"/>
  <c r="AZ25" i="6"/>
  <c r="AZ56" i="6"/>
  <c r="N5" i="5"/>
  <c r="D5" i="20" s="1"/>
  <c r="N64" i="5"/>
  <c r="H9" i="20" s="1"/>
  <c r="N59" i="5"/>
  <c r="D9" i="20" s="1"/>
  <c r="N46" i="5"/>
  <c r="H8" i="20" s="1"/>
  <c r="U41" i="5"/>
  <c r="D8" i="21" s="1"/>
  <c r="U46" i="5"/>
  <c r="H8" i="21" s="1"/>
  <c r="U28" i="5"/>
  <c r="H7" i="21" s="1"/>
  <c r="U64" i="5"/>
  <c r="H9" i="21" s="1"/>
  <c r="N23" i="5"/>
  <c r="D7" i="20" s="1"/>
  <c r="U59" i="5"/>
  <c r="D9" i="21" s="1"/>
  <c r="N28" i="5"/>
  <c r="H7" i="20" s="1"/>
  <c r="U23" i="5"/>
  <c r="D7" i="21" s="1"/>
  <c r="G10" i="5"/>
  <c r="BB39" i="6" l="1"/>
  <c r="AZ55" i="6"/>
  <c r="BB23" i="6"/>
  <c r="BB57" i="6"/>
  <c r="BB25" i="6"/>
  <c r="BB9" i="6"/>
  <c r="BB55" i="6"/>
  <c r="BB41" i="6"/>
  <c r="BB7" i="6"/>
  <c r="D5" i="9"/>
  <c r="D8" i="9"/>
  <c r="BA23" i="6"/>
  <c r="BA55" i="6"/>
  <c r="BA9" i="6"/>
  <c r="BA41" i="6"/>
  <c r="BA39" i="6"/>
  <c r="BA25" i="6"/>
  <c r="BA57" i="6"/>
  <c r="BA7" i="6"/>
  <c r="AZ39" i="6"/>
  <c r="AZ9" i="6"/>
  <c r="H5" i="9"/>
  <c r="AZ7" i="6"/>
</calcChain>
</file>

<file path=xl/comments1.xml><?xml version="1.0" encoding="utf-8"?>
<comments xmlns="http://schemas.openxmlformats.org/spreadsheetml/2006/main">
  <authors>
    <author>Jennifer Norman</author>
  </authors>
  <commentList>
    <comment ref="G2" authorId="0" shapeId="0">
      <text>
        <r>
          <rPr>
            <b/>
            <sz val="9"/>
            <color indexed="81"/>
            <rFont val="Tahoma"/>
            <family val="2"/>
          </rPr>
          <t>(NUMERICAL INDICATORS ONLY)</t>
        </r>
      </text>
    </comment>
    <comment ref="K2" authorId="0" shapeId="0">
      <text>
        <r>
          <rPr>
            <b/>
            <sz val="9"/>
            <color indexed="81"/>
            <rFont val="Tahoma"/>
            <family val="2"/>
          </rPr>
          <t>(NUMERICAL INDICATORS ONLY)</t>
        </r>
      </text>
    </comment>
    <comment ref="L2" authorId="0" shapeId="0">
      <text>
        <r>
          <rPr>
            <b/>
            <sz val="9"/>
            <color indexed="81"/>
            <rFont val="Tahoma"/>
            <family val="2"/>
          </rPr>
          <t>(NUMERICAL INDICATORS ONLY)</t>
        </r>
      </text>
    </comment>
    <comment ref="P2" authorId="0" shapeId="0">
      <text>
        <r>
          <rPr>
            <b/>
            <sz val="9"/>
            <color indexed="81"/>
            <rFont val="Tahoma"/>
            <family val="2"/>
          </rPr>
          <t>(NUMERICAL INDICATORS ONLY)</t>
        </r>
      </text>
    </comment>
    <comment ref="Q2" authorId="0" shapeId="0">
      <text>
        <r>
          <rPr>
            <b/>
            <sz val="9"/>
            <color indexed="81"/>
            <rFont val="Tahoma"/>
            <family val="2"/>
          </rPr>
          <t>(NUMERICAL INDICATORS ONLY)</t>
        </r>
      </text>
    </comment>
    <comment ref="U2" authorId="0" shapeId="0">
      <text>
        <r>
          <rPr>
            <b/>
            <sz val="9"/>
            <color indexed="81"/>
            <rFont val="Tahoma"/>
            <family val="2"/>
          </rPr>
          <t>(NUMERICAL INDICATORS ONLY)</t>
        </r>
      </text>
    </comment>
  </commentList>
</comments>
</file>

<file path=xl/comments2.xml><?xml version="1.0" encoding="utf-8"?>
<comments xmlns="http://schemas.openxmlformats.org/spreadsheetml/2006/main">
  <authors>
    <author>Jennifer Norman</author>
  </authors>
  <commentList>
    <comment ref="G1" authorId="0" shapeId="0">
      <text>
        <r>
          <rPr>
            <b/>
            <sz val="9"/>
            <color indexed="81"/>
            <rFont val="Tahoma"/>
            <family val="2"/>
          </rPr>
          <t>Please note that all charts shown below can be amended to be displayed in alternative styles. Please right click on the relevant chart, select "change chart type" and choose your preferred chart option.</t>
        </r>
      </text>
    </comment>
  </commentList>
</comments>
</file>

<file path=xl/comments3.xml><?xml version="1.0" encoding="utf-8"?>
<comments xmlns="http://schemas.openxmlformats.org/spreadsheetml/2006/main">
  <authors>
    <author>Jennifer Norman</author>
  </authors>
  <commentList>
    <comment ref="F1" authorId="0" shapeId="0">
      <text>
        <r>
          <rPr>
            <b/>
            <sz val="9"/>
            <color indexed="81"/>
            <rFont val="Tahoma"/>
            <family val="2"/>
          </rPr>
          <t>Please note that all charts shown below can be amended to be displayed in alternative styles. Please right click on the relevant chart, select "change chart type" and choose your preferred chart option.</t>
        </r>
        <r>
          <rPr>
            <sz val="9"/>
            <color indexed="81"/>
            <rFont val="Tahoma"/>
            <family val="2"/>
          </rPr>
          <t xml:space="preserve">
</t>
        </r>
      </text>
    </comment>
  </commentList>
</comments>
</file>

<file path=xl/sharedStrings.xml><?xml version="1.0" encoding="utf-8"?>
<sst xmlns="http://schemas.openxmlformats.org/spreadsheetml/2006/main" count="2593" uniqueCount="521">
  <si>
    <t>Measures</t>
  </si>
  <si>
    <t>Target 2019/20</t>
  </si>
  <si>
    <t>Increasing Staffing Availability Through Reduced Sickness</t>
  </si>
  <si>
    <t>Portfolio</t>
  </si>
  <si>
    <t>Service</t>
  </si>
  <si>
    <t>Qtr</t>
  </si>
  <si>
    <t>Q4</t>
  </si>
  <si>
    <t>Q1</t>
  </si>
  <si>
    <t>Q2</t>
  </si>
  <si>
    <t>Q3</t>
  </si>
  <si>
    <t>Team</t>
  </si>
  <si>
    <t>Reporting Officer</t>
  </si>
  <si>
    <t>Target Date</t>
  </si>
  <si>
    <t>Quarter 1 On Track? (R/A/G)</t>
  </si>
  <si>
    <t>Comments / Further action (Q1)
(IF APPLICABLE)</t>
  </si>
  <si>
    <t>Update not provided</t>
  </si>
  <si>
    <t>Fully Achieved</t>
  </si>
  <si>
    <t>Numerical Outturn Within 5% Tolerance</t>
  </si>
  <si>
    <t>Numerical Outturn Within 10% Tolerance</t>
  </si>
  <si>
    <t>Target Partially Met</t>
  </si>
  <si>
    <t>Off Target</t>
  </si>
  <si>
    <t>Completed Significantly After Target Deadline</t>
  </si>
  <si>
    <t>Completion Date Within Reasonable Tolerance</t>
  </si>
  <si>
    <t>Deferred</t>
  </si>
  <si>
    <t>Deleted</t>
  </si>
  <si>
    <t>On Track to be Achieved</t>
  </si>
  <si>
    <t>In Danger of Falling Behind Target</t>
  </si>
  <si>
    <t>Completed Behind Schedule</t>
  </si>
  <si>
    <t>Update Not Provided</t>
  </si>
  <si>
    <t>Not Yet Due</t>
  </si>
  <si>
    <t>Quarter 2
 On Track? (R/A/G)</t>
  </si>
  <si>
    <t>Comments / Further action (Q2)
(IF APPLICABLE)</t>
  </si>
  <si>
    <t>Quarter 3 
On Track? (R/A/G)</t>
  </si>
  <si>
    <t>Comments / Further action (Q3)
(IF APPLICABLE)</t>
  </si>
  <si>
    <t>Comments / Further action (Q4)
(IF APPLICABLE)</t>
  </si>
  <si>
    <t>ALL TARGETS</t>
  </si>
  <si>
    <t>Status</t>
  </si>
  <si>
    <t>Number of measures</t>
  </si>
  <si>
    <t>% of all indicators</t>
  </si>
  <si>
    <t>Total % of all indicators</t>
  </si>
  <si>
    <t>% of due indicators</t>
  </si>
  <si>
    <t>Total % of due indicators</t>
  </si>
  <si>
    <t>Target Fully Achieved</t>
  </si>
  <si>
    <t>Not yet due to be reported</t>
  </si>
  <si>
    <t>Back to index</t>
  </si>
  <si>
    <t>Totals</t>
  </si>
  <si>
    <t>Due to be Reported</t>
  </si>
  <si>
    <t>Charts by Corporate Priority</t>
  </si>
  <si>
    <t>OVERALL PERFORMANCE</t>
  </si>
  <si>
    <t>Green</t>
  </si>
  <si>
    <t>Amber</t>
  </si>
  <si>
    <t>Red</t>
  </si>
  <si>
    <t>Number of Indicators</t>
  </si>
  <si>
    <t>Percentage</t>
  </si>
  <si>
    <t>Overall Performance</t>
  </si>
  <si>
    <t>All due targets</t>
  </si>
  <si>
    <t>Corporate Priority</t>
  </si>
  <si>
    <t>Charts by Portfolio</t>
  </si>
  <si>
    <t>CP Ref</t>
  </si>
  <si>
    <t>Quarter 1 On track? (R/A/G)</t>
  </si>
  <si>
    <t>Direction of Travel From Q1 to Q2</t>
  </si>
  <si>
    <t>Quarter 2 On track? (R/A/G)</t>
  </si>
  <si>
    <t>Direction of Travel From Q2 to Q3</t>
  </si>
  <si>
    <t>Quarter 3 On track? (R/A/G)</t>
  </si>
  <si>
    <t>Direction of Travel From Q3 to Q4</t>
  </si>
  <si>
    <t>Quarter 4 Achieved? (R/A/G)</t>
  </si>
  <si>
    <t>n/a</t>
  </si>
  <si>
    <t>Ü</t>
  </si>
  <si>
    <t>è</t>
  </si>
  <si>
    <t>Ý</t>
  </si>
  <si>
    <t>Þ</t>
  </si>
  <si>
    <t>ê</t>
  </si>
  <si>
    <t>é</t>
  </si>
  <si>
    <t>End of Year Achieved?
(R/A/G)</t>
  </si>
  <si>
    <t>Average time from appointment to initial decision for homeless applicants of 3 days</t>
  </si>
  <si>
    <t>Quarter 2 
(July - September 2021)</t>
  </si>
  <si>
    <t>QUARTER 2: July - September 2021</t>
  </si>
  <si>
    <t>Quarter 3
(October - December 2021)</t>
  </si>
  <si>
    <t>QUARTER 3: October - December 2021</t>
  </si>
  <si>
    <t>Quarter 4
(January - March 2022)</t>
  </si>
  <si>
    <t>QUARTER 4: January - March 2022</t>
  </si>
  <si>
    <t>Developing Tourism within the Borough</t>
  </si>
  <si>
    <t>Improve the Washlands as a regional attraction</t>
  </si>
  <si>
    <t>Support economic growth in East Staffordshire</t>
  </si>
  <si>
    <t>Developing Healthy Lifestyles</t>
  </si>
  <si>
    <t>Improve On The Average Time To Pay Creditors</t>
  </si>
  <si>
    <t>Michael Hovers</t>
  </si>
  <si>
    <t>James Abbott</t>
  </si>
  <si>
    <t>Naomi Perry</t>
  </si>
  <si>
    <t>Margaret Woolley</t>
  </si>
  <si>
    <t>Rachel Liddle</t>
  </si>
  <si>
    <t>Paul Farrer</t>
  </si>
  <si>
    <t>Brett Atkinson</t>
  </si>
  <si>
    <t>Reference Number</t>
  </si>
  <si>
    <t>Tourism and Cultural Development</t>
  </si>
  <si>
    <t>Environment and Climate Change</t>
  </si>
  <si>
    <t>End of year forecast as at end of Q1</t>
  </si>
  <si>
    <t>Year to date
(April - Sept 2021)</t>
  </si>
  <si>
    <t>End of year forecast as at end of Q2</t>
  </si>
  <si>
    <t>Year to date
(April - Dec 2021)</t>
  </si>
  <si>
    <t>End of year forecast as at end of Q3</t>
  </si>
  <si>
    <t xml:space="preserve">Cumulative Annual Outturn </t>
  </si>
  <si>
    <t>CP Order</t>
  </si>
  <si>
    <t>Deliver the Burton upon Trent High Street Regeneration Project</t>
  </si>
  <si>
    <t>Take forward regeneration in Uttoxeter</t>
  </si>
  <si>
    <t>Supporting Sport and Leisure Delivery</t>
  </si>
  <si>
    <t>Improve Performance On Waste Reduction</t>
  </si>
  <si>
    <t>Residual Household Waste Per Household: Upper Quartile</t>
  </si>
  <si>
    <t>Household Waste Recycled and Composted: Upper Quartile</t>
  </si>
  <si>
    <t>Further Enhancing Corporate Communications</t>
  </si>
  <si>
    <t>Delivering Better Services to Support the Cost of Living Crisis</t>
  </si>
  <si>
    <t>Enhancing Procurement and Contract Management Processes</t>
  </si>
  <si>
    <t>Improving Financial Stewardship</t>
  </si>
  <si>
    <t>Approve the revised Treasury Management Strategy</t>
  </si>
  <si>
    <t>Approve the revised Medium Term Financial Strategy</t>
  </si>
  <si>
    <t>Kelly Kerr-Delworth</t>
  </si>
  <si>
    <t>Regeneration and Development</t>
  </si>
  <si>
    <t>Communities and Regulatory Services</t>
  </si>
  <si>
    <t>Finance and Treasury Management</t>
  </si>
  <si>
    <t>Objective</t>
  </si>
  <si>
    <t>Tackling Envirocrime</t>
  </si>
  <si>
    <t>Complete the annual review of the Local Plan</t>
  </si>
  <si>
    <t>Creating a prosperous East Staffordshire</t>
  </si>
  <si>
    <t>Developing a Green New Deal for East Staffordshire</t>
  </si>
  <si>
    <t>Protecting our heritage</t>
  </si>
  <si>
    <t>Standing up for our communities</t>
  </si>
  <si>
    <t>Improving Local Democracy</t>
  </si>
  <si>
    <t>Other</t>
  </si>
  <si>
    <t xml:space="preserve">Communities and Regulatory Services </t>
  </si>
  <si>
    <t>Leader</t>
  </si>
  <si>
    <t>Cabinet Member Portfolio</t>
  </si>
  <si>
    <t>Scrutiny Committee</t>
  </si>
  <si>
    <t>QUARTER TWO (July - Sept 2023)</t>
  </si>
  <si>
    <t>QUARTER THREE (Oct - Dec 2023)</t>
  </si>
  <si>
    <t>QUARTER FOUR (Jan - Mar 2024)</t>
  </si>
  <si>
    <t>Quarter Four (2023/24)</t>
  </si>
  <si>
    <t xml:space="preserve">Developing a Green New Deal </t>
  </si>
  <si>
    <t>Value for Money</t>
  </si>
  <si>
    <t>Climate change and environment</t>
  </si>
  <si>
    <t>Nathan Gallagher</t>
  </si>
  <si>
    <t>Owen Hurcombe</t>
  </si>
  <si>
    <t>Health and Wellbeing</t>
  </si>
  <si>
    <t>Multiple</t>
  </si>
  <si>
    <t>Climate Change and Environment</t>
  </si>
  <si>
    <t>Y</t>
  </si>
  <si>
    <t>ILD01</t>
  </si>
  <si>
    <t>Improving links between the Parish Councils and ESBC</t>
  </si>
  <si>
    <t>Hold 2 Parish Council Forum events during the year with one event covering Climate Change as a key issue</t>
  </si>
  <si>
    <t>ILD02</t>
  </si>
  <si>
    <t>Car Parking Initiatives</t>
  </si>
  <si>
    <t>Consider findings of a consultation on potential non-cash parking payment options</t>
  </si>
  <si>
    <t>ILD03</t>
  </si>
  <si>
    <t>Delivering a high quality Planning service</t>
  </si>
  <si>
    <t xml:space="preserve">Refresh the Member Call In procedures for planning applications and update the Constitution accordingly </t>
  </si>
  <si>
    <t>ILD04</t>
  </si>
  <si>
    <t>ILD05</t>
  </si>
  <si>
    <t>ILD06</t>
  </si>
  <si>
    <t>Implementation of the recommendations contained within the Auditor’s Annual Report for 2022/23</t>
  </si>
  <si>
    <t>ILD07</t>
  </si>
  <si>
    <t>Non-ringfenced reserves as a % of Net Revenue Expenditure (OFLOG Indicator): at least 10%</t>
  </si>
  <si>
    <t>ILD08</t>
  </si>
  <si>
    <t>Non-ringfenced reserves as a % of service spend (OFLOG Indicator): at least 8%</t>
  </si>
  <si>
    <t>ILD09</t>
  </si>
  <si>
    <t>Proactively respond to consultations relating to significant Local Government Finance Changes</t>
  </si>
  <si>
    <t>ILD10</t>
  </si>
  <si>
    <t>Close the 2021/22 and 2022/23 accounts and meet required deadlines for the 2023/24 accounts</t>
  </si>
  <si>
    <t>ILD11</t>
  </si>
  <si>
    <t>Approve a revised Risk Management Policy</t>
  </si>
  <si>
    <t>ILD12</t>
  </si>
  <si>
    <t>Review the Council’s Financial Regulations</t>
  </si>
  <si>
    <t>ILD13</t>
  </si>
  <si>
    <t>Improving Local Democracy and Consultation</t>
  </si>
  <si>
    <t>Consider whether there is a suitable topic that may benefit from the attention of the Citizen’s jury model</t>
  </si>
  <si>
    <t>ILD14</t>
  </si>
  <si>
    <t>Embed Livestreaming into other Council Committee meetings</t>
  </si>
  <si>
    <t>ILD15</t>
  </si>
  <si>
    <t>Successful Delivery of Elections</t>
  </si>
  <si>
    <t>PFCC election successfully delivered as PARO</t>
  </si>
  <si>
    <t>ILD16</t>
  </si>
  <si>
    <t>General Election successfully delivered</t>
  </si>
  <si>
    <t>ILD17</t>
  </si>
  <si>
    <t>Enhancing Corporate Services</t>
  </si>
  <si>
    <t xml:space="preserve">Offer opportunities for officers from across the Council to participate in Scrutiny Support </t>
  </si>
  <si>
    <t>ILD18</t>
  </si>
  <si>
    <t>Improving ICT</t>
  </si>
  <si>
    <t>Migrate 4 physical servers to virtual servers</t>
  </si>
  <si>
    <t>ILD19</t>
  </si>
  <si>
    <t>Complete a review of ICT requirements across all service areas</t>
  </si>
  <si>
    <t>PES01</t>
  </si>
  <si>
    <t>Conclude the feasibility of introducing ANPR into ESBC car parks</t>
  </si>
  <si>
    <t>PES02</t>
  </si>
  <si>
    <t xml:space="preserve">Review the delivery of car parking enforcement </t>
  </si>
  <si>
    <t>PES03</t>
  </si>
  <si>
    <t>Building a fairer local economy</t>
  </si>
  <si>
    <t>Agree the way forward for insourcing council services</t>
  </si>
  <si>
    <t>PES04</t>
  </si>
  <si>
    <t>Administer an increased Tourism Development Fund to support local attractions and Tourism sector businesses throughout the year</t>
  </si>
  <si>
    <t>PES05</t>
  </si>
  <si>
    <t xml:space="preserve">Lead on the investigation of a solution to promote and encourage walking and cycling </t>
  </si>
  <si>
    <t>PES06</t>
  </si>
  <si>
    <t>Monitor progress against the Tourism Development Framework action plan</t>
  </si>
  <si>
    <t>PES07</t>
  </si>
  <si>
    <t>Deliver Council-wide Marketing Campaigns</t>
  </si>
  <si>
    <t>Deliver a minimum of four marketing campaigns, promoting council services and/or East Staffordshire</t>
  </si>
  <si>
    <t>PES08</t>
  </si>
  <si>
    <t>Continue the success of the initial Burton Music Collective project, with a follow up live music programme or event</t>
  </si>
  <si>
    <t>PES09</t>
  </si>
  <si>
    <t>Keeping the Arts Accessible</t>
  </si>
  <si>
    <t xml:space="preserve">Deliver a minimum of 6 outdoor events in Burton and Uttoxeter </t>
  </si>
  <si>
    <t>PES10</t>
  </si>
  <si>
    <t>Complete the purchase of the Maltings Precinct</t>
  </si>
  <si>
    <t>PES11</t>
  </si>
  <si>
    <t>Complete RIBA Stage 2 (Concept Design) for the Maltings Regeneration Project and brief Members, following public consultation</t>
  </si>
  <si>
    <t>PES12</t>
  </si>
  <si>
    <t>Submit a planning application for the Maltings Regeneration Project</t>
  </si>
  <si>
    <t>PES13</t>
  </si>
  <si>
    <t>Administer a second round of the Boosting Business Programme throughout the year with a minimum of £100,000 of funding available</t>
  </si>
  <si>
    <t>PES14</t>
  </si>
  <si>
    <t xml:space="preserve">Delivering a high quality Planning service </t>
  </si>
  <si>
    <t>Improve on the percentage of major applications determined with statutory timeframes against a 2023 baseline (36.84%)</t>
  </si>
  <si>
    <t>PES15</t>
  </si>
  <si>
    <t>Improve on the percentage of non-major applications determined with statutory timeframes against a 2023 baseline (42.32%)</t>
  </si>
  <si>
    <t>PES16</t>
  </si>
  <si>
    <t>Launch updated pre-application advice service</t>
  </si>
  <si>
    <t>PES17</t>
  </si>
  <si>
    <t>PES18</t>
  </si>
  <si>
    <t>a.     Deliver a minimum of 6 Business e-newsletters
b.     Deliver a minimum of 12 Resident e-newsletters</t>
  </si>
  <si>
    <t>PES19</t>
  </si>
  <si>
    <t>Undertake website accessibility testing to identify further enhancements to ensure it is fit for purpose</t>
  </si>
  <si>
    <t>PES20</t>
  </si>
  <si>
    <t xml:space="preserve">Revised Contract Procedure Rules approved by Council, including (if Procurement Act implemented by national government) updated Procurement Policy </t>
  </si>
  <si>
    <t>PES21</t>
  </si>
  <si>
    <t>Recruit an apprentice to support the work of the Corporate and Commercial team</t>
  </si>
  <si>
    <t>PES22</t>
  </si>
  <si>
    <t>Improving Council Assets</t>
  </si>
  <si>
    <t>Replace the shutters on the Yeoman’s Industrial estate</t>
  </si>
  <si>
    <t>GND01</t>
  </si>
  <si>
    <t xml:space="preserve">Plot and map the deployment of the mobile CCTV provision over the course of 23/24 and review and report on the results of those deployments </t>
  </si>
  <si>
    <t>GND02</t>
  </si>
  <si>
    <t>Undertake further ‘Tackle the Tippers Campaign’ initiatives in any newly identified fly-tipping hotspots and report progress</t>
  </si>
  <si>
    <t>GND03</t>
  </si>
  <si>
    <t>Succeed at In Bloom Awards</t>
  </si>
  <si>
    <t>Deliver the In Bloom awards and maintain a minimum of three Gold awards across all categories</t>
  </si>
  <si>
    <t>GND04</t>
  </si>
  <si>
    <t>Burton and Winshill to achieve Silver Gilt or higher at the National in Bloom awards</t>
  </si>
  <si>
    <t>GND05</t>
  </si>
  <si>
    <t>Succeed at It’s Your Neighbourhood Awards (IYN)</t>
  </si>
  <si>
    <t>Enter a minimum of 30 Parks and achieve a Silver gilt or higher standard in 80% of all entries</t>
  </si>
  <si>
    <t>GND06</t>
  </si>
  <si>
    <t xml:space="preserve">Open Spaces Initiatives </t>
  </si>
  <si>
    <t>Review the Council’s Tree Policy</t>
  </si>
  <si>
    <t>GND07</t>
  </si>
  <si>
    <t>Open Spaces Initiatives</t>
  </si>
  <si>
    <t>Establish tree nurseries at the Go Garden (Uttoxeter) and the Horticulture Centre (Burton)</t>
  </si>
  <si>
    <t>GND08</t>
  </si>
  <si>
    <t>Pilot opportunities to enhance nature and biodiversity on parks and open spaces including reduced mowing regimes and wildflower planting</t>
  </si>
  <si>
    <t>GND09</t>
  </si>
  <si>
    <t>Evaluate the impact of replacing Glyphosate with alternative methods of dealing with weeds</t>
  </si>
  <si>
    <t>GND10</t>
  </si>
  <si>
    <t>Procure a mobile fly-tipping removal vehicle</t>
  </si>
  <si>
    <t>GND11</t>
  </si>
  <si>
    <t>Ensure that 75% of fly-tipping is removed within 5 working days of receipt of notice from the CCE team, for areas covered by Council</t>
  </si>
  <si>
    <t>GND12</t>
  </si>
  <si>
    <t>Maintain Performance For Street Cleansing (using NI195 survey 
methodology)</t>
  </si>
  <si>
    <t xml:space="preserve">a. Litter: 0% 
b. Detritus: 0% 
c. Graffiti: 0% 
d. Fly-posting: 0% </t>
  </si>
  <si>
    <t>GND13</t>
  </si>
  <si>
    <t xml:space="preserve">Minimise The Number Of Missed Bin Collections </t>
  </si>
  <si>
    <t>99.97% successful bin collections across the Borough</t>
  </si>
  <si>
    <t>GND14</t>
  </si>
  <si>
    <t>Separate Weekly Food Waste Collections</t>
  </si>
  <si>
    <t>Provide an update on the implementation of a weekly Food Waste collection service</t>
  </si>
  <si>
    <t>GND15</t>
  </si>
  <si>
    <t>Garden Waste Collections</t>
  </si>
  <si>
    <t>Implement a charging scheme for garden waste (Subscriptions to commence from October 2024)</t>
  </si>
  <si>
    <t>GND16</t>
  </si>
  <si>
    <t>Implement Climate Change Initiatives</t>
  </si>
  <si>
    <t>Following the identification of the Maltings as an appropriate site, implement the Papilio solar charging and EV charging hub</t>
  </si>
  <si>
    <t>GND17</t>
  </si>
  <si>
    <t>Research, consider and present possible staff incentives and infrastructure to encourage use of sustainable travel, such as electric vehicles or bicycles</t>
  </si>
  <si>
    <t>GND18</t>
  </si>
  <si>
    <t>Provide an annual update on the Council’s emissions, actions achieved and then recommend new actions and new targets including exploring schemes and incentives which would help support the potential decarbonisation (or improved sustainability) of the Council’s taxi fleet</t>
  </si>
  <si>
    <t>GND19</t>
  </si>
  <si>
    <t>Following the outcome of the energy audit, produce an options appraisal for implementation across different Council buildings</t>
  </si>
  <si>
    <t>GND20</t>
  </si>
  <si>
    <t>Produce an education programme to help individuals, parish councils, schools and other organisations calculate their carbon footprint and understand how to reduce it</t>
  </si>
  <si>
    <t>GND21</t>
  </si>
  <si>
    <t>Champion sustainability with an event or initiative to celebrate national Green Week</t>
  </si>
  <si>
    <t>GND22</t>
  </si>
  <si>
    <t xml:space="preserve">Practically complete the Washlands Enhancement Project capital works </t>
  </si>
  <si>
    <t>GND23</t>
  </si>
  <si>
    <t>Complete RIBA Stage 3 (Spatial Co-ordination) for the Washlands Visitor Centre and submit planning application</t>
  </si>
  <si>
    <t>POH01</t>
  </si>
  <si>
    <t>Utilising council assets</t>
  </si>
  <si>
    <t>Move the Licensing and Enforcement teams into Elms Lodge</t>
  </si>
  <si>
    <t>POH02</t>
  </si>
  <si>
    <t>Stapenhill Cemetery Improvements</t>
  </si>
  <si>
    <t>Begin the procurement stage for the work to deliver an expanded Stapenhill Cemetery</t>
  </si>
  <si>
    <t>POH03</t>
  </si>
  <si>
    <t>Safeguarding the Market Hall</t>
  </si>
  <si>
    <t>Complete the necessary repairs to the Market Hall roof</t>
  </si>
  <si>
    <t>POH04</t>
  </si>
  <si>
    <t>Report on the findings of the Market Hall consultation and establish the way ahead</t>
  </si>
  <si>
    <t>POH05</t>
  </si>
  <si>
    <t>Preserving the Brewhouse</t>
  </si>
  <si>
    <t>Commence repair works on the Brewhouse roof following the tender exercise</t>
  </si>
  <si>
    <t>POH06</t>
  </si>
  <si>
    <t>Complete RIBA Stage 2 (Concept Design) for the Reimagined Brewing Centre and Washlands Visitor Centre and brief Members and the Town Deal Board</t>
  </si>
  <si>
    <t>POH07</t>
  </si>
  <si>
    <t>Develop a funding bid for the Heritage Lottery Fund’s Heritage 2033 programme for the Reimagined Brewing Centre project</t>
  </si>
  <si>
    <t>POH08</t>
  </si>
  <si>
    <t>Complete RIBA Stage 3 (Spatial Co-ordination) for the Reimagined Brewing Centre and submit planning application</t>
  </si>
  <si>
    <t>POH09</t>
  </si>
  <si>
    <t>Complete RIBA Stage 4 (Technical Design) for the Reimagined Brewing Centre and brief Members and the Town Deal Board</t>
  </si>
  <si>
    <t>POH10</t>
  </si>
  <si>
    <t>Commence enhancement works at the Garden of Remembrance and agree a complementary improvement scheme for Andressey Passage</t>
  </si>
  <si>
    <t>COM01</t>
  </si>
  <si>
    <t>Enhancing our Communities</t>
  </si>
  <si>
    <t>Update on the first year of the Community Lottery</t>
  </si>
  <si>
    <t>COM02</t>
  </si>
  <si>
    <t>Deliver the Councillors Community Fund ensuring support for our communities</t>
  </si>
  <si>
    <t>COM03</t>
  </si>
  <si>
    <t>Deliver a Community Regeneration Fund (CRF) to help enhance local areas and update the application criteria</t>
  </si>
  <si>
    <t>COM04</t>
  </si>
  <si>
    <t>Protecting our Communities</t>
  </si>
  <si>
    <t>Implement Martyn’s Law ensuring residents’ and staff safety around public events including council meetings</t>
  </si>
  <si>
    <t>COM05</t>
  </si>
  <si>
    <t>Delivering Cost of Living Support</t>
  </si>
  <si>
    <t>Review and report on progress on delivery of cost of living support, including reducing fuel and food poverty and promote further engagement with low-income and vulnerable households</t>
  </si>
  <si>
    <t>COM06</t>
  </si>
  <si>
    <t>Delivering Housing and Homelessness Support</t>
  </si>
  <si>
    <t>Refresh the Housing Allocations Policy</t>
  </si>
  <si>
    <t>COM07</t>
  </si>
  <si>
    <t>COM08</t>
  </si>
  <si>
    <t>Reduce ‘Key to Key’ Void Turnaround to an average of 6 working days</t>
  </si>
  <si>
    <t>COM09</t>
  </si>
  <si>
    <t>Complete a review of the Supported Housing Sector</t>
  </si>
  <si>
    <t>COM10</t>
  </si>
  <si>
    <t>Development of Rough Sleeper Interventions</t>
  </si>
  <si>
    <t>Evaluate the existing DLUHC Rough Sleeper projects and make recommendations for next steps when funding for these end in March 2025</t>
  </si>
  <si>
    <t>COM11</t>
  </si>
  <si>
    <t>Backing our taxi drivers</t>
  </si>
  <si>
    <t xml:space="preserve">Review the fees for private hire and hackney carriage vehicles so as to bring them in line with current pricing </t>
  </si>
  <si>
    <t>COM12</t>
  </si>
  <si>
    <t>COM13</t>
  </si>
  <si>
    <t>Maintain Performance On Recycling</t>
  </si>
  <si>
    <t>COM14</t>
  </si>
  <si>
    <t>Preparing Waste Management for the Future</t>
  </si>
  <si>
    <t>Provide a plan on developments to deliver an upgraded (or new) Waste Depot</t>
  </si>
  <si>
    <t>COM15</t>
  </si>
  <si>
    <t>Support Everyone Active to:Support Everyone Active to:
a. Refresh the “Able Too” games;
b. Enhance the East Staffordshire Sports Awards</t>
  </si>
  <si>
    <t>COM16</t>
  </si>
  <si>
    <t>Deliver the programme of initiatives to reduce health inequalities</t>
  </si>
  <si>
    <t>COM17</t>
  </si>
  <si>
    <t>Managing Sport and Leisure Contracts</t>
  </si>
  <si>
    <t>Report on grant funding issued via East Staffordshire Sports Council on a quarterly basis through the Member briefing.</t>
  </si>
  <si>
    <t>COM18</t>
  </si>
  <si>
    <t>Regenerating for Communities</t>
  </si>
  <si>
    <t>Administer the final year of the UK Shared Prosperity Fund programme</t>
  </si>
  <si>
    <t>COM19</t>
  </si>
  <si>
    <t xml:space="preserve">Approve a Play Area Improvement Project through the UK Shared Prosperity Fund to deliver enhancements across 16 play areas in the Borough, one in each Ward </t>
  </si>
  <si>
    <t>COM20</t>
  </si>
  <si>
    <t xml:space="preserve">Update the Brownfield Regeneration Framework with a renewed focus on social housing regeneration </t>
  </si>
  <si>
    <t>COM21</t>
  </si>
  <si>
    <t xml:space="preserve">Identify at least one social housing regeneration project for funding through the updated Brownfield Regeneration Framework </t>
  </si>
  <si>
    <t>COM22</t>
  </si>
  <si>
    <t xml:space="preserve">Delivering Better Services to Support the Cost of Living Crisis </t>
  </si>
  <si>
    <t>Development and installation of system upgrades to support a digital portal, electronic forms and communications for Revenues and Benefits</t>
  </si>
  <si>
    <t>COM23</t>
  </si>
  <si>
    <t>Conduct a review of Local Council Tax Reduction Scheme to improve lives</t>
  </si>
  <si>
    <t>COM24</t>
  </si>
  <si>
    <t>Time Taken to Process Benefit New Claims and Change Events (Previously NI 181) 
Average time: 4.5 days</t>
  </si>
  <si>
    <t>COM25</t>
  </si>
  <si>
    <t>Continue to Maximise Income Through Effective Collection Processes</t>
  </si>
  <si>
    <t>Former Years Arrears for: 
ongoing reduction of all prior years debt of 
Council Tax: 25%
NNDR: 35%
Sundry Debts: 50%
HBOP: 30%</t>
  </si>
  <si>
    <t>COM26</t>
  </si>
  <si>
    <t>Continue to Maximise Income Through Effective Collection Processes (Previously BVPI 9 &amp; 10)</t>
  </si>
  <si>
    <t>Collection Rates of – 
Council Tax: 98% over 6 years
With an in year collection of 90%
NNDR: 99% over 6 years
With an in year collection of 92%</t>
  </si>
  <si>
    <t>COM27</t>
  </si>
  <si>
    <t>Short Term Sickness Days Average: Short Term Sickness Days Average:
[To be Agreed Post Outturn]</t>
  </si>
  <si>
    <t>COM28</t>
  </si>
  <si>
    <t>Average Time To Pay Creditors: 
[To be Agreed Post Outturn]</t>
  </si>
  <si>
    <t>James Hopwood</t>
  </si>
  <si>
    <t>Guy Thornhill</t>
  </si>
  <si>
    <t>John Teasdale</t>
  </si>
  <si>
    <t>Helen Bacon</t>
  </si>
  <si>
    <t>Monitored Quarterly</t>
  </si>
  <si>
    <t>Target date to be confirmed following consultation outcome</t>
  </si>
  <si>
    <t>Target date to be confirmed</t>
  </si>
  <si>
    <t>Legal and Regulatory Services</t>
  </si>
  <si>
    <t>Corporate and Environment Services</t>
  </si>
  <si>
    <t>Chief Finance (s151) Officer</t>
  </si>
  <si>
    <t>Chief Executive</t>
  </si>
  <si>
    <t>Creating a Prosperous East Staffordshire</t>
  </si>
  <si>
    <t>Protecting Our Heritage</t>
  </si>
  <si>
    <t>Quarter One (2024/25)</t>
  </si>
  <si>
    <t>Quarter Two (2024/25)</t>
  </si>
  <si>
    <t>Quarter Three (2024/25)</t>
  </si>
  <si>
    <t>QUARTER ONE (April - June 2024) - Performance by Cabinet Member portfolio</t>
  </si>
  <si>
    <t>QUARTER ONE (April - June 2024) - performance by priority</t>
  </si>
  <si>
    <t>2024-25 Corporate Plan Reporting Spreadsheet</t>
  </si>
  <si>
    <t>Target 2024-25</t>
  </si>
  <si>
    <t>QUARTER 1: April - June 2024</t>
  </si>
  <si>
    <t>Quarter 1 
(April - June 2024)</t>
  </si>
  <si>
    <t>HR</t>
  </si>
  <si>
    <t>Housing and 
Homelessness</t>
  </si>
  <si>
    <t>Customer Contacts, 
Resources, Projects 
&amp; Training</t>
  </si>
  <si>
    <t>Revenue</t>
  </si>
  <si>
    <t>ICT</t>
  </si>
  <si>
    <t>Elections</t>
  </si>
  <si>
    <t>Corporate And Commercial</t>
  </si>
  <si>
    <t>Leisure</t>
  </si>
  <si>
    <t>Demorcratic Services</t>
  </si>
  <si>
    <t>Financial Management</t>
  </si>
  <si>
    <t>Assets And Estates Management</t>
  </si>
  <si>
    <t>Legal Team</t>
  </si>
  <si>
    <t>Regeneration</t>
  </si>
  <si>
    <t>Business Support</t>
  </si>
  <si>
    <t>Licensing
Enforcement</t>
  </si>
  <si>
    <t>ASB
CCTV</t>
  </si>
  <si>
    <t>Community 
&amp; Civil 
Enforcement</t>
  </si>
  <si>
    <t>Neighbourhood 
Working &amp; 
Tourism</t>
  </si>
  <si>
    <t>Development Control 
and Planning 
Enforcement</t>
  </si>
  <si>
    <t xml:space="preserve">Planning Policy
</t>
  </si>
  <si>
    <t>Marketing and Tourism 
Manager</t>
  </si>
  <si>
    <t>Brewhouse / Arts 
Team</t>
  </si>
  <si>
    <t xml:space="preserve">Waste Operations 
/ Transport &amp; Waste Strategy / 
Policy
</t>
  </si>
  <si>
    <t>Street Cleaning</t>
  </si>
  <si>
    <t>Waste Operations 
/ Transport &amp; Waste Strategy / 
Policy</t>
  </si>
  <si>
    <t xml:space="preserve">Climate Change
</t>
  </si>
  <si>
    <t>on target</t>
  </si>
  <si>
    <t>Meetings are planned with members and the Town Deal Board during July 2024</t>
  </si>
  <si>
    <t>Consultation is now well underway on the maltings plans. BHB architects have submitted a proposal to take the finalised proposals through to planning.</t>
  </si>
  <si>
    <t>The capital works are well underway and are on schedule.</t>
  </si>
  <si>
    <t xml:space="preserve">An initial Expression of interest has been drafted and sent to HLF for comments with feedback received. </t>
  </si>
  <si>
    <t>3 migrated so far</t>
  </si>
  <si>
    <t>Suitable procurement framework identified for a direct call-off. Specification drafted.</t>
  </si>
  <si>
    <t>Consultants appointed to undertake Fleet Decarbonisation and Infrastructure Plan. Currently collecting base data.</t>
  </si>
  <si>
    <t>Defra has identified the level of capital funding available to the Council for implementation. Awaiting the level of revenue funding.</t>
  </si>
  <si>
    <t>Public consultation on the level of charges to commence immediately after general election. Procurement of permits and back office system commenced. Communication material being drafted.</t>
  </si>
  <si>
    <t xml:space="preserve">The livestream function has been well embedded into Full Council meetings delivered from the Council Chamber. The equipment has also been tested in the Coltman VC room through the recording and publication of a scrutiny committee meeting (not livestreamed). Live streaming of public committee meetings anticipated to commence from July Cabinet meeting. </t>
  </si>
  <si>
    <t xml:space="preserve">The PFCC administration, including the poll and associated count was successfully delivered in May 2024.  </t>
  </si>
  <si>
    <t>Following the announcement on 22nd May 2024 that the Parliamentary General Election would be held on 4th July 2024, the necessary preparation has been undertaken for the poll and count.</t>
  </si>
  <si>
    <t>Opportunities for support to scrutiny reviews were highlighted to colleagues via the Managers' Forum in april 2024 and the Staff briefing in May 2024. Five volunteers have been identified and allocated to reviews in the scrutiny work programme.</t>
  </si>
  <si>
    <t>Working with Sara Botham to hold a climate change forum in November which will lnk with GND20</t>
  </si>
  <si>
    <t>Judging to take place in July. Awards announced in quarter 2.</t>
  </si>
  <si>
    <t>Judging to take place in August. Awards announced in quarter 3.</t>
  </si>
  <si>
    <t xml:space="preserve">Trial undertaken with ID Verde from March- June with chemical spraying ceased on "soft" areas (e.g. grass and the base of trees). Reducing chemical usage slowed mowing operations creating service pressures in other areas. These findings will be fed into the final review report. </t>
  </si>
  <si>
    <t>Expert consultancy support has been secured. Kick-off meeting to be held in July.</t>
  </si>
  <si>
    <t>Report to be presented to Cabinet in Quarter 2</t>
  </si>
  <si>
    <t>CRF has commenced for 24/25. Funding exceeding £18,000 have been agreed in principle</t>
  </si>
  <si>
    <t xml:space="preserve">CCF has commenced for 24/25. Funding of £4950 has been agreed following the first two meetings. </t>
  </si>
  <si>
    <t>Report to be received by Cabinet in July</t>
  </si>
  <si>
    <t xml:space="preserve">Research has taken place with neighbouring Staffordshire authorities consulted on their use and experience of ANPR. Staffs CC consulted for any highways considerations. Civil works company asked to provide estimated figures for car park re-design-where necessary. Quote awaited from Metric (machine provider) for ANPR hardware. </t>
  </si>
  <si>
    <t xml:space="preserve">The fund continues to be delivered with applications submitted on a regular basis from local businesses. </t>
  </si>
  <si>
    <t xml:space="preserve">Expert consultancy support has been secured. Timetable for procurement and construction to be confirmed in quarter 2. </t>
  </si>
  <si>
    <t>Officer working group reviewing security arrangements for Council meetings. Parish Council's briefed on Martyn's law at Parish Council Forum</t>
  </si>
  <si>
    <t>Judging to place in June. Awards announced in quarter 2.</t>
  </si>
  <si>
    <t xml:space="preserve">Locations for relaxed mowing and wildflower planting have been identified across the borough. In general initial responses from the public are positive, although opposition to less mowing has been experienced in some areas. </t>
  </si>
  <si>
    <t xml:space="preserve">The tourism development officer is currently supporting a number of prospective grant applicants in order to access funding. </t>
  </si>
  <si>
    <t xml:space="preserve">Work has started to investigate potential solutions. </t>
  </si>
  <si>
    <t xml:space="preserve">The tourism team continue to deliver actions from each of the delivery pillars within the Tourism Development Framework. This includes, marketing &amp; PR, Business Support, Sustainable Tourism &amp; Product Development. </t>
  </si>
  <si>
    <t>In quarter one, a Brewhouse Spring/Summer season campaign and In Bloom campaign have been delivered.</t>
  </si>
  <si>
    <t>Plans are underway to deliver the Sonic Boom Music Festival in September 24, accompanied by a series of smaller Aftershock events and a leanring programme for young people. This is being supported by a successful bid by ESBC to Arts Council England.</t>
  </si>
  <si>
    <t>Ongoing discussions have been held with SCC and key partners to discuss taking forward these works</t>
  </si>
  <si>
    <t>This is progressing as planned. Business support services are well underway. The WEP has continued throughout the year with circa £200k left to allocate; we are aiming to do this by the end of the year to allow a few months to process</t>
  </si>
  <si>
    <t>Ongoing discussions with cabinet member to identify a suitable scheme</t>
  </si>
  <si>
    <t>As above</t>
  </si>
  <si>
    <t>There were 97 initial decisions in the Quarter, with a total of 152 days from interview to first decision providing an average of 1.57 days.</t>
  </si>
  <si>
    <t>2 days</t>
  </si>
  <si>
    <t>4 days</t>
  </si>
  <si>
    <t>There have been 3 moves in 3 properties, with a total of 8 days void providing an average of 2.6 days</t>
  </si>
  <si>
    <t>RIBA stages on track as per the update above.  This stage has not yet started</t>
  </si>
  <si>
    <t xml:space="preserve">Pre-app service launched. Quarterly updates to be prepared </t>
  </si>
  <si>
    <t xml:space="preserve">Applications received = 156
Within 8 weeks (statutory determination timescale) = 88 (56%)
Over 8 weeks = 68 (44%)
</t>
  </si>
  <si>
    <t xml:space="preserve">Applications received = 6
Within 13 weeks (statutory determination timescale) = 3 (50%)
Over 13 weeks = 3 (50%)
</t>
  </si>
  <si>
    <t>Proposals for refreshing the planning call in process were developed for consideration by Council in July, however this work did not progress following initial consideration by Members</t>
  </si>
  <si>
    <t>Updated draft policy and contract procedure rules are currently being reviewed officers with the assistance of Anthony Collins LLP.</t>
  </si>
  <si>
    <t xml:space="preserve">Replacement of the shutters is currently awaiting a procurement exercise.
</t>
  </si>
  <si>
    <t>The first initiative is due to take place on the 14th August 2024 in Anglesey.
This is a multi partnership event. Police, Fire, TS, CCEO, Env Health, Immigration, and others are taking part including the parish.</t>
  </si>
  <si>
    <t xml:space="preserve">1. Thursday 25th July: Tutbury Mill and Play Area
2. Saturday 3rd August: The Washlands (behind St. Modwen’s Church)
3. Thursday 8th August: Eton Road Community Park
4. Friday 16th August: Stapenhill Gardens
5. Saturday 17th August: Bramshall Road Park, Uttoxeter
</t>
  </si>
  <si>
    <t xml:space="preserve">The decision has been made to utilise a Dynamic Purchasing System (DPS) to help move this project along.  To ensure VFM, we will be undertaking a mini competition under a YPO framework instead of using a full tender as planned. The framework will be ready to go out during August 2024. </t>
  </si>
  <si>
    <t>Matthew Steele</t>
  </si>
  <si>
    <t>End qtr 1 average time 4.49 days.</t>
  </si>
  <si>
    <t>Collection figures compared to 22/23 &amp; 23/24 and in line to achieve target for 24/25</t>
  </si>
  <si>
    <t>Project progressing according to plan</t>
  </si>
  <si>
    <t xml:space="preserve">Consultation paper reviewed at CMT and due to be presented at pre Cabinet </t>
  </si>
  <si>
    <t>3.81 days</t>
  </si>
  <si>
    <t>Further work required to ensure all SI recorded should reasonably have a PO</t>
  </si>
  <si>
    <t>Three residential and three business newsletters have been issued within this period 12 residential and 12 business newsletters</t>
  </si>
  <si>
    <t>12 residentisal and 12 business newsletters</t>
  </si>
  <si>
    <t>The draft document is complete and currently under review prior to wider circulation.</t>
  </si>
  <si>
    <t>Opportunity has been issued and closes in July</t>
  </si>
  <si>
    <t xml:space="preserve">Able Too: Feedback from attendees of last year's event will be reviewed to help inform the planning of the 2024 event. Additional Able Too activity programmes have been added to the leisure centres' timetables for 2024/25, which is beneficial to the culmination of the years' activity thorough this celbratory event.
Sports Awards: Nominations for the awards open around November. The awards evening is anticipated for March 2025. The Council will be liaising with Everyone Active to plan an enhanced event. 
</t>
  </si>
  <si>
    <t xml:space="preserve">Programme is underway and is expected to be complete by September in line with the grant funding conditions. </t>
  </si>
  <si>
    <t xml:space="preserve">End of year update was published via the Member Briefing in April 2024, providing an overview of the grant funding issued by ESSC during 2023/24. The Quarter 1 update is scheduled to be published via the Member Briefing in July 2024. </t>
  </si>
  <si>
    <t>Planning for the event is scheduled ahead of the anticipated October date for the Able Too games</t>
  </si>
  <si>
    <t xml:space="preserve">Further updates will be published quarterly throughout the financial year. </t>
  </si>
  <si>
    <t>East Staffordshire Borough Council delivered a programme of climate themed events, activities, walks and educational opportunities to celebrate both the national green week initiative. During the week, the council held 2 green networking events that offered local businesses, voluntary services and venues the opportunity to learn how to be more sustainable, green friendly and highlight grants that would enable them to pursue their goals. In addition, a range of engaging community fun days and creative art sessions were deliver, along with a Vegan Market. Green Week also saw Burton College pledged for 2000 students to ‘go green’</t>
  </si>
  <si>
    <t>A map has been developed with each deployment plotted. We also provided a weekly camera report</t>
  </si>
  <si>
    <t>Review commenced of potential move. This could include looking at possible facilities at the Brewhouse</t>
  </si>
  <si>
    <t>A report has been produced with a review of fees. This is due before CMT in August and Licensing Committee in September</t>
  </si>
  <si>
    <t>64 of 93 jobs closed within 5 working days 69%</t>
  </si>
  <si>
    <t>123.67kg - estimated as not received all data from SCC</t>
  </si>
  <si>
    <t>48.69% - estimated as not all data received</t>
  </si>
  <si>
    <t>The change to charegable garden service may impact the end year figure as will come into effect in Q4.</t>
  </si>
  <si>
    <t>Cannot comment on end of year as dependant on requests received</t>
  </si>
  <si>
    <t>The Play Area Improvement Project was approved in May, making an initial allocation of funding for all 16 wards, with one of those (Crown) being for the development of plans for a new play area and the others being for improvements. Work is underway on the procurement of a contractor to take this forward.</t>
  </si>
  <si>
    <t>The revised Brownfield Regeneration Framework was approved by Cabinet in June and makes new and specific provision for social housing alongside the existing provision for affordable. It also introduces a section on case study examples where the Council has worked with developers or Registered Social Landlords in the past.</t>
  </si>
  <si>
    <t xml:space="preserve">Report has been drafted to be presented to CMT in July </t>
  </si>
  <si>
    <t xml:space="preserve">Working with HR to develop a sustainable staff travel plan which is due to be completed by July </t>
  </si>
  <si>
    <t xml:space="preserve">All service managers have been asked to provide an update on their actions. Report is being drafted to be presented to CMT in July </t>
  </si>
  <si>
    <t>Report is currently being drafted to be presented at CMT in October</t>
  </si>
  <si>
    <t>Education plan currently being developed</t>
  </si>
  <si>
    <t>Changes to the location of the centre have resulted in some amendments to the design but we remain on track to deliver RIBA Stage 3 by October. In order to fully take account of pre-app feedback on conservation, ecology and highways, the full planning application will now be submitted in December.</t>
  </si>
  <si>
    <t>Updates have been provided to Cabinet and will be provided to members, the national brewery heritage trust and the Towns Deal board. Franklin Ellis architects are on track to deliver Stage 3 by October. In order to fully take account of pre-app feedback on conservation, ecology and highways, the full planning application will now be submitted in December. The resident engagement programme is being updated to reflect this, now starting in September.</t>
  </si>
  <si>
    <t>2021/22 and 2022/23 accounts closed. 2023/24 draft accounts issued, but with a delay beyond the 31 May 2024 deadline. Signed off by the Chief Finance Officer on the 3rd July 2024. Public inspection period started on the 4th July 2024.</t>
  </si>
  <si>
    <t>Performance Indicator is 12%</t>
  </si>
  <si>
    <t>Performance Indicator is 11%</t>
  </si>
  <si>
    <t>Ongoing reduction of all prior years debt of 
Council Tax: 25% Arrears at Q1 reduced by 25.64%
Ongoing reduction of all prior years debt of 
NNDR: 35% Arrears at Q1 reduced by 40.46%
Ongoing reduction of all prior years debt of 
Sundry Debts: 50% Arrears at Q1 reduced by 2.92% but tracking as previous year invoices under 90 days old now live but not included as at 01/04/25
Ongoing reduction of all prior years debt of 
HBOP: 30% Arrears at Q1 reduced by 4.7% and tracking against previous years to achieve target.</t>
  </si>
  <si>
    <t xml:space="preserve">Discussions on the finalisation of the contract progressed well during Quarter 1, however this has suddenly slowed at the beginning of Quarter 2.
</t>
  </si>
  <si>
    <t>Officer Comments (Tom Grocutt):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</si>
</sst>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64" formatCode="mmm\ yyyy"/>
    <numFmt numFmtId="165" formatCode="&quot;£&quot;#,##0.00"/>
    <numFmt numFmtId="166" formatCode="mmmm\ yyyy"/>
  </numFmts>
  <fonts count="67">
    <font>
      <sz val="11"/>
      <color theme="1"/>
      <name val="Calibri"/>
      <family val="2"/>
      <scheme val="minor"/>
    </font>
    <font>
      <sz val="11"/>
      <color theme="0"/>
      <name val="Calibri"/>
      <family val="2"/>
      <scheme val="minor"/>
    </font>
    <font>
      <b/>
      <sz val="12"/>
      <color theme="1"/>
      <name val="Arial"/>
      <family val="2"/>
    </font>
    <font>
      <b/>
      <sz val="12"/>
      <color rgb="FF000000"/>
      <name val="Arial"/>
      <family val="2"/>
    </font>
    <font>
      <b/>
      <sz val="12"/>
      <color theme="0"/>
      <name val="Arial"/>
      <family val="2"/>
    </font>
    <font>
      <b/>
      <sz val="12"/>
      <name val="Arial"/>
      <family val="2"/>
    </font>
    <font>
      <sz val="12"/>
      <color theme="1"/>
      <name val="Calibri"/>
      <family val="2"/>
      <scheme val="minor"/>
    </font>
    <font>
      <sz val="11"/>
      <name val="Calibri"/>
      <family val="2"/>
      <scheme val="minor"/>
    </font>
    <font>
      <sz val="12"/>
      <name val="Arial"/>
      <family val="2"/>
    </font>
    <font>
      <sz val="12"/>
      <color rgb="FF000000"/>
      <name val="Arial"/>
      <family val="2"/>
    </font>
    <font>
      <sz val="12"/>
      <color theme="1"/>
      <name val="Arial"/>
      <family val="2"/>
    </font>
    <font>
      <b/>
      <sz val="16"/>
      <color theme="0"/>
      <name val="Arial"/>
      <family val="2"/>
    </font>
    <font>
      <sz val="11"/>
      <color theme="0"/>
      <name val="Arial"/>
      <family val="2"/>
    </font>
    <font>
      <sz val="11"/>
      <name val="Arial"/>
      <family val="2"/>
    </font>
    <font>
      <sz val="11"/>
      <color theme="1"/>
      <name val="Arial"/>
      <family val="2"/>
    </font>
    <font>
      <b/>
      <sz val="11"/>
      <color theme="1"/>
      <name val="Arial"/>
      <family val="2"/>
    </font>
    <font>
      <b/>
      <sz val="14"/>
      <color theme="1"/>
      <name val="Arial"/>
      <family val="2"/>
    </font>
    <font>
      <b/>
      <sz val="14"/>
      <color theme="0"/>
      <name val="Arial"/>
      <family val="2"/>
    </font>
    <font>
      <u/>
      <sz val="11"/>
      <color theme="10"/>
      <name val="Calibri"/>
      <family val="2"/>
    </font>
    <font>
      <b/>
      <i/>
      <sz val="12"/>
      <color theme="1"/>
      <name val="Arial"/>
      <family val="2"/>
    </font>
    <font>
      <b/>
      <u/>
      <sz val="28"/>
      <color theme="0"/>
      <name val="Arial"/>
      <family val="2"/>
    </font>
    <font>
      <b/>
      <sz val="18"/>
      <name val="Arial"/>
      <family val="2"/>
    </font>
    <font>
      <u/>
      <sz val="11"/>
      <color theme="0"/>
      <name val="Calibri"/>
      <family val="2"/>
    </font>
    <font>
      <b/>
      <sz val="11"/>
      <color theme="0"/>
      <name val="Arial"/>
      <family val="2"/>
    </font>
    <font>
      <b/>
      <i/>
      <sz val="11"/>
      <color theme="0"/>
      <name val="Arial"/>
      <family val="2"/>
    </font>
    <font>
      <b/>
      <u/>
      <sz val="22"/>
      <name val="Arial"/>
      <family val="2"/>
    </font>
    <font>
      <b/>
      <u/>
      <sz val="11"/>
      <name val="Arial"/>
      <family val="2"/>
    </font>
    <font>
      <b/>
      <sz val="11"/>
      <name val="Arial"/>
      <family val="2"/>
    </font>
    <font>
      <b/>
      <i/>
      <sz val="11"/>
      <name val="Arial"/>
      <family val="2"/>
    </font>
    <font>
      <u/>
      <sz val="14"/>
      <color theme="10"/>
      <name val="Arial"/>
      <family val="2"/>
    </font>
    <font>
      <b/>
      <sz val="20"/>
      <color rgb="FFFFFFFF"/>
      <name val="Arial"/>
      <family val="2"/>
    </font>
    <font>
      <b/>
      <sz val="20"/>
      <color theme="1"/>
      <name val="Arial"/>
      <family val="2"/>
    </font>
    <font>
      <b/>
      <sz val="16"/>
      <name val="Arial"/>
      <family val="2"/>
    </font>
    <font>
      <b/>
      <sz val="14"/>
      <name val="Arial"/>
      <family val="2"/>
    </font>
    <font>
      <sz val="16"/>
      <name val="Arial"/>
      <family val="2"/>
    </font>
    <font>
      <b/>
      <u/>
      <sz val="28"/>
      <name val="Arial"/>
      <family val="2"/>
    </font>
    <font>
      <b/>
      <u/>
      <sz val="14"/>
      <color rgb="FF0066FF"/>
      <name val="Calibri"/>
      <family val="2"/>
    </font>
    <font>
      <sz val="11"/>
      <color rgb="FF0066FF"/>
      <name val="Calibri"/>
      <family val="2"/>
      <scheme val="minor"/>
    </font>
    <font>
      <b/>
      <shadow/>
      <sz val="16"/>
      <color rgb="FFFFFFFF"/>
      <name val="Arial"/>
      <family val="2"/>
    </font>
    <font>
      <sz val="10"/>
      <name val="Arial"/>
      <family val="2"/>
    </font>
    <font>
      <sz val="16"/>
      <color theme="1"/>
      <name val="Calibri"/>
      <family val="2"/>
      <scheme val="minor"/>
    </font>
    <font>
      <b/>
      <sz val="18"/>
      <color rgb="FF000000"/>
      <name val="Arial"/>
      <family val="2"/>
    </font>
    <font>
      <b/>
      <sz val="48"/>
      <color rgb="FF000000"/>
      <name val="Arial"/>
      <family val="2"/>
    </font>
    <font>
      <sz val="72"/>
      <name val="Wingdings"/>
      <charset val="2"/>
    </font>
    <font>
      <b/>
      <sz val="48"/>
      <color rgb="FF000000"/>
      <name val="ZapfDingbats"/>
      <family val="5"/>
      <charset val="2"/>
    </font>
    <font>
      <sz val="11"/>
      <color theme="1"/>
      <name val="Wingdings"/>
      <charset val="2"/>
    </font>
    <font>
      <sz val="72"/>
      <color theme="1"/>
      <name val="Wingdings"/>
      <charset val="2"/>
    </font>
    <font>
      <b/>
      <sz val="48"/>
      <name val="Arial"/>
      <family val="2"/>
    </font>
    <font>
      <sz val="14"/>
      <name val="Wingdings"/>
      <charset val="2"/>
    </font>
    <font>
      <sz val="14"/>
      <color theme="1"/>
      <name val="Calibri"/>
      <family val="2"/>
      <scheme val="minor"/>
    </font>
    <font>
      <b/>
      <sz val="18"/>
      <color theme="0"/>
      <name val="Arial"/>
      <family val="2"/>
    </font>
    <font>
      <b/>
      <sz val="16"/>
      <color rgb="FF000000"/>
      <name val="Arial"/>
      <family val="2"/>
    </font>
    <font>
      <b/>
      <sz val="16"/>
      <color theme="1"/>
      <name val="Arial"/>
      <family val="2"/>
    </font>
    <font>
      <i/>
      <sz val="12"/>
      <color rgb="FF000000"/>
      <name val="Arial"/>
      <family val="2"/>
    </font>
    <font>
      <sz val="12"/>
      <color rgb="FFFF0000"/>
      <name val="Arial"/>
      <family val="2"/>
    </font>
    <font>
      <b/>
      <sz val="16"/>
      <color theme="1"/>
      <name val="Calibri"/>
      <family val="2"/>
      <scheme val="minor"/>
    </font>
    <font>
      <i/>
      <sz val="12"/>
      <name val="Arial"/>
      <family val="2"/>
    </font>
    <font>
      <sz val="11"/>
      <color theme="1"/>
      <name val="Calibri"/>
      <family val="2"/>
      <scheme val="minor"/>
    </font>
    <font>
      <i/>
      <sz val="12"/>
      <color theme="1"/>
      <name val="Arial"/>
      <family val="2"/>
    </font>
    <font>
      <b/>
      <sz val="11"/>
      <color rgb="FFFFFFFF"/>
      <name val="Arial"/>
      <family val="2"/>
    </font>
    <font>
      <b/>
      <sz val="11"/>
      <color rgb="FF000000"/>
      <name val="Arial"/>
      <family val="2"/>
    </font>
    <font>
      <b/>
      <sz val="9"/>
      <color indexed="81"/>
      <name val="Tahoma"/>
      <family val="2"/>
    </font>
    <font>
      <sz val="9"/>
      <color indexed="81"/>
      <name val="Tahoma"/>
      <family val="2"/>
    </font>
    <font>
      <b/>
      <sz val="11"/>
      <color theme="1"/>
      <name val="Calibri"/>
      <family val="2"/>
      <scheme val="minor"/>
    </font>
    <font>
      <b/>
      <sz val="10"/>
      <name val="Arial"/>
      <family val="2"/>
    </font>
    <font>
      <b/>
      <sz val="10"/>
      <color rgb="FF000000"/>
      <name val="Arial"/>
      <family val="2"/>
    </font>
    <font>
      <b/>
      <sz val="11"/>
      <name val="Calibri"/>
      <family val="2"/>
      <scheme val="minor"/>
    </font>
  </fonts>
  <fills count="3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rgb="FF00206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0000"/>
        <bgColor indexed="64"/>
      </patternFill>
    </fill>
    <fill>
      <patternFill patternType="solid">
        <fgColor rgb="FF339933"/>
        <bgColor indexed="64"/>
      </patternFill>
    </fill>
    <fill>
      <patternFill patternType="solid">
        <fgColor theme="7"/>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00863D"/>
        <bgColor indexed="64"/>
      </patternFill>
    </fill>
    <fill>
      <patternFill patternType="solid">
        <fgColor rgb="FF009900"/>
        <bgColor indexed="64"/>
      </patternFill>
    </fill>
    <fill>
      <patternFill patternType="solid">
        <fgColor theme="9" tint="0.59999389629810485"/>
        <bgColor indexed="64"/>
      </patternFill>
    </fill>
    <fill>
      <patternFill patternType="solid">
        <fgColor rgb="FFD9FFD9"/>
        <bgColor indexed="64"/>
      </patternFill>
    </fill>
    <fill>
      <patternFill patternType="solid">
        <fgColor rgb="FFEFEFFF"/>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002060"/>
        <bgColor rgb="FF000000"/>
      </patternFill>
    </fill>
    <fill>
      <patternFill patternType="solid">
        <fgColor theme="8" tint="-0.249977111117893"/>
        <bgColor indexed="64"/>
      </patternFill>
    </fill>
    <fill>
      <patternFill patternType="solid">
        <fgColor rgb="FF525252"/>
        <bgColor rgb="FF000000"/>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DD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bgColor rgb="FF000000"/>
      </patternFill>
    </fill>
    <fill>
      <patternFill patternType="solid">
        <fgColor theme="5" tint="0.59999389629810485"/>
        <bgColor indexed="64"/>
      </patternFill>
    </fill>
    <fill>
      <patternFill patternType="solid">
        <fgColor theme="5" tint="0.79998168889431442"/>
        <bgColor rgb="FF000000"/>
      </patternFill>
    </fill>
    <fill>
      <patternFill patternType="solid">
        <fgColor theme="2" tint="-0.249977111117893"/>
        <bgColor indexed="64"/>
      </patternFill>
    </fill>
    <fill>
      <patternFill patternType="solid">
        <fgColor rgb="FFF2F2F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39997558519241921"/>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theme="6"/>
      </right>
      <top style="thin">
        <color indexed="64"/>
      </top>
      <bottom style="thin">
        <color theme="6"/>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style="thin">
        <color theme="6"/>
      </right>
      <top style="thin">
        <color theme="6"/>
      </top>
      <bottom/>
      <diagonal/>
    </border>
    <border>
      <left style="thin">
        <color theme="6"/>
      </left>
      <right/>
      <top style="thin">
        <color theme="6"/>
      </top>
      <bottom style="thin">
        <color theme="6"/>
      </bottom>
      <diagonal/>
    </border>
    <border>
      <left style="thick">
        <color rgb="FFFFFFFF"/>
      </left>
      <right style="thick">
        <color rgb="FF00863D"/>
      </right>
      <top style="thick">
        <color rgb="FFFFFFFF"/>
      </top>
      <bottom/>
      <diagonal/>
    </border>
    <border>
      <left style="thick">
        <color rgb="FF00863D"/>
      </left>
      <right/>
      <top style="thick">
        <color rgb="FF00863D"/>
      </top>
      <bottom style="thick">
        <color rgb="FF00863D"/>
      </bottom>
      <diagonal/>
    </border>
    <border>
      <left/>
      <right style="thick">
        <color rgb="FF00863D"/>
      </right>
      <top style="thick">
        <color rgb="FF00863D"/>
      </top>
      <bottom style="thick">
        <color rgb="FF00863D"/>
      </bottom>
      <diagonal/>
    </border>
    <border>
      <left style="thick">
        <color rgb="FF00863D"/>
      </left>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00863D"/>
      </right>
      <top/>
      <bottom style="thick">
        <color rgb="FFFFFFFF"/>
      </bottom>
      <diagonal/>
    </border>
    <border>
      <left style="thick">
        <color rgb="FF00863D"/>
      </left>
      <right style="thick">
        <color rgb="FF00863D"/>
      </right>
      <top style="thick">
        <color rgb="FF00863D"/>
      </top>
      <bottom style="thick">
        <color rgb="FF00863D"/>
      </bottom>
      <diagonal/>
    </border>
    <border>
      <left/>
      <right style="thick">
        <color rgb="FFFFC000"/>
      </right>
      <top style="thick">
        <color rgb="FFFFC000"/>
      </top>
      <bottom style="thick">
        <color rgb="FFFFC000"/>
      </bottom>
      <diagonal/>
    </border>
    <border>
      <left style="thick">
        <color rgb="FFFFC000"/>
      </left>
      <right/>
      <top style="thick">
        <color rgb="FFFFC000"/>
      </top>
      <bottom style="thick">
        <color rgb="FFFFC000"/>
      </bottom>
      <diagonal/>
    </border>
    <border>
      <left style="thick">
        <color rgb="FFFFFFFF"/>
      </left>
      <right/>
      <top/>
      <bottom/>
      <diagonal/>
    </border>
    <border>
      <left/>
      <right style="thick">
        <color rgb="FFFFFFFF"/>
      </right>
      <top/>
      <bottom/>
      <diagonal/>
    </border>
    <border>
      <left style="thick">
        <color rgb="FFFFFFFF"/>
      </left>
      <right/>
      <top/>
      <bottom style="thick">
        <color rgb="FFFFFFFF"/>
      </bottom>
      <diagonal/>
    </border>
    <border>
      <left style="thick">
        <color rgb="FFFFC000"/>
      </left>
      <right style="thick">
        <color rgb="FFFFC000"/>
      </right>
      <top style="thick">
        <color rgb="FFFFC000"/>
      </top>
      <bottom style="thick">
        <color rgb="FFFFC000"/>
      </bottom>
      <diagonal/>
    </border>
    <border>
      <left style="thick">
        <color rgb="FFFFFFFF"/>
      </left>
      <right style="thick">
        <color rgb="FFFFFFFF"/>
      </right>
      <top/>
      <bottom style="thick">
        <color rgb="FFFFFFFF"/>
      </bottom>
      <diagonal/>
    </border>
    <border>
      <left style="thick">
        <color rgb="FFCC0000"/>
      </left>
      <right style="thick">
        <color rgb="FFCC0000"/>
      </right>
      <top style="thick">
        <color rgb="FFCC0000"/>
      </top>
      <bottom style="thick">
        <color rgb="FFCC0000"/>
      </bottom>
      <diagonal/>
    </border>
    <border>
      <left style="thick">
        <color rgb="FFC00000"/>
      </left>
      <right style="thick">
        <color rgb="FFC00000"/>
      </right>
      <top style="thick">
        <color rgb="FFC00000"/>
      </top>
      <bottom style="thick">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rgb="FFFFFFFF"/>
      </right>
      <top/>
      <bottom style="thick">
        <color rgb="FFFFFFFF"/>
      </bottom>
      <diagonal/>
    </border>
    <border>
      <left/>
      <right/>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ck">
        <color theme="0" tint="-0.14993743705557422"/>
      </right>
      <top style="thin">
        <color theme="0" tint="-0.14996795556505021"/>
      </top>
      <bottom style="thin">
        <color theme="0" tint="-0.14996795556505021"/>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0691854609822"/>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764000366222"/>
      </right>
      <top style="thin">
        <color theme="0" tint="-0.14996795556505021"/>
      </top>
      <bottom style="thin">
        <color theme="0" tint="-0.1499679555650502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theme="0"/>
      </left>
      <right style="medium">
        <color theme="0"/>
      </right>
      <top style="medium">
        <color theme="0"/>
      </top>
      <bottom style="medium">
        <color theme="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ck">
        <color theme="0" tint="-0.14993743705557422"/>
      </right>
      <top style="thin">
        <color theme="0" tint="-0.14996795556505021"/>
      </top>
      <bottom/>
      <diagonal/>
    </border>
    <border>
      <left/>
      <right style="thin">
        <color theme="0" tint="-0.14996795556505021"/>
      </right>
      <top style="thin">
        <color theme="0" tint="-0.14996795556505021"/>
      </top>
      <bottom/>
      <diagonal/>
    </border>
    <border>
      <left/>
      <right style="thin">
        <color theme="0"/>
      </right>
      <top style="thin">
        <color theme="0"/>
      </top>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s>
  <cellStyleXfs count="4">
    <xf numFmtId="0" fontId="0" fillId="0" borderId="0"/>
    <xf numFmtId="0" fontId="18" fillId="0" borderId="0" applyNumberFormat="0" applyFill="0" applyBorder="0" applyAlignment="0" applyProtection="0">
      <alignment vertical="top"/>
      <protection locked="0"/>
    </xf>
    <xf numFmtId="0" fontId="39" fillId="0" borderId="0"/>
    <xf numFmtId="9" fontId="57" fillId="0" borderId="0" applyFont="0" applyFill="0" applyBorder="0" applyAlignment="0" applyProtection="0"/>
  </cellStyleXfs>
  <cellXfs count="441">
    <xf numFmtId="0" fontId="0" fillId="0" borderId="0" xfId="0"/>
    <xf numFmtId="0" fontId="11" fillId="5" borderId="0" xfId="0" applyFont="1" applyFill="1" applyBorder="1" applyAlignment="1">
      <alignment vertical="center" wrapText="1"/>
    </xf>
    <xf numFmtId="0" fontId="10" fillId="6" borderId="0" xfId="0" applyFont="1" applyFill="1" applyAlignment="1" applyProtection="1">
      <alignment horizontal="center" vertical="center"/>
    </xf>
    <xf numFmtId="10" fontId="18" fillId="6" borderId="0" xfId="1" applyNumberFormat="1" applyFill="1" applyBorder="1" applyAlignment="1" applyProtection="1">
      <alignment horizontal="center" vertical="center"/>
    </xf>
    <xf numFmtId="0" fontId="0" fillId="0" borderId="0" xfId="0" applyAlignment="1">
      <alignment vertical="center"/>
    </xf>
    <xf numFmtId="0" fontId="25" fillId="13" borderId="0" xfId="0" applyFont="1" applyFill="1"/>
    <xf numFmtId="0" fontId="20" fillId="13" borderId="0" xfId="0" applyFont="1" applyFill="1"/>
    <xf numFmtId="0" fontId="22" fillId="13" borderId="0" xfId="1" applyFont="1" applyFill="1" applyBorder="1" applyAlignment="1" applyProtection="1">
      <alignment horizontal="left"/>
    </xf>
    <xf numFmtId="0" fontId="1" fillId="13" borderId="0" xfId="0" applyFont="1" applyFill="1"/>
    <xf numFmtId="0" fontId="12" fillId="13" borderId="0" xfId="0" applyFont="1" applyFill="1"/>
    <xf numFmtId="0" fontId="22" fillId="13" borderId="0" xfId="1" applyFont="1" applyFill="1" applyBorder="1" applyAlignment="1" applyProtection="1">
      <alignment horizontal="center"/>
    </xf>
    <xf numFmtId="9" fontId="1" fillId="13" borderId="0" xfId="0" applyNumberFormat="1" applyFont="1" applyFill="1"/>
    <xf numFmtId="9" fontId="12" fillId="13" borderId="0" xfId="0" applyNumberFormat="1" applyFont="1" applyFill="1"/>
    <xf numFmtId="10" fontId="12" fillId="13" borderId="0" xfId="0" applyNumberFormat="1" applyFont="1" applyFill="1" applyBorder="1" applyAlignment="1">
      <alignment horizontal="center" vertical="center"/>
    </xf>
    <xf numFmtId="0" fontId="24" fillId="13" borderId="0" xfId="0" applyFont="1" applyFill="1" applyBorder="1"/>
    <xf numFmtId="0" fontId="23" fillId="13" borderId="0" xfId="0" applyFont="1" applyFill="1"/>
    <xf numFmtId="0" fontId="26" fillId="13" borderId="0" xfId="0" applyFont="1" applyFill="1"/>
    <xf numFmtId="9" fontId="13" fillId="13" borderId="0" xfId="0" applyNumberFormat="1" applyFont="1" applyFill="1"/>
    <xf numFmtId="0" fontId="13" fillId="13" borderId="0" xfId="0" applyFont="1" applyFill="1" applyBorder="1"/>
    <xf numFmtId="9" fontId="27" fillId="13" borderId="6" xfId="0" applyNumberFormat="1" applyFont="1" applyFill="1" applyBorder="1" applyAlignment="1">
      <alignment horizontal="center"/>
    </xf>
    <xf numFmtId="0" fontId="27" fillId="13" borderId="6" xfId="0" applyFont="1" applyFill="1" applyBorder="1"/>
    <xf numFmtId="10" fontId="13" fillId="13" borderId="6" xfId="0" applyNumberFormat="1" applyFont="1" applyFill="1" applyBorder="1" applyAlignment="1">
      <alignment horizontal="center" vertical="center"/>
    </xf>
    <xf numFmtId="9" fontId="27" fillId="13" borderId="0" xfId="0" applyNumberFormat="1" applyFont="1" applyFill="1" applyBorder="1" applyAlignment="1">
      <alignment horizontal="center"/>
    </xf>
    <xf numFmtId="0" fontId="28" fillId="13" borderId="0" xfId="0" applyFont="1" applyFill="1" applyBorder="1"/>
    <xf numFmtId="9" fontId="13" fillId="13" borderId="0" xfId="0" applyNumberFormat="1" applyFont="1" applyFill="1" applyBorder="1" applyAlignment="1">
      <alignment horizontal="center" vertical="center"/>
    </xf>
    <xf numFmtId="9" fontId="13" fillId="13" borderId="0" xfId="0" applyNumberFormat="1" applyFont="1" applyFill="1" applyBorder="1"/>
    <xf numFmtId="0" fontId="13" fillId="13" borderId="0" xfId="0" applyFont="1" applyFill="1"/>
    <xf numFmtId="9" fontId="27" fillId="13" borderId="0" xfId="0" applyNumberFormat="1" applyFont="1" applyFill="1"/>
    <xf numFmtId="0" fontId="27" fillId="13" borderId="0" xfId="0" applyFont="1" applyFill="1" applyBorder="1"/>
    <xf numFmtId="9" fontId="18" fillId="6" borderId="0" xfId="1" applyNumberFormat="1" applyFill="1" applyBorder="1" applyAlignment="1" applyProtection="1">
      <alignment horizontal="center" vertical="center"/>
    </xf>
    <xf numFmtId="0" fontId="0" fillId="6" borderId="0" xfId="0" applyFill="1" applyAlignment="1">
      <alignment vertical="center"/>
    </xf>
    <xf numFmtId="0" fontId="29" fillId="6" borderId="0" xfId="1" applyFont="1" applyFill="1" applyBorder="1" applyAlignment="1" applyProtection="1">
      <alignment horizontal="center" vertical="center"/>
    </xf>
    <xf numFmtId="9" fontId="0" fillId="6" borderId="0" xfId="0" applyNumberFormat="1" applyFill="1" applyAlignment="1">
      <alignment vertical="center"/>
    </xf>
    <xf numFmtId="0" fontId="32" fillId="6" borderId="26" xfId="0" applyFont="1" applyFill="1" applyBorder="1" applyAlignment="1">
      <alignment horizontal="center" vertical="center" wrapText="1"/>
    </xf>
    <xf numFmtId="9" fontId="32" fillId="6" borderId="26" xfId="0" applyNumberFormat="1" applyFont="1" applyFill="1" applyBorder="1" applyAlignment="1">
      <alignment horizontal="center" vertical="center" wrapText="1"/>
    </xf>
    <xf numFmtId="0" fontId="32" fillId="6" borderId="27" xfId="0" applyFont="1" applyFill="1" applyBorder="1" applyAlignment="1">
      <alignment horizontal="center" vertical="center" wrapText="1"/>
    </xf>
    <xf numFmtId="10" fontId="32" fillId="6" borderId="28" xfId="0" applyNumberFormat="1" applyFont="1" applyFill="1" applyBorder="1" applyAlignment="1">
      <alignment horizontal="center" vertical="center" wrapText="1"/>
    </xf>
    <xf numFmtId="0" fontId="1" fillId="6" borderId="0" xfId="0" applyFont="1" applyFill="1" applyAlignment="1">
      <alignment vertical="center"/>
    </xf>
    <xf numFmtId="0" fontId="11" fillId="5" borderId="29" xfId="0" applyFont="1" applyFill="1" applyBorder="1" applyAlignment="1">
      <alignment vertical="center" wrapText="1"/>
    </xf>
    <xf numFmtId="9" fontId="11" fillId="5" borderId="0" xfId="0" applyNumberFormat="1" applyFont="1" applyFill="1" applyBorder="1" applyAlignment="1">
      <alignment vertical="center" wrapText="1"/>
    </xf>
    <xf numFmtId="0" fontId="11" fillId="5" borderId="30" xfId="0" applyFont="1" applyFill="1" applyBorder="1" applyAlignment="1">
      <alignment vertical="center" wrapText="1"/>
    </xf>
    <xf numFmtId="0" fontId="1" fillId="0" borderId="0" xfId="0" applyFont="1" applyAlignment="1">
      <alignment vertical="center"/>
    </xf>
    <xf numFmtId="0" fontId="7" fillId="6" borderId="0" xfId="0" applyFont="1" applyFill="1" applyAlignment="1">
      <alignment vertical="center"/>
    </xf>
    <xf numFmtId="0" fontId="33" fillId="6" borderId="31" xfId="0" applyFont="1" applyFill="1" applyBorder="1" applyAlignment="1">
      <alignment horizontal="right" vertical="center" wrapText="1"/>
    </xf>
    <xf numFmtId="0" fontId="34" fillId="6" borderId="26" xfId="0" applyFont="1" applyFill="1" applyBorder="1" applyAlignment="1">
      <alignment horizontal="center" vertical="center" wrapText="1"/>
    </xf>
    <xf numFmtId="10" fontId="32" fillId="6" borderId="26" xfId="0" applyNumberFormat="1" applyFont="1" applyFill="1" applyBorder="1" applyAlignment="1">
      <alignment horizontal="center" vertical="center" wrapText="1"/>
    </xf>
    <xf numFmtId="0" fontId="34" fillId="6" borderId="27" xfId="0" applyFont="1" applyFill="1" applyBorder="1" applyAlignment="1">
      <alignment horizontal="center" vertical="center" wrapText="1"/>
    </xf>
    <xf numFmtId="0" fontId="7" fillId="0" borderId="0" xfId="0" applyFont="1" applyAlignment="1">
      <alignment vertical="center"/>
    </xf>
    <xf numFmtId="0" fontId="11" fillId="5" borderId="29" xfId="0" applyFont="1" applyFill="1" applyBorder="1" applyAlignment="1">
      <alignment horizontal="left" vertical="center" wrapText="1"/>
    </xf>
    <xf numFmtId="0" fontId="32" fillId="5" borderId="0" xfId="0" applyFont="1" applyFill="1" applyBorder="1" applyAlignment="1">
      <alignment vertical="center" wrapText="1"/>
    </xf>
    <xf numFmtId="10" fontId="32" fillId="5" borderId="0" xfId="0" applyNumberFormat="1" applyFont="1" applyFill="1" applyBorder="1" applyAlignment="1">
      <alignment vertical="center" wrapText="1"/>
    </xf>
    <xf numFmtId="10" fontId="32" fillId="5" borderId="30" xfId="0" applyNumberFormat="1" applyFont="1" applyFill="1" applyBorder="1" applyAlignment="1">
      <alignment vertical="center" wrapText="1"/>
    </xf>
    <xf numFmtId="1" fontId="34" fillId="6" borderId="32" xfId="0" applyNumberFormat="1" applyFont="1" applyFill="1" applyBorder="1" applyAlignment="1">
      <alignment horizontal="center" vertical="center" wrapText="1"/>
    </xf>
    <xf numFmtId="9" fontId="0" fillId="0" borderId="0" xfId="0" applyNumberFormat="1" applyAlignment="1">
      <alignment vertical="center"/>
    </xf>
    <xf numFmtId="0" fontId="32" fillId="6" borderId="34" xfId="0" applyFont="1" applyFill="1" applyBorder="1" applyAlignment="1">
      <alignment horizontal="center" vertical="center" wrapText="1"/>
    </xf>
    <xf numFmtId="10" fontId="32" fillId="6" borderId="34" xfId="0" applyNumberFormat="1" applyFont="1" applyFill="1" applyBorder="1" applyAlignment="1">
      <alignment horizontal="center" vertical="center" wrapText="1"/>
    </xf>
    <xf numFmtId="0" fontId="34" fillId="6" borderId="35" xfId="0" applyFont="1" applyFill="1" applyBorder="1" applyAlignment="1">
      <alignment horizontal="center" vertical="center" wrapText="1"/>
    </xf>
    <xf numFmtId="10" fontId="32" fillId="6" borderId="35" xfId="0" applyNumberFormat="1" applyFont="1" applyFill="1" applyBorder="1" applyAlignment="1">
      <alignment horizontal="center" vertical="center" wrapText="1"/>
    </xf>
    <xf numFmtId="0" fontId="10" fillId="6" borderId="0" xfId="0" applyFont="1" applyFill="1" applyBorder="1" applyAlignment="1" applyProtection="1">
      <alignment horizontal="center" vertical="center"/>
    </xf>
    <xf numFmtId="0" fontId="33" fillId="0" borderId="33" xfId="0" applyFont="1" applyFill="1" applyBorder="1" applyAlignment="1">
      <alignment horizontal="right" vertical="center" wrapText="1"/>
    </xf>
    <xf numFmtId="0" fontId="34" fillId="0" borderId="26" xfId="0" applyFont="1" applyFill="1" applyBorder="1" applyAlignment="1">
      <alignment horizontal="center" vertical="center" wrapText="1"/>
    </xf>
    <xf numFmtId="10" fontId="32" fillId="0" borderId="26" xfId="0" applyNumberFormat="1" applyFont="1" applyFill="1" applyBorder="1" applyAlignment="1">
      <alignment horizontal="center" vertical="center" wrapText="1"/>
    </xf>
    <xf numFmtId="1" fontId="34" fillId="0" borderId="32" xfId="0" applyNumberFormat="1" applyFont="1" applyFill="1" applyBorder="1" applyAlignment="1">
      <alignment horizontal="center" vertical="center" wrapText="1"/>
    </xf>
    <xf numFmtId="10" fontId="32" fillId="0" borderId="28" xfId="0" applyNumberFormat="1" applyFont="1" applyFill="1" applyBorder="1" applyAlignment="1">
      <alignment horizontal="center" vertical="center" wrapText="1"/>
    </xf>
    <xf numFmtId="0" fontId="34" fillId="0" borderId="35" xfId="0" applyFont="1" applyFill="1" applyBorder="1" applyAlignment="1">
      <alignment horizontal="center" vertical="center" wrapText="1"/>
    </xf>
    <xf numFmtId="10" fontId="32" fillId="0" borderId="35" xfId="0" applyNumberFormat="1" applyFont="1" applyFill="1" applyBorder="1" applyAlignment="1">
      <alignment horizontal="center" vertical="center" wrapText="1"/>
    </xf>
    <xf numFmtId="0" fontId="34" fillId="0" borderId="32" xfId="0" applyFont="1" applyFill="1" applyBorder="1" applyAlignment="1">
      <alignment horizontal="center" vertical="center" wrapText="1"/>
    </xf>
    <xf numFmtId="0" fontId="20" fillId="16" borderId="0" xfId="0" applyFont="1" applyFill="1"/>
    <xf numFmtId="0" fontId="1" fillId="16" borderId="0" xfId="0" applyFont="1" applyFill="1"/>
    <xf numFmtId="0" fontId="12" fillId="16" borderId="0" xfId="0" applyFont="1" applyFill="1"/>
    <xf numFmtId="0" fontId="22" fillId="16" borderId="0" xfId="1" applyFont="1" applyFill="1" applyBorder="1" applyAlignment="1" applyProtection="1">
      <alignment horizontal="center"/>
    </xf>
    <xf numFmtId="10" fontId="12" fillId="16" borderId="0" xfId="0" applyNumberFormat="1" applyFont="1" applyFill="1" applyBorder="1" applyAlignment="1">
      <alignment horizontal="center" vertical="center"/>
    </xf>
    <xf numFmtId="0" fontId="23" fillId="16" borderId="0" xfId="0" applyFont="1" applyFill="1"/>
    <xf numFmtId="0" fontId="35" fillId="16" borderId="0" xfId="0" applyFont="1" applyFill="1"/>
    <xf numFmtId="0" fontId="7" fillId="16" borderId="0" xfId="0" applyFont="1" applyFill="1"/>
    <xf numFmtId="0" fontId="26" fillId="16" borderId="0" xfId="0" applyFont="1" applyFill="1"/>
    <xf numFmtId="0" fontId="13" fillId="16" borderId="0" xfId="0" applyFont="1" applyFill="1"/>
    <xf numFmtId="0" fontId="13" fillId="16" borderId="0" xfId="0" applyFont="1" applyFill="1" applyBorder="1"/>
    <xf numFmtId="0" fontId="27" fillId="16" borderId="6" xfId="0" applyFont="1" applyFill="1" applyBorder="1" applyAlignment="1">
      <alignment horizontal="center"/>
    </xf>
    <xf numFmtId="0" fontId="27" fillId="16" borderId="6" xfId="0" applyFont="1" applyFill="1" applyBorder="1"/>
    <xf numFmtId="10" fontId="13" fillId="16" borderId="6" xfId="0" applyNumberFormat="1" applyFont="1" applyFill="1" applyBorder="1" applyAlignment="1">
      <alignment horizontal="center" vertical="center"/>
    </xf>
    <xf numFmtId="0" fontId="27" fillId="16" borderId="0" xfId="0" applyFont="1" applyFill="1" applyBorder="1" applyAlignment="1">
      <alignment horizontal="center"/>
    </xf>
    <xf numFmtId="0" fontId="28" fillId="16" borderId="0" xfId="0" applyFont="1" applyFill="1" applyBorder="1"/>
    <xf numFmtId="10" fontId="13" fillId="16" borderId="0" xfId="0" applyNumberFormat="1" applyFont="1" applyFill="1" applyBorder="1" applyAlignment="1">
      <alignment horizontal="center" vertical="center"/>
    </xf>
    <xf numFmtId="0" fontId="27" fillId="16" borderId="0" xfId="0" applyFont="1" applyFill="1"/>
    <xf numFmtId="0" fontId="27" fillId="16" borderId="0" xfId="0" applyFont="1" applyFill="1" applyBorder="1"/>
    <xf numFmtId="0" fontId="7" fillId="16" borderId="0" xfId="0" applyFont="1" applyFill="1" applyBorder="1"/>
    <xf numFmtId="0" fontId="1" fillId="16" borderId="0" xfId="0" applyFont="1" applyFill="1" applyBorder="1"/>
    <xf numFmtId="0" fontId="26" fillId="16" borderId="0" xfId="0" applyFont="1" applyFill="1" applyBorder="1"/>
    <xf numFmtId="0" fontId="36" fillId="0" borderId="0" xfId="1" applyFont="1" applyFill="1" applyBorder="1" applyAlignment="1" applyProtection="1">
      <alignment horizontal="left"/>
    </xf>
    <xf numFmtId="0" fontId="37" fillId="6" borderId="0" xfId="0" applyFont="1" applyFill="1" applyProtection="1"/>
    <xf numFmtId="0" fontId="37" fillId="6" borderId="0" xfId="0" applyFont="1" applyFill="1" applyAlignment="1" applyProtection="1">
      <alignment horizontal="left" vertical="top" wrapText="1"/>
    </xf>
    <xf numFmtId="0" fontId="40" fillId="6" borderId="0" xfId="0" applyFont="1" applyFill="1" applyProtection="1"/>
    <xf numFmtId="0" fontId="40" fillId="0" borderId="0" xfId="0" applyFont="1" applyProtection="1"/>
    <xf numFmtId="0" fontId="10" fillId="6" borderId="0" xfId="0" applyFont="1" applyFill="1" applyBorder="1" applyAlignment="1" applyProtection="1">
      <alignment horizontal="center" vertical="center" wrapText="1"/>
    </xf>
    <xf numFmtId="1" fontId="4" fillId="14" borderId="6" xfId="0" applyNumberFormat="1" applyFont="1" applyFill="1" applyBorder="1" applyAlignment="1" applyProtection="1">
      <alignment horizontal="center" vertical="center" wrapText="1"/>
    </xf>
    <xf numFmtId="0" fontId="42" fillId="6" borderId="6" xfId="0" applyFont="1" applyFill="1" applyBorder="1" applyAlignment="1" applyProtection="1">
      <alignment horizontal="center" vertical="center" wrapText="1"/>
    </xf>
    <xf numFmtId="0" fontId="43" fillId="6" borderId="6" xfId="0" applyFont="1" applyFill="1" applyBorder="1" applyAlignment="1" applyProtection="1">
      <alignment horizontal="center" vertical="center"/>
    </xf>
    <xf numFmtId="0" fontId="0" fillId="6" borderId="0" xfId="0" applyFill="1" applyProtection="1"/>
    <xf numFmtId="0" fontId="44" fillId="6" borderId="42" xfId="0" applyFont="1" applyFill="1" applyBorder="1" applyAlignment="1" applyProtection="1">
      <alignment horizontal="center" vertical="center" wrapText="1"/>
    </xf>
    <xf numFmtId="0" fontId="0" fillId="0" borderId="0" xfId="0" applyProtection="1"/>
    <xf numFmtId="0" fontId="45" fillId="6" borderId="0" xfId="0" applyFont="1" applyFill="1" applyProtection="1"/>
    <xf numFmtId="0" fontId="43" fillId="0" borderId="6" xfId="0" applyFont="1" applyFill="1" applyBorder="1" applyAlignment="1" applyProtection="1">
      <alignment horizontal="center" vertical="center"/>
    </xf>
    <xf numFmtId="0" fontId="42" fillId="6" borderId="42" xfId="0" applyFont="1" applyFill="1" applyBorder="1" applyAlignment="1" applyProtection="1">
      <alignment horizontal="center" vertical="center" wrapText="1"/>
    </xf>
    <xf numFmtId="0" fontId="46" fillId="6" borderId="0" xfId="0" applyFont="1" applyFill="1" applyAlignment="1" applyProtection="1">
      <alignment horizontal="center" vertical="center"/>
    </xf>
    <xf numFmtId="0" fontId="47" fillId="6" borderId="40" xfId="0" applyFont="1" applyFill="1" applyBorder="1" applyAlignment="1" applyProtection="1">
      <alignment horizontal="center" vertical="center"/>
    </xf>
    <xf numFmtId="0" fontId="17" fillId="6" borderId="0" xfId="0" applyFont="1" applyFill="1" applyBorder="1" applyAlignment="1" applyProtection="1">
      <alignment horizontal="left" vertical="top"/>
    </xf>
    <xf numFmtId="0" fontId="17" fillId="6" borderId="0" xfId="0" applyFont="1" applyFill="1" applyBorder="1" applyAlignment="1" applyProtection="1">
      <alignment horizontal="left" vertical="center"/>
    </xf>
    <xf numFmtId="0" fontId="17" fillId="6" borderId="0" xfId="0" applyFont="1" applyFill="1"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wrapText="1"/>
    </xf>
    <xf numFmtId="0" fontId="0" fillId="0" borderId="0" xfId="0" applyBorder="1" applyAlignment="1" applyProtection="1">
      <alignment wrapText="1"/>
    </xf>
    <xf numFmtId="0" fontId="43" fillId="6" borderId="9" xfId="0" applyFont="1" applyFill="1" applyBorder="1" applyAlignment="1" applyProtection="1">
      <alignment horizontal="center" vertical="center"/>
    </xf>
    <xf numFmtId="1" fontId="4" fillId="14" borderId="40" xfId="0" applyNumberFormat="1" applyFont="1" applyFill="1" applyBorder="1" applyAlignment="1" applyProtection="1">
      <alignment horizontal="center" vertical="center" wrapText="1"/>
    </xf>
    <xf numFmtId="0" fontId="48" fillId="0" borderId="43" xfId="0" applyFont="1" applyFill="1" applyBorder="1" applyAlignment="1" applyProtection="1">
      <alignment horizontal="center" vertical="center"/>
    </xf>
    <xf numFmtId="0" fontId="49" fillId="6" borderId="0" xfId="0" applyFont="1" applyFill="1" applyProtection="1"/>
    <xf numFmtId="0" fontId="49" fillId="0" borderId="0" xfId="0" applyFont="1" applyProtection="1"/>
    <xf numFmtId="0" fontId="4" fillId="6" borderId="0" xfId="0" applyFont="1" applyFill="1" applyBorder="1" applyAlignment="1" applyProtection="1">
      <alignment horizontal="left" vertical="top" wrapText="1"/>
    </xf>
    <xf numFmtId="0" fontId="4" fillId="6" borderId="0" xfId="0" applyFont="1" applyFill="1" applyBorder="1" applyAlignment="1" applyProtection="1">
      <alignment horizontal="center" vertical="center" wrapText="1"/>
    </xf>
    <xf numFmtId="0" fontId="4" fillId="6" borderId="0" xfId="0" applyFont="1" applyFill="1" applyBorder="1" applyAlignment="1" applyProtection="1">
      <alignment horizontal="left" vertical="center" wrapText="1"/>
    </xf>
    <xf numFmtId="0" fontId="50" fillId="6" borderId="0"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xf>
    <xf numFmtId="0" fontId="0" fillId="6" borderId="0" xfId="0" applyFill="1" applyAlignment="1" applyProtection="1">
      <alignment horizontal="left" vertical="top" wrapText="1"/>
    </xf>
    <xf numFmtId="0" fontId="0" fillId="0" borderId="0" xfId="0" applyAlignment="1" applyProtection="1">
      <alignment horizontal="left" vertical="top" wrapText="1"/>
    </xf>
    <xf numFmtId="17" fontId="41" fillId="19" borderId="40" xfId="0" applyNumberFormat="1" applyFont="1" applyFill="1" applyBorder="1" applyAlignment="1" applyProtection="1">
      <alignment horizontal="center" vertical="center" wrapText="1"/>
    </xf>
    <xf numFmtId="17" fontId="41" fillId="19" borderId="41" xfId="0" applyNumberFormat="1" applyFont="1" applyFill="1" applyBorder="1" applyAlignment="1" applyProtection="1">
      <alignment horizontal="center" vertical="center" wrapText="1"/>
    </xf>
    <xf numFmtId="17" fontId="41" fillId="19" borderId="6" xfId="0" applyNumberFormat="1" applyFont="1" applyFill="1" applyBorder="1" applyAlignment="1" applyProtection="1">
      <alignment horizontal="center" vertical="center" wrapText="1"/>
    </xf>
    <xf numFmtId="0" fontId="51" fillId="17" borderId="40" xfId="0" applyFont="1" applyFill="1" applyBorder="1" applyAlignment="1" applyProtection="1">
      <alignment horizontal="left" vertical="center" wrapText="1"/>
    </xf>
    <xf numFmtId="0" fontId="52" fillId="18" borderId="6" xfId="0" applyFont="1" applyFill="1" applyBorder="1" applyAlignment="1" applyProtection="1">
      <alignment horizontal="left" vertical="center" wrapText="1"/>
    </xf>
    <xf numFmtId="0" fontId="52" fillId="18" borderId="40" xfId="0" applyFont="1" applyFill="1" applyBorder="1" applyAlignment="1" applyProtection="1">
      <alignment horizontal="left" vertical="center" wrapText="1"/>
    </xf>
    <xf numFmtId="0" fontId="42" fillId="6" borderId="40" xfId="0" applyFont="1" applyFill="1" applyBorder="1" applyAlignment="1" applyProtection="1">
      <alignment horizontal="center" vertical="center" wrapText="1"/>
    </xf>
    <xf numFmtId="0" fontId="43" fillId="6" borderId="40" xfId="0" applyFont="1" applyFill="1" applyBorder="1" applyAlignment="1" applyProtection="1">
      <alignment horizontal="center" vertical="center"/>
    </xf>
    <xf numFmtId="0" fontId="38" fillId="5" borderId="6" xfId="0" applyFont="1" applyFill="1" applyBorder="1" applyAlignment="1" applyProtection="1">
      <alignment horizontal="center" vertical="center" wrapText="1"/>
    </xf>
    <xf numFmtId="49" fontId="11" fillId="5" borderId="6" xfId="2" applyNumberFormat="1" applyFont="1" applyFill="1" applyBorder="1" applyAlignment="1" applyProtection="1">
      <alignment horizontal="center" vertical="center" wrapText="1"/>
    </xf>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wrapText="1"/>
    </xf>
    <xf numFmtId="0" fontId="12" fillId="6" borderId="0" xfId="0" applyFont="1" applyFill="1" applyAlignment="1" applyProtection="1">
      <alignment horizontal="center" vertical="center"/>
    </xf>
    <xf numFmtId="0" fontId="11" fillId="4" borderId="0" xfId="0" applyFont="1" applyFill="1" applyBorder="1" applyAlignment="1" applyProtection="1">
      <alignment vertical="center"/>
    </xf>
    <xf numFmtId="0" fontId="11"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vertical="center" wrapText="1"/>
    </xf>
    <xf numFmtId="10" fontId="11" fillId="4" borderId="0" xfId="0" applyNumberFormat="1" applyFont="1" applyFill="1" applyBorder="1" applyAlignment="1" applyProtection="1">
      <alignment horizontal="center" vertical="center" wrapText="1"/>
    </xf>
    <xf numFmtId="0" fontId="12" fillId="6" borderId="0" xfId="0" applyFont="1" applyFill="1" applyAlignment="1" applyProtection="1">
      <alignment vertical="center"/>
    </xf>
    <xf numFmtId="0" fontId="2" fillId="6" borderId="0" xfId="0" applyFont="1" applyFill="1" applyAlignment="1" applyProtection="1">
      <alignment vertical="center"/>
    </xf>
    <xf numFmtId="0" fontId="2"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5" fillId="6" borderId="0" xfId="0" applyFont="1" applyFill="1" applyAlignment="1" applyProtection="1">
      <alignment horizontal="center" vertical="center"/>
    </xf>
    <xf numFmtId="10" fontId="15" fillId="6" borderId="0" xfId="0" applyNumberFormat="1" applyFont="1" applyFill="1" applyAlignment="1" applyProtection="1">
      <alignment horizontal="center" vertical="center"/>
    </xf>
    <xf numFmtId="0" fontId="14" fillId="6" borderId="0" xfId="0" applyFont="1" applyFill="1" applyAlignment="1" applyProtection="1">
      <alignment vertical="center"/>
    </xf>
    <xf numFmtId="0" fontId="4" fillId="5" borderId="9" xfId="0" applyFont="1" applyFill="1" applyBorder="1" applyAlignment="1" applyProtection="1">
      <alignment vertical="center" wrapText="1"/>
    </xf>
    <xf numFmtId="0" fontId="10" fillId="5" borderId="11"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4" fillId="5" borderId="6" xfId="0" applyFont="1" applyFill="1" applyBorder="1" applyAlignment="1" applyProtection="1">
      <alignment horizontal="left" vertical="center"/>
    </xf>
    <xf numFmtId="0" fontId="10" fillId="5" borderId="0" xfId="0" applyFont="1" applyFill="1" applyAlignment="1" applyProtection="1">
      <alignment horizontal="center" vertical="center"/>
    </xf>
    <xf numFmtId="10" fontId="10" fillId="5" borderId="0" xfId="0" applyNumberFormat="1" applyFont="1" applyFill="1" applyAlignment="1" applyProtection="1">
      <alignment horizontal="center" vertical="center"/>
    </xf>
    <xf numFmtId="0" fontId="5" fillId="2" borderId="12"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0" xfId="0" applyFont="1" applyFill="1" applyBorder="1" applyAlignment="1" applyProtection="1">
      <alignment vertical="center"/>
    </xf>
    <xf numFmtId="0" fontId="2" fillId="0" borderId="12" xfId="0" applyFont="1" applyFill="1" applyBorder="1" applyAlignment="1" applyProtection="1">
      <alignment horizontal="center" vertical="center" wrapText="1"/>
    </xf>
    <xf numFmtId="10" fontId="2" fillId="0" borderId="12" xfId="0" applyNumberFormat="1" applyFont="1" applyFill="1" applyBorder="1" applyAlignment="1" applyProtection="1">
      <alignment horizontal="center" vertical="center" wrapText="1"/>
    </xf>
    <xf numFmtId="0" fontId="5" fillId="8" borderId="12" xfId="0" applyFont="1" applyFill="1" applyBorder="1" applyAlignment="1" applyProtection="1">
      <alignment horizontal="left" vertical="center"/>
    </xf>
    <xf numFmtId="0" fontId="5" fillId="0" borderId="12" xfId="0" applyFont="1" applyFill="1" applyBorder="1" applyAlignment="1" applyProtection="1">
      <alignment horizontal="center" vertical="center" wrapText="1"/>
    </xf>
    <xf numFmtId="0" fontId="4" fillId="9" borderId="12" xfId="0" applyFont="1" applyFill="1" applyBorder="1" applyAlignment="1" applyProtection="1">
      <alignment vertical="center" wrapText="1"/>
    </xf>
    <xf numFmtId="0" fontId="5" fillId="0" borderId="12" xfId="0" applyFont="1" applyFill="1" applyBorder="1" applyAlignment="1" applyProtection="1">
      <alignment vertical="center" wrapText="1"/>
    </xf>
    <xf numFmtId="10" fontId="2" fillId="0" borderId="12"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horizontal="center" vertical="center"/>
    </xf>
    <xf numFmtId="0" fontId="10" fillId="6" borderId="12" xfId="0" applyFont="1" applyFill="1" applyBorder="1" applyAlignment="1" applyProtection="1">
      <alignment vertical="center" wrapText="1"/>
    </xf>
    <xf numFmtId="10" fontId="10" fillId="6" borderId="12"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horizontal="center" vertical="center"/>
    </xf>
    <xf numFmtId="0" fontId="19" fillId="6" borderId="12" xfId="0" applyFont="1" applyFill="1" applyBorder="1" applyAlignment="1" applyProtection="1">
      <alignment vertical="center" wrapText="1"/>
    </xf>
    <xf numFmtId="0" fontId="2" fillId="6" borderId="12" xfId="0" applyFont="1" applyFill="1" applyBorder="1" applyAlignment="1" applyProtection="1">
      <alignment horizontal="center" vertical="center"/>
    </xf>
    <xf numFmtId="0" fontId="14" fillId="6" borderId="0" xfId="0" applyFont="1" applyFill="1" applyAlignment="1" applyProtection="1">
      <alignment horizontal="left" vertical="center" wrapText="1"/>
    </xf>
    <xf numFmtId="10" fontId="14" fillId="6" borderId="0" xfId="0" applyNumberFormat="1" applyFont="1" applyFill="1" applyAlignment="1" applyProtection="1">
      <alignment horizontal="center" vertical="center"/>
    </xf>
    <xf numFmtId="0" fontId="4" fillId="5" borderId="17" xfId="0" applyFont="1" applyFill="1" applyBorder="1" applyAlignment="1" applyProtection="1">
      <alignment vertical="center"/>
    </xf>
    <xf numFmtId="0" fontId="4" fillId="5" borderId="11" xfId="0" applyFont="1" applyFill="1" applyBorder="1" applyAlignment="1" applyProtection="1">
      <alignment horizontal="center" vertical="center"/>
    </xf>
    <xf numFmtId="0" fontId="4" fillId="5" borderId="16" xfId="0" applyFont="1" applyFill="1" applyBorder="1" applyAlignment="1" applyProtection="1">
      <alignment horizontal="center" vertical="center"/>
    </xf>
    <xf numFmtId="0" fontId="19" fillId="6" borderId="0" xfId="0" applyFont="1" applyFill="1" applyBorder="1" applyAlignment="1" applyProtection="1">
      <alignment horizontal="left" vertical="center" wrapText="1"/>
    </xf>
    <xf numFmtId="10" fontId="14" fillId="6" borderId="0" xfId="0" applyNumberFormat="1" applyFont="1" applyFill="1" applyBorder="1" applyAlignment="1" applyProtection="1">
      <alignment horizontal="center" vertical="center"/>
    </xf>
    <xf numFmtId="0" fontId="19" fillId="6" borderId="0" xfId="0" applyFont="1" applyFill="1" applyBorder="1" applyAlignment="1" applyProtection="1">
      <alignment vertical="center" wrapText="1"/>
    </xf>
    <xf numFmtId="0" fontId="4" fillId="5" borderId="10" xfId="0" applyFont="1" applyFill="1" applyBorder="1" applyAlignment="1" applyProtection="1">
      <alignment vertical="center"/>
    </xf>
    <xf numFmtId="0" fontId="4" fillId="5" borderId="7"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2" fillId="0" borderId="18" xfId="0" applyFont="1" applyFill="1" applyBorder="1" applyAlignment="1" applyProtection="1">
      <alignment horizontal="center" vertical="center" wrapText="1"/>
    </xf>
    <xf numFmtId="0" fontId="19" fillId="6" borderId="19" xfId="0" applyFont="1" applyFill="1" applyBorder="1" applyAlignment="1" applyProtection="1">
      <alignment vertical="center" wrapText="1"/>
    </xf>
    <xf numFmtId="0" fontId="13" fillId="6" borderId="0" xfId="0" applyFont="1" applyFill="1" applyAlignment="1" applyProtection="1">
      <alignment horizontal="center" vertical="center"/>
    </xf>
    <xf numFmtId="0" fontId="8" fillId="5" borderId="0" xfId="0" applyFont="1" applyFill="1" applyAlignment="1" applyProtection="1">
      <alignment horizontal="center" vertical="center"/>
    </xf>
    <xf numFmtId="0" fontId="11" fillId="5" borderId="0" xfId="0" applyFont="1" applyFill="1" applyBorder="1" applyAlignment="1" applyProtection="1">
      <alignment horizontal="left" vertical="center"/>
    </xf>
    <xf numFmtId="0" fontId="11" fillId="5"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1" fillId="5" borderId="0" xfId="0" applyFont="1" applyFill="1" applyBorder="1" applyAlignment="1" applyProtection="1">
      <alignment horizontal="left" vertical="center" wrapText="1"/>
    </xf>
    <xf numFmtId="0" fontId="11" fillId="5" borderId="0" xfId="0" applyFont="1" applyFill="1" applyBorder="1" applyAlignment="1" applyProtection="1">
      <alignment horizontal="center" vertical="center" wrapText="1"/>
    </xf>
    <xf numFmtId="10" fontId="11" fillId="5" borderId="0" xfId="0" applyNumberFormat="1" applyFont="1" applyFill="1" applyBorder="1" applyAlignment="1" applyProtection="1">
      <alignment horizontal="center" vertical="center" wrapText="1"/>
    </xf>
    <xf numFmtId="0" fontId="4" fillId="12" borderId="36" xfId="0" applyFont="1" applyFill="1" applyBorder="1" applyAlignment="1" applyProtection="1">
      <alignment vertical="center" wrapText="1"/>
    </xf>
    <xf numFmtId="0" fontId="10" fillId="12" borderId="36" xfId="0" applyFont="1" applyFill="1" applyBorder="1" applyAlignment="1" applyProtection="1">
      <alignment horizontal="center" vertical="center"/>
    </xf>
    <xf numFmtId="0" fontId="10" fillId="12" borderId="36" xfId="0" applyFont="1" applyFill="1" applyBorder="1" applyAlignment="1" applyProtection="1">
      <alignment vertical="center"/>
    </xf>
    <xf numFmtId="0" fontId="5" fillId="7" borderId="36" xfId="0" applyFont="1" applyFill="1" applyBorder="1" applyAlignment="1" applyProtection="1">
      <alignment vertical="center" wrapText="1"/>
    </xf>
    <xf numFmtId="0" fontId="5" fillId="7" borderId="36"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0" fontId="2" fillId="0" borderId="36" xfId="0" applyNumberFormat="1" applyFont="1" applyFill="1" applyBorder="1" applyAlignment="1" applyProtection="1">
      <alignment horizontal="center" vertical="center" wrapText="1"/>
    </xf>
    <xf numFmtId="10" fontId="2" fillId="0" borderId="36" xfId="0" applyNumberFormat="1" applyFont="1" applyFill="1" applyBorder="1" applyAlignment="1" applyProtection="1">
      <alignment vertical="center" wrapText="1"/>
    </xf>
    <xf numFmtId="0" fontId="4" fillId="9" borderId="36" xfId="0" applyFont="1" applyFill="1" applyBorder="1" applyAlignment="1" applyProtection="1">
      <alignment vertical="center" wrapText="1"/>
    </xf>
    <xf numFmtId="0" fontId="5" fillId="0" borderId="36" xfId="0" applyFont="1" applyFill="1" applyBorder="1" applyAlignment="1" applyProtection="1">
      <alignment vertical="center" wrapText="1"/>
    </xf>
    <xf numFmtId="10" fontId="2" fillId="0" borderId="36" xfId="0" applyNumberFormat="1" applyFont="1" applyFill="1" applyBorder="1" applyAlignment="1" applyProtection="1">
      <alignment horizontal="center" vertical="center"/>
    </xf>
    <xf numFmtId="10" fontId="2" fillId="6" borderId="0" xfId="0" applyNumberFormat="1" applyFont="1" applyFill="1" applyBorder="1" applyAlignment="1" applyProtection="1">
      <alignment vertical="center"/>
    </xf>
    <xf numFmtId="0" fontId="10" fillId="6" borderId="36" xfId="0" applyFont="1" applyFill="1" applyBorder="1" applyAlignment="1" applyProtection="1">
      <alignment vertical="center" wrapText="1"/>
    </xf>
    <xf numFmtId="10" fontId="10" fillId="6" borderId="36" xfId="0" applyNumberFormat="1" applyFont="1" applyFill="1" applyBorder="1" applyAlignment="1" applyProtection="1">
      <alignment horizontal="center" vertical="center"/>
    </xf>
    <xf numFmtId="10" fontId="10" fillId="6" borderId="0" xfId="0" applyNumberFormat="1" applyFont="1" applyFill="1" applyBorder="1" applyAlignment="1" applyProtection="1">
      <alignment vertical="center"/>
    </xf>
    <xf numFmtId="0" fontId="19" fillId="6" borderId="36" xfId="0" applyFont="1" applyFill="1" applyBorder="1" applyAlignment="1" applyProtection="1">
      <alignment vertical="center" wrapText="1"/>
    </xf>
    <xf numFmtId="0" fontId="2" fillId="6" borderId="36" xfId="0" applyFont="1" applyFill="1" applyBorder="1" applyAlignment="1" applyProtection="1">
      <alignment horizontal="center" vertical="center"/>
    </xf>
    <xf numFmtId="0" fontId="10" fillId="6" borderId="0" xfId="0" applyFont="1" applyFill="1" applyBorder="1" applyAlignment="1" applyProtection="1">
      <alignment vertical="center"/>
    </xf>
    <xf numFmtId="0" fontId="4" fillId="6" borderId="0" xfId="0" applyFont="1" applyFill="1" applyBorder="1" applyAlignment="1" applyProtection="1">
      <alignment horizontal="left" vertical="center"/>
    </xf>
    <xf numFmtId="0" fontId="13" fillId="6"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8" fillId="6" borderId="0" xfId="0" applyFont="1" applyFill="1" applyBorder="1" applyAlignment="1" applyProtection="1">
      <alignment horizontal="center" vertical="center"/>
    </xf>
    <xf numFmtId="0" fontId="4" fillId="12" borderId="36" xfId="0" applyFont="1" applyFill="1" applyBorder="1" applyAlignment="1" applyProtection="1">
      <alignment vertical="center"/>
    </xf>
    <xf numFmtId="10" fontId="7" fillId="6" borderId="0" xfId="0" applyNumberFormat="1" applyFont="1" applyFill="1" applyAlignment="1">
      <alignment vertical="center"/>
    </xf>
    <xf numFmtId="0" fontId="4" fillId="10" borderId="12" xfId="0" applyFont="1" applyFill="1" applyBorder="1" applyAlignment="1" applyProtection="1">
      <alignment vertical="center" wrapText="1"/>
    </xf>
    <xf numFmtId="0" fontId="4" fillId="15" borderId="36" xfId="0" applyFont="1" applyFill="1" applyBorder="1" applyAlignment="1" applyProtection="1">
      <alignment vertical="center" wrapText="1"/>
    </xf>
    <xf numFmtId="0" fontId="0" fillId="0" borderId="1" xfId="0" applyNumberFormat="1" applyBorder="1" applyAlignment="1" applyProtection="1">
      <alignment horizontal="left" vertical="center" wrapText="1"/>
    </xf>
    <xf numFmtId="0" fontId="0" fillId="0" borderId="1" xfId="0" applyNumberFormat="1" applyBorder="1" applyAlignment="1" applyProtection="1">
      <alignment horizontal="center" vertical="center" wrapText="1"/>
    </xf>
    <xf numFmtId="0" fontId="4" fillId="4" borderId="3"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7" fillId="6" borderId="0" xfId="0" applyNumberFormat="1" applyFont="1" applyFill="1" applyAlignment="1" applyProtection="1">
      <alignment horizontal="left" wrapText="1"/>
    </xf>
    <xf numFmtId="0" fontId="1" fillId="6" borderId="0" xfId="0" applyNumberFormat="1" applyFont="1" applyFill="1" applyAlignment="1" applyProtection="1">
      <alignment horizontal="left" wrapText="1"/>
    </xf>
    <xf numFmtId="0" fontId="8" fillId="6" borderId="0" xfId="0" applyNumberFormat="1" applyFont="1" applyFill="1" applyAlignment="1" applyProtection="1">
      <alignment wrapText="1"/>
    </xf>
    <xf numFmtId="0" fontId="10" fillId="6" borderId="45" xfId="0" applyNumberFormat="1" applyFont="1" applyFill="1" applyBorder="1" applyAlignment="1" applyProtection="1">
      <alignment horizontal="left" vertical="center" wrapText="1"/>
      <protection locked="0"/>
    </xf>
    <xf numFmtId="0" fontId="9" fillId="6" borderId="45" xfId="0" applyNumberFormat="1" applyFont="1" applyFill="1" applyBorder="1" applyAlignment="1" applyProtection="1">
      <alignment horizontal="left" vertical="center" wrapText="1"/>
      <protection locked="0"/>
    </xf>
    <xf numFmtId="0" fontId="0" fillId="0" borderId="1" xfId="0" applyNumberFormat="1" applyBorder="1" applyAlignment="1" applyProtection="1">
      <alignment horizontal="left" vertical="center" wrapText="1"/>
      <protection locked="0"/>
    </xf>
    <xf numFmtId="164" fontId="0" fillId="0" borderId="1" xfId="0" applyNumberFormat="1" applyBorder="1" applyAlignment="1" applyProtection="1">
      <alignment horizontal="center" vertical="center" wrapText="1"/>
    </xf>
    <xf numFmtId="0" fontId="9" fillId="6" borderId="4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left" vertical="center" wrapText="1"/>
      <protection locked="0"/>
    </xf>
    <xf numFmtId="0" fontId="9" fillId="6" borderId="4" xfId="0" applyNumberFormat="1" applyFont="1" applyFill="1" applyBorder="1" applyAlignment="1" applyProtection="1">
      <alignment horizontal="center" vertical="center" wrapText="1"/>
      <protection locked="0"/>
    </xf>
    <xf numFmtId="0" fontId="10" fillId="6" borderId="4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left" vertical="center" wrapText="1"/>
      <protection locked="0"/>
    </xf>
    <xf numFmtId="0" fontId="8" fillId="6" borderId="44" xfId="0" applyNumberFormat="1" applyFont="1" applyFill="1" applyBorder="1" applyAlignment="1" applyProtection="1">
      <alignment horizontal="left" vertical="center" wrapText="1"/>
      <protection locked="0"/>
    </xf>
    <xf numFmtId="0" fontId="53" fillId="6" borderId="44" xfId="0" applyNumberFormat="1" applyFont="1" applyFill="1" applyBorder="1" applyAlignment="1" applyProtection="1">
      <alignment horizontal="left" vertical="center" wrapText="1"/>
      <protection locked="0"/>
    </xf>
    <xf numFmtId="0" fontId="8" fillId="6" borderId="45" xfId="0" applyNumberFormat="1" applyFont="1" applyFill="1" applyBorder="1" applyAlignment="1" applyProtection="1">
      <alignment horizontal="left" vertical="center" wrapText="1"/>
      <protection locked="0"/>
    </xf>
    <xf numFmtId="10" fontId="10" fillId="6" borderId="44" xfId="0" applyNumberFormat="1" applyFont="1" applyFill="1" applyBorder="1" applyAlignment="1" applyProtection="1">
      <alignment horizontal="left" vertical="center" wrapText="1"/>
      <protection locked="0"/>
    </xf>
    <xf numFmtId="8" fontId="9" fillId="6" borderId="44" xfId="0" applyNumberFormat="1" applyFont="1" applyFill="1" applyBorder="1" applyAlignment="1" applyProtection="1">
      <alignment horizontal="left" vertical="center" wrapText="1"/>
      <protection locked="0"/>
    </xf>
    <xf numFmtId="10" fontId="9" fillId="6" borderId="44" xfId="0" applyNumberFormat="1" applyFont="1" applyFill="1" applyBorder="1" applyAlignment="1" applyProtection="1">
      <alignment horizontal="left" vertical="center" wrapText="1"/>
      <protection locked="0"/>
    </xf>
    <xf numFmtId="8" fontId="9" fillId="6" borderId="4" xfId="0" applyNumberFormat="1" applyFont="1" applyFill="1" applyBorder="1" applyAlignment="1" applyProtection="1">
      <alignment horizontal="left" vertical="center" wrapText="1"/>
      <protection locked="0"/>
    </xf>
    <xf numFmtId="0" fontId="10" fillId="6" borderId="4" xfId="0" applyNumberFormat="1" applyFont="1" applyFill="1" applyBorder="1" applyAlignment="1" applyProtection="1">
      <alignment horizontal="center" vertical="center" wrapText="1"/>
      <protection locked="0"/>
    </xf>
    <xf numFmtId="10" fontId="8" fillId="6" borderId="4" xfId="0" applyNumberFormat="1" applyFont="1" applyFill="1" applyBorder="1" applyAlignment="1" applyProtection="1">
      <alignment horizontal="center" vertical="center" wrapText="1"/>
      <protection locked="0"/>
    </xf>
    <xf numFmtId="9" fontId="10" fillId="6" borderId="4" xfId="0" applyNumberFormat="1" applyFont="1" applyFill="1" applyBorder="1" applyAlignment="1" applyProtection="1">
      <alignment horizontal="center" vertical="center" wrapText="1"/>
      <protection locked="0"/>
    </xf>
    <xf numFmtId="9" fontId="10" fillId="6" borderId="44" xfId="0" applyNumberFormat="1" applyFont="1" applyFill="1" applyBorder="1" applyAlignment="1" applyProtection="1">
      <alignment horizontal="left" vertical="center" wrapText="1"/>
      <protection locked="0"/>
    </xf>
    <xf numFmtId="9" fontId="9" fillId="6" borderId="44" xfId="0" applyNumberFormat="1" applyFont="1" applyFill="1" applyBorder="1" applyAlignment="1" applyProtection="1">
      <alignment horizontal="left" vertical="center" wrapText="1"/>
      <protection locked="0"/>
    </xf>
    <xf numFmtId="0" fontId="9" fillId="6" borderId="0" xfId="0" applyNumberFormat="1" applyFont="1" applyFill="1" applyBorder="1" applyAlignment="1" applyProtection="1">
      <alignment horizontal="left" vertical="center" wrapText="1"/>
      <protection locked="0"/>
    </xf>
    <xf numFmtId="0" fontId="59" fillId="21" borderId="63" xfId="0" applyFont="1" applyFill="1" applyBorder="1" applyAlignment="1" applyProtection="1">
      <alignment horizontal="center" vertical="center" wrapText="1"/>
    </xf>
    <xf numFmtId="166" fontId="59" fillId="21" borderId="64" xfId="0" applyNumberFormat="1" applyFont="1" applyFill="1" applyBorder="1" applyAlignment="1" applyProtection="1">
      <alignment horizontal="center" vertical="center" wrapText="1"/>
    </xf>
    <xf numFmtId="0" fontId="59" fillId="23" borderId="63" xfId="0" applyFont="1" applyFill="1" applyBorder="1" applyAlignment="1" applyProtection="1">
      <alignment horizontal="center" vertical="center" wrapText="1"/>
    </xf>
    <xf numFmtId="0" fontId="15" fillId="3" borderId="62" xfId="0" applyFont="1" applyFill="1" applyBorder="1" applyAlignment="1" applyProtection="1">
      <alignment horizontal="center" vertical="center" wrapText="1"/>
    </xf>
    <xf numFmtId="0" fontId="6" fillId="0" borderId="1" xfId="0" applyNumberFormat="1" applyFont="1" applyBorder="1" applyAlignment="1" applyProtection="1">
      <alignment horizontal="left" vertical="center" wrapText="1"/>
    </xf>
    <xf numFmtId="0" fontId="8" fillId="6" borderId="0" xfId="0" applyNumberFormat="1" applyFont="1" applyFill="1" applyAlignment="1" applyProtection="1">
      <alignment horizontal="left" vertical="top" wrapText="1"/>
    </xf>
    <xf numFmtId="0" fontId="8" fillId="6" borderId="0" xfId="0" applyNumberFormat="1" applyFont="1" applyFill="1" applyAlignment="1" applyProtection="1">
      <alignment vertical="center" wrapText="1"/>
    </xf>
    <xf numFmtId="0" fontId="55" fillId="0" borderId="1" xfId="0" applyNumberFormat="1" applyFont="1" applyBorder="1" applyAlignment="1" applyProtection="1">
      <alignment horizontal="left" vertical="center"/>
    </xf>
    <xf numFmtId="0" fontId="0" fillId="0" borderId="1" xfId="0" applyNumberFormat="1" applyBorder="1" applyAlignment="1" applyProtection="1">
      <alignment horizontal="left" vertical="center"/>
    </xf>
    <xf numFmtId="164"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6" fillId="0" borderId="1" xfId="0" applyNumberFormat="1" applyFont="1" applyBorder="1" applyAlignment="1" applyProtection="1">
      <alignment horizontal="left" vertical="center"/>
    </xf>
    <xf numFmtId="0" fontId="53" fillId="6" borderId="4" xfId="0" applyNumberFormat="1" applyFont="1" applyFill="1" applyBorder="1" applyAlignment="1" applyProtection="1">
      <alignment horizontal="left" vertical="center" wrapText="1"/>
      <protection locked="0"/>
    </xf>
    <xf numFmtId="0" fontId="4" fillId="22" borderId="5" xfId="0" applyNumberFormat="1" applyFont="1" applyFill="1" applyBorder="1" applyAlignment="1" applyProtection="1">
      <alignment horizontal="center" vertical="center" wrapText="1"/>
      <protection locked="0"/>
    </xf>
    <xf numFmtId="9" fontId="10" fillId="6" borderId="44" xfId="0" applyNumberFormat="1" applyFont="1" applyFill="1" applyBorder="1" applyAlignment="1" applyProtection="1">
      <alignment horizontal="center" vertical="center" wrapText="1"/>
      <protection locked="0"/>
    </xf>
    <xf numFmtId="0" fontId="8" fillId="6" borderId="4" xfId="0" applyNumberFormat="1" applyFont="1" applyFill="1" applyBorder="1" applyAlignment="1" applyProtection="1">
      <alignment horizontal="left" vertical="center" wrapText="1"/>
      <protection locked="0"/>
    </xf>
    <xf numFmtId="0" fontId="56" fillId="6" borderId="4" xfId="0" applyNumberFormat="1" applyFont="1" applyFill="1" applyBorder="1" applyAlignment="1" applyProtection="1">
      <alignment horizontal="left" vertical="center" wrapText="1"/>
      <protection locked="0"/>
    </xf>
    <xf numFmtId="0" fontId="10" fillId="0" borderId="45" xfId="0" applyNumberFormat="1" applyFont="1" applyFill="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0" fillId="0" borderId="1" xfId="0" applyNumberFormat="1" applyBorder="1" applyAlignment="1" applyProtection="1">
      <alignment horizontal="center" vertical="center" wrapText="1"/>
      <protection locked="0"/>
    </xf>
    <xf numFmtId="10" fontId="2" fillId="0" borderId="12" xfId="0" applyNumberFormat="1" applyFont="1" applyFill="1" applyBorder="1" applyAlignment="1" applyProtection="1">
      <alignment horizontal="center" vertical="center" wrapText="1"/>
    </xf>
    <xf numFmtId="10" fontId="2" fillId="0" borderId="36" xfId="0" applyNumberFormat="1" applyFont="1" applyFill="1" applyBorder="1" applyAlignment="1" applyProtection="1">
      <alignment horizontal="center" vertical="center" wrapText="1"/>
    </xf>
    <xf numFmtId="0" fontId="15" fillId="24" borderId="62" xfId="0" applyFont="1" applyFill="1" applyBorder="1" applyAlignment="1" applyProtection="1">
      <alignment horizontal="center" vertical="center" wrapText="1"/>
    </xf>
    <xf numFmtId="0" fontId="15" fillId="25" borderId="62" xfId="0" applyFont="1" applyFill="1" applyBorder="1" applyAlignment="1" applyProtection="1">
      <alignment horizontal="center" vertical="center" wrapText="1"/>
    </xf>
    <xf numFmtId="0" fontId="15" fillId="26" borderId="62" xfId="0" applyFont="1" applyFill="1" applyBorder="1" applyAlignment="1" applyProtection="1">
      <alignment horizontal="center" vertical="center" wrapText="1"/>
    </xf>
    <xf numFmtId="0" fontId="15" fillId="27" borderId="62" xfId="0" applyFont="1" applyFill="1" applyBorder="1" applyAlignment="1" applyProtection="1">
      <alignment horizontal="center" vertical="center" wrapText="1"/>
    </xf>
    <xf numFmtId="0" fontId="15" fillId="28" borderId="62" xfId="0" applyFont="1" applyFill="1" applyBorder="1" applyAlignment="1" applyProtection="1">
      <alignment horizontal="center" vertical="center" wrapText="1"/>
    </xf>
    <xf numFmtId="0" fontId="27" fillId="28" borderId="62" xfId="0" applyFont="1" applyFill="1" applyBorder="1" applyAlignment="1" applyProtection="1">
      <alignment horizontal="center" vertical="center" wrapText="1"/>
    </xf>
    <xf numFmtId="0" fontId="15" fillId="3" borderId="65" xfId="0" applyFont="1" applyFill="1" applyBorder="1" applyAlignment="1" applyProtection="1">
      <alignment horizontal="center" vertical="center" wrapText="1"/>
    </xf>
    <xf numFmtId="0" fontId="33" fillId="6" borderId="29" xfId="0" applyFont="1" applyFill="1" applyBorder="1" applyAlignment="1">
      <alignment horizontal="right" vertical="center" wrapText="1"/>
    </xf>
    <xf numFmtId="0" fontId="4" fillId="12" borderId="5" xfId="0" applyNumberFormat="1" applyFon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0" fontId="0" fillId="0" borderId="0" xfId="0" applyNumberFormat="1" applyAlignment="1" applyProtection="1">
      <protection locked="0"/>
    </xf>
    <xf numFmtId="0" fontId="4" fillId="4" borderId="1" xfId="0" applyNumberFormat="1" applyFont="1" applyFill="1" applyBorder="1" applyAlignment="1" applyProtection="1">
      <alignment horizontal="center" vertical="center" wrapText="1"/>
      <protection locked="0"/>
    </xf>
    <xf numFmtId="0" fontId="1" fillId="0" borderId="0" xfId="0" applyNumberFormat="1" applyFont="1" applyAlignment="1" applyProtection="1">
      <alignment wrapText="1"/>
      <protection locked="0"/>
    </xf>
    <xf numFmtId="49" fontId="10" fillId="6" borderId="44" xfId="0" applyNumberFormat="1" applyFont="1" applyFill="1" applyBorder="1" applyAlignment="1" applyProtection="1">
      <alignment horizontal="left" vertical="center" wrapText="1"/>
      <protection locked="0"/>
    </xf>
    <xf numFmtId="49" fontId="10" fillId="6" borderId="4" xfId="0" applyNumberFormat="1" applyFont="1" applyFill="1" applyBorder="1" applyAlignment="1" applyProtection="1">
      <alignment horizontal="left" vertical="center" wrapText="1"/>
      <protection locked="0"/>
    </xf>
    <xf numFmtId="0" fontId="0" fillId="0" borderId="0" xfId="0" applyNumberFormat="1" applyAlignment="1" applyProtection="1">
      <alignment wrapText="1"/>
      <protection locked="0"/>
    </xf>
    <xf numFmtId="0" fontId="9" fillId="6" borderId="4" xfId="0" quotePrefix="1" applyNumberFormat="1" applyFont="1" applyFill="1" applyBorder="1" applyAlignment="1" applyProtection="1">
      <alignment horizontal="left" vertical="center" wrapText="1"/>
      <protection locked="0"/>
    </xf>
    <xf numFmtId="0" fontId="9" fillId="6" borderId="44" xfId="0" quotePrefix="1" applyNumberFormat="1" applyFont="1" applyFill="1" applyBorder="1" applyAlignment="1" applyProtection="1">
      <alignment horizontal="left" vertical="center" wrapText="1"/>
      <protection locked="0"/>
    </xf>
    <xf numFmtId="9" fontId="10" fillId="6" borderId="4" xfId="0" applyNumberFormat="1" applyFont="1" applyFill="1" applyBorder="1" applyAlignment="1" applyProtection="1">
      <alignment horizontal="left" vertical="center" wrapText="1"/>
      <protection locked="0"/>
    </xf>
    <xf numFmtId="10" fontId="9" fillId="6" borderId="44" xfId="3" applyNumberFormat="1" applyFont="1" applyFill="1" applyBorder="1" applyAlignment="1" applyProtection="1">
      <alignment horizontal="left" vertical="center" wrapText="1"/>
      <protection locked="0"/>
    </xf>
    <xf numFmtId="0" fontId="9" fillId="0" borderId="44" xfId="0" applyNumberFormat="1" applyFont="1" applyFill="1" applyBorder="1" applyAlignment="1" applyProtection="1">
      <alignment horizontal="left" vertical="center" wrapText="1"/>
      <protection locked="0"/>
    </xf>
    <xf numFmtId="165" fontId="8" fillId="6" borderId="4" xfId="0" applyNumberFormat="1" applyFont="1" applyFill="1" applyBorder="1" applyAlignment="1" applyProtection="1">
      <alignment horizontal="left" vertical="center" wrapText="1"/>
      <protection locked="0"/>
    </xf>
    <xf numFmtId="165" fontId="8" fillId="6" borderId="44" xfId="0" applyNumberFormat="1" applyFont="1" applyFill="1" applyBorder="1" applyAlignment="1" applyProtection="1">
      <alignment horizontal="left" vertical="center" wrapText="1"/>
      <protection locked="0"/>
    </xf>
    <xf numFmtId="0" fontId="9" fillId="0" borderId="4" xfId="0" applyNumberFormat="1" applyFont="1" applyFill="1" applyBorder="1" applyAlignment="1" applyProtection="1">
      <alignment horizontal="left" vertical="center" wrapText="1"/>
      <protection locked="0"/>
    </xf>
    <xf numFmtId="6" fontId="9" fillId="0" borderId="44" xfId="0" applyNumberFormat="1" applyFont="1" applyFill="1" applyBorder="1" applyAlignment="1" applyProtection="1">
      <alignment horizontal="left" vertical="center" wrapText="1"/>
      <protection locked="0"/>
    </xf>
    <xf numFmtId="49" fontId="58" fillId="6" borderId="44" xfId="0" applyNumberFormat="1" applyFont="1" applyFill="1" applyBorder="1" applyAlignment="1" applyProtection="1">
      <alignment horizontal="left" vertical="center" wrapText="1"/>
      <protection locked="0"/>
    </xf>
    <xf numFmtId="49" fontId="10" fillId="0" borderId="44" xfId="0" applyNumberFormat="1" applyFont="1" applyFill="1" applyBorder="1" applyAlignment="1" applyProtection="1">
      <alignment horizontal="left" vertical="center" wrapText="1"/>
      <protection locked="0"/>
    </xf>
    <xf numFmtId="0" fontId="54" fillId="6" borderId="45" xfId="0" applyNumberFormat="1" applyFont="1" applyFill="1" applyBorder="1" applyAlignment="1" applyProtection="1">
      <alignment horizontal="left" vertical="center" wrapText="1"/>
      <protection locked="0"/>
    </xf>
    <xf numFmtId="0" fontId="10" fillId="0" borderId="44" xfId="0" applyFont="1" applyBorder="1" applyAlignment="1" applyProtection="1">
      <alignment vertical="center" wrapText="1"/>
      <protection locked="0"/>
    </xf>
    <xf numFmtId="0" fontId="0" fillId="0" borderId="45" xfId="0" applyNumberFormat="1" applyBorder="1" applyAlignment="1" applyProtection="1">
      <alignment horizontal="left" vertical="center" wrapText="1"/>
      <protection locked="0"/>
    </xf>
    <xf numFmtId="10" fontId="8" fillId="6" borderId="4" xfId="0" applyNumberFormat="1" applyFont="1" applyFill="1" applyBorder="1" applyAlignment="1" applyProtection="1">
      <alignment horizontal="left" vertical="center" wrapText="1"/>
      <protection locked="0"/>
    </xf>
    <xf numFmtId="1" fontId="0" fillId="6" borderId="0" xfId="0" applyNumberFormat="1" applyFill="1" applyAlignment="1">
      <alignment vertical="center"/>
    </xf>
    <xf numFmtId="165" fontId="8" fillId="6" borderId="51" xfId="0" applyNumberFormat="1" applyFont="1" applyFill="1" applyBorder="1" applyAlignment="1" applyProtection="1">
      <alignment horizontal="left" vertical="center" wrapText="1"/>
      <protection locked="0"/>
    </xf>
    <xf numFmtId="165" fontId="8" fillId="6" borderId="52" xfId="0" applyNumberFormat="1" applyFont="1" applyFill="1" applyBorder="1" applyAlignment="1" applyProtection="1">
      <alignment horizontal="left" vertical="center" wrapText="1"/>
      <protection locked="0"/>
    </xf>
    <xf numFmtId="9" fontId="9" fillId="6" borderId="44" xfId="0" applyNumberFormat="1" applyFont="1" applyFill="1" applyBorder="1" applyAlignment="1" applyProtection="1">
      <alignment horizontal="center" vertical="center" wrapText="1"/>
      <protection locked="0"/>
    </xf>
    <xf numFmtId="166" fontId="59" fillId="29" borderId="64" xfId="0" applyNumberFormat="1" applyFont="1" applyFill="1" applyBorder="1" applyAlignment="1" applyProtection="1">
      <alignment horizontal="center" vertical="center" wrapText="1"/>
      <protection locked="0"/>
    </xf>
    <xf numFmtId="166" fontId="59" fillId="29" borderId="0" xfId="0" applyNumberFormat="1" applyFont="1" applyFill="1" applyBorder="1" applyAlignment="1" applyProtection="1">
      <alignment horizontal="center" vertical="center" wrapText="1"/>
      <protection locked="0"/>
    </xf>
    <xf numFmtId="0" fontId="15" fillId="30" borderId="62" xfId="0" applyFont="1" applyFill="1" applyBorder="1" applyAlignment="1" applyProtection="1">
      <alignment horizontal="center" vertical="center" wrapText="1"/>
      <protection locked="0"/>
    </xf>
    <xf numFmtId="0" fontId="15" fillId="30" borderId="0" xfId="0" applyFont="1" applyFill="1" applyBorder="1" applyAlignment="1" applyProtection="1">
      <alignment horizontal="center" vertical="center" wrapText="1"/>
      <protection locked="0"/>
    </xf>
    <xf numFmtId="0" fontId="15" fillId="27" borderId="0" xfId="0" applyFont="1" applyFill="1" applyBorder="1" applyAlignment="1" applyProtection="1">
      <alignment horizontal="center" vertical="center" wrapText="1"/>
      <protection locked="0"/>
    </xf>
    <xf numFmtId="166" fontId="27" fillId="31" borderId="0" xfId="0" applyNumberFormat="1" applyFont="1" applyFill="1" applyBorder="1" applyAlignment="1" applyProtection="1">
      <alignment horizontal="center" vertical="center" wrapText="1"/>
      <protection locked="0"/>
    </xf>
    <xf numFmtId="0" fontId="63" fillId="32" borderId="0" xfId="0" applyFont="1" applyFill="1" applyAlignment="1">
      <alignment vertical="center" wrapText="1"/>
    </xf>
    <xf numFmtId="0" fontId="64" fillId="33" borderId="69" xfId="0" applyFont="1" applyFill="1" applyBorder="1" applyAlignment="1">
      <alignment vertical="center" wrapText="1"/>
    </xf>
    <xf numFmtId="0" fontId="64" fillId="34" borderId="69" xfId="0" applyFont="1" applyFill="1" applyBorder="1" applyAlignment="1">
      <alignment vertical="center" wrapText="1"/>
    </xf>
    <xf numFmtId="0" fontId="65" fillId="33" borderId="69" xfId="0" applyFont="1" applyFill="1" applyBorder="1" applyAlignment="1">
      <alignment vertical="center" wrapText="1"/>
    </xf>
    <xf numFmtId="17" fontId="64" fillId="34" borderId="69" xfId="0" applyNumberFormat="1" applyFont="1" applyFill="1" applyBorder="1" applyAlignment="1">
      <alignment horizontal="left" vertical="center" wrapText="1"/>
    </xf>
    <xf numFmtId="0" fontId="64" fillId="34" borderId="69" xfId="0" applyFont="1" applyFill="1" applyBorder="1" applyAlignment="1">
      <alignment horizontal="left" vertical="center" wrapText="1"/>
    </xf>
    <xf numFmtId="0" fontId="0" fillId="35" borderId="0" xfId="0" applyFont="1" applyFill="1" applyAlignment="1">
      <alignment horizontal="left" vertical="center" wrapText="1"/>
    </xf>
    <xf numFmtId="0" fontId="0" fillId="35" borderId="0" xfId="0" applyFill="1" applyAlignment="1">
      <alignment horizontal="left" vertical="center" wrapText="1"/>
    </xf>
    <xf numFmtId="166" fontId="64" fillId="34" borderId="69" xfId="0" applyNumberFormat="1"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65" fillId="33" borderId="70" xfId="0" applyFont="1" applyFill="1" applyBorder="1" applyAlignment="1">
      <alignment vertical="center" wrapText="1"/>
    </xf>
    <xf numFmtId="0" fontId="64" fillId="34" borderId="70" xfId="0" applyFont="1" applyFill="1" applyBorder="1" applyAlignment="1">
      <alignment vertical="center" wrapText="1"/>
    </xf>
    <xf numFmtId="166" fontId="64" fillId="34" borderId="70" xfId="0" applyNumberFormat="1" applyFont="1" applyFill="1" applyBorder="1" applyAlignment="1">
      <alignment horizontal="center" vertical="center" wrapText="1"/>
    </xf>
    <xf numFmtId="0" fontId="8" fillId="6" borderId="71" xfId="0" applyNumberFormat="1" applyFont="1" applyFill="1" applyBorder="1" applyAlignment="1" applyProtection="1">
      <alignment horizontal="left" vertical="center" wrapText="1"/>
      <protection locked="0"/>
    </xf>
    <xf numFmtId="0" fontId="10" fillId="6" borderId="71" xfId="0" applyNumberFormat="1" applyFont="1" applyFill="1" applyBorder="1" applyAlignment="1" applyProtection="1">
      <alignment horizontal="center" vertical="center" wrapText="1"/>
      <protection locked="0"/>
    </xf>
    <xf numFmtId="0" fontId="10" fillId="6" borderId="72" xfId="0" applyNumberFormat="1" applyFont="1" applyFill="1" applyBorder="1" applyAlignment="1" applyProtection="1">
      <alignment horizontal="left" vertical="center" wrapText="1"/>
      <protection locked="0"/>
    </xf>
    <xf numFmtId="0" fontId="9" fillId="6" borderId="73" xfId="0" applyNumberFormat="1" applyFont="1" applyFill="1" applyBorder="1" applyAlignment="1" applyProtection="1">
      <alignment horizontal="left" vertical="center" wrapText="1"/>
      <protection locked="0"/>
    </xf>
    <xf numFmtId="0" fontId="9" fillId="6" borderId="71" xfId="0" applyNumberFormat="1" applyFont="1" applyFill="1" applyBorder="1" applyAlignment="1" applyProtection="1">
      <alignment horizontal="left" vertical="center" wrapText="1"/>
      <protection locked="0"/>
    </xf>
    <xf numFmtId="0" fontId="9" fillId="6" borderId="72" xfId="0" applyNumberFormat="1" applyFont="1" applyFill="1" applyBorder="1" applyAlignment="1" applyProtection="1">
      <alignment horizontal="left" vertical="center" wrapText="1"/>
      <protection locked="0"/>
    </xf>
    <xf numFmtId="49" fontId="10" fillId="6" borderId="73" xfId="0" applyNumberFormat="1" applyFont="1" applyFill="1" applyBorder="1" applyAlignment="1" applyProtection="1">
      <alignment horizontal="left" vertical="center" wrapText="1"/>
      <protection locked="0"/>
    </xf>
    <xf numFmtId="49" fontId="10" fillId="6" borderId="71" xfId="0" applyNumberFormat="1" applyFont="1" applyFill="1" applyBorder="1" applyAlignment="1" applyProtection="1">
      <alignment horizontal="left" vertical="center" wrapText="1"/>
      <protection locked="0"/>
    </xf>
    <xf numFmtId="0" fontId="9" fillId="6" borderId="71" xfId="0" applyNumberFormat="1" applyFont="1" applyFill="1" applyBorder="1" applyAlignment="1" applyProtection="1">
      <alignment horizontal="center" vertical="center" wrapText="1"/>
      <protection locked="0"/>
    </xf>
    <xf numFmtId="0" fontId="3" fillId="2" borderId="74" xfId="0" applyNumberFormat="1" applyFont="1" applyFill="1" applyBorder="1" applyAlignment="1" applyProtection="1">
      <alignment horizontal="center" vertical="center" wrapText="1"/>
    </xf>
    <xf numFmtId="0" fontId="15" fillId="3" borderId="75" xfId="0" applyFont="1" applyFill="1" applyBorder="1" applyAlignment="1" applyProtection="1">
      <alignment horizontal="center" vertical="center" wrapText="1"/>
    </xf>
    <xf numFmtId="0" fontId="15" fillId="25" borderId="75" xfId="0" applyFont="1" applyFill="1" applyBorder="1" applyAlignment="1" applyProtection="1">
      <alignment horizontal="center" vertical="center" wrapText="1"/>
    </xf>
    <xf numFmtId="0" fontId="15" fillId="30" borderId="75" xfId="0" applyFont="1" applyFill="1" applyBorder="1" applyAlignment="1" applyProtection="1">
      <alignment horizontal="center" vertical="center" wrapText="1"/>
      <protection locked="0"/>
    </xf>
    <xf numFmtId="0" fontId="6" fillId="0" borderId="76" xfId="0" applyNumberFormat="1" applyFont="1" applyBorder="1" applyAlignment="1" applyProtection="1">
      <alignment horizontal="left" vertical="center" wrapText="1"/>
    </xf>
    <xf numFmtId="0" fontId="0" fillId="0" borderId="76" xfId="0" applyNumberFormat="1" applyBorder="1" applyAlignment="1" applyProtection="1">
      <alignment horizontal="center" vertical="center" wrapText="1"/>
    </xf>
    <xf numFmtId="0" fontId="0" fillId="0" borderId="76" xfId="0" applyNumberFormat="1" applyBorder="1" applyAlignment="1" applyProtection="1">
      <alignment horizontal="left" vertical="center" wrapText="1"/>
    </xf>
    <xf numFmtId="164" fontId="0" fillId="0" borderId="76" xfId="0" applyNumberFormat="1" applyBorder="1" applyAlignment="1" applyProtection="1">
      <alignment horizontal="center" vertical="center" wrapText="1"/>
    </xf>
    <xf numFmtId="0" fontId="7" fillId="0" borderId="76" xfId="0" applyNumberFormat="1" applyFont="1" applyBorder="1" applyAlignment="1" applyProtection="1">
      <alignment horizontal="left" vertical="center" wrapText="1"/>
      <protection locked="0"/>
    </xf>
    <xf numFmtId="0" fontId="0" fillId="0" borderId="76" xfId="0" applyNumberFormat="1" applyBorder="1" applyAlignment="1" applyProtection="1">
      <alignment horizontal="center" vertical="center" wrapText="1"/>
      <protection locked="0"/>
    </xf>
    <xf numFmtId="0" fontId="0" fillId="0" borderId="76" xfId="0" applyNumberFormat="1" applyBorder="1" applyAlignment="1" applyProtection="1">
      <alignment horizontal="left" vertical="center" wrapText="1"/>
      <protection locked="0"/>
    </xf>
    <xf numFmtId="0" fontId="15" fillId="6" borderId="0" xfId="0" applyFont="1" applyFill="1" applyBorder="1" applyAlignment="1" applyProtection="1">
      <alignment horizontal="center" vertical="center" wrapText="1"/>
    </xf>
    <xf numFmtId="0" fontId="60" fillId="6" borderId="0" xfId="0" applyFont="1" applyFill="1" applyBorder="1" applyAlignment="1" applyProtection="1">
      <alignment vertical="center" wrapText="1"/>
    </xf>
    <xf numFmtId="166" fontId="60" fillId="6" borderId="0" xfId="0" applyNumberFormat="1" applyFont="1" applyFill="1" applyBorder="1" applyAlignment="1" applyProtection="1">
      <alignment horizontal="center" vertical="center" wrapText="1"/>
    </xf>
    <xf numFmtId="0" fontId="8" fillId="6" borderId="0" xfId="0" applyNumberFormat="1" applyFont="1" applyFill="1" applyBorder="1" applyAlignment="1" applyProtection="1">
      <alignment horizontal="left" vertical="center" wrapText="1"/>
      <protection locked="0"/>
    </xf>
    <xf numFmtId="0" fontId="10" fillId="6" borderId="0" xfId="0" applyNumberFormat="1" applyFont="1" applyFill="1" applyBorder="1" applyAlignment="1" applyProtection="1">
      <alignment horizontal="center" vertical="center" wrapText="1"/>
      <protection locked="0"/>
    </xf>
    <xf numFmtId="0" fontId="10" fillId="6" borderId="0" xfId="0" applyNumberFormat="1" applyFont="1" applyFill="1" applyBorder="1" applyAlignment="1" applyProtection="1">
      <alignment horizontal="left" vertical="center" wrapText="1"/>
      <protection locked="0"/>
    </xf>
    <xf numFmtId="49" fontId="10" fillId="6" borderId="0" xfId="0" applyNumberFormat="1" applyFont="1" applyFill="1" applyBorder="1" applyAlignment="1" applyProtection="1">
      <alignment horizontal="left" vertical="center" wrapText="1"/>
      <protection locked="0"/>
    </xf>
    <xf numFmtId="0" fontId="9" fillId="6" borderId="0" xfId="0" applyNumberFormat="1" applyFont="1" applyFill="1" applyBorder="1" applyAlignment="1" applyProtection="1">
      <alignment horizontal="center" vertical="center" wrapText="1"/>
      <protection locked="0"/>
    </xf>
    <xf numFmtId="0" fontId="3" fillId="6" borderId="0" xfId="0" applyNumberFormat="1" applyFont="1" applyFill="1" applyBorder="1" applyAlignment="1" applyProtection="1">
      <alignment horizontal="center" vertical="center" wrapText="1"/>
    </xf>
    <xf numFmtId="0" fontId="0" fillId="6" borderId="0" xfId="0" applyNumberFormat="1" applyFill="1" applyBorder="1" applyAlignment="1" applyProtection="1">
      <alignment wrapText="1"/>
      <protection locked="0"/>
    </xf>
    <xf numFmtId="0" fontId="53" fillId="6" borderId="0" xfId="0" applyNumberFormat="1" applyFont="1" applyFill="1" applyBorder="1" applyAlignment="1" applyProtection="1">
      <alignment horizontal="left" vertical="center" wrapText="1"/>
      <protection locked="0"/>
    </xf>
    <xf numFmtId="9" fontId="8" fillId="6" borderId="0" xfId="0" applyNumberFormat="1" applyFont="1" applyFill="1" applyBorder="1" applyAlignment="1" applyProtection="1">
      <alignment horizontal="left" vertical="center" wrapText="1"/>
      <protection locked="0"/>
    </xf>
    <xf numFmtId="0" fontId="2" fillId="6" borderId="0" xfId="0" applyNumberFormat="1" applyFont="1" applyFill="1" applyBorder="1" applyAlignment="1" applyProtection="1">
      <alignment horizontal="center" vertical="center" wrapText="1"/>
    </xf>
    <xf numFmtId="9" fontId="8" fillId="6" borderId="0" xfId="3" applyFont="1" applyFill="1" applyBorder="1" applyAlignment="1" applyProtection="1">
      <alignment horizontal="left" vertical="center" wrapText="1"/>
      <protection locked="0"/>
    </xf>
    <xf numFmtId="10" fontId="9" fillId="6" borderId="0" xfId="0" applyNumberFormat="1" applyFont="1" applyFill="1" applyBorder="1" applyAlignment="1" applyProtection="1">
      <alignment horizontal="left" vertical="center" wrapText="1"/>
      <protection locked="0"/>
    </xf>
    <xf numFmtId="10" fontId="9" fillId="6" borderId="0" xfId="0" applyNumberFormat="1" applyFont="1" applyFill="1" applyBorder="1" applyAlignment="1" applyProtection="1">
      <alignment horizontal="center" vertical="center" wrapText="1"/>
      <protection locked="0"/>
    </xf>
    <xf numFmtId="4" fontId="8" fillId="6" borderId="0" xfId="0" applyNumberFormat="1" applyFont="1" applyFill="1" applyBorder="1" applyAlignment="1" applyProtection="1">
      <alignment horizontal="left" vertical="center" wrapText="1"/>
      <protection locked="0"/>
    </xf>
    <xf numFmtId="3" fontId="8" fillId="6" borderId="0" xfId="0" applyNumberFormat="1" applyFont="1" applyFill="1" applyBorder="1" applyAlignment="1" applyProtection="1">
      <alignment horizontal="left" vertical="center" wrapText="1"/>
      <protection locked="0"/>
    </xf>
    <xf numFmtId="10" fontId="8" fillId="6" borderId="0" xfId="0" applyNumberFormat="1" applyFont="1" applyFill="1" applyBorder="1" applyAlignment="1" applyProtection="1">
      <alignment horizontal="left" vertical="center" wrapText="1"/>
      <protection locked="0"/>
    </xf>
    <xf numFmtId="0" fontId="60" fillId="6" borderId="0" xfId="0" applyFont="1" applyFill="1" applyBorder="1" applyAlignment="1" applyProtection="1">
      <alignment horizontal="center" vertical="center" wrapText="1"/>
    </xf>
    <xf numFmtId="10" fontId="9" fillId="6" borderId="0" xfId="3" applyNumberFormat="1" applyFont="1" applyFill="1" applyBorder="1" applyAlignment="1" applyProtection="1">
      <alignment horizontal="left" vertical="center" wrapText="1"/>
      <protection locked="0"/>
    </xf>
    <xf numFmtId="10" fontId="8" fillId="6" borderId="0" xfId="0" applyNumberFormat="1" applyFont="1" applyFill="1" applyBorder="1" applyAlignment="1" applyProtection="1">
      <alignment horizontal="center" vertical="center" wrapText="1"/>
      <protection locked="0"/>
    </xf>
    <xf numFmtId="0" fontId="15" fillId="27" borderId="66" xfId="0" applyFont="1" applyFill="1" applyBorder="1" applyAlignment="1" applyProtection="1">
      <alignment horizontal="center" vertical="center" wrapText="1"/>
    </xf>
    <xf numFmtId="0" fontId="0" fillId="6" borderId="0" xfId="0" applyNumberFormat="1" applyFill="1" applyAlignment="1" applyProtection="1">
      <protection locked="0"/>
    </xf>
    <xf numFmtId="0" fontId="0" fillId="0" borderId="0" xfId="0" applyNumberFormat="1" applyAlignment="1" applyProtection="1">
      <alignment horizontal="center" vertical="center" wrapText="1"/>
      <protection locked="0"/>
    </xf>
    <xf numFmtId="0" fontId="66" fillId="36" borderId="0" xfId="0" applyNumberFormat="1" applyFont="1" applyFill="1" applyAlignment="1" applyProtection="1">
      <alignment vertical="center" wrapText="1"/>
      <protection locked="0"/>
    </xf>
    <xf numFmtId="0" fontId="0" fillId="28" borderId="1" xfId="0" applyNumberFormat="1" applyFill="1" applyBorder="1" applyAlignment="1" applyProtection="1">
      <alignment wrapText="1"/>
      <protection locked="0"/>
    </xf>
    <xf numFmtId="0" fontId="0" fillId="28" borderId="1" xfId="0" applyNumberFormat="1" applyFill="1" applyBorder="1" applyAlignment="1" applyProtection="1">
      <alignment horizontal="center" vertical="center" wrapText="1"/>
      <protection locked="0"/>
    </xf>
    <xf numFmtId="9" fontId="8" fillId="6" borderId="4" xfId="0" applyNumberFormat="1" applyFont="1" applyFill="1" applyBorder="1" applyAlignment="1" applyProtection="1">
      <alignment horizontal="left" vertical="center" wrapText="1"/>
      <protection locked="0"/>
    </xf>
    <xf numFmtId="0" fontId="33" fillId="0" borderId="31" xfId="0" applyFont="1" applyFill="1" applyBorder="1" applyAlignment="1">
      <alignment horizontal="right" vertical="center" wrapText="1"/>
    </xf>
    <xf numFmtId="10" fontId="10" fillId="6" borderId="45" xfId="0" applyNumberFormat="1" applyFont="1" applyFill="1" applyBorder="1" applyAlignment="1" applyProtection="1">
      <alignment horizontal="left" vertical="center" wrapText="1"/>
      <protection locked="0"/>
    </xf>
    <xf numFmtId="0" fontId="8" fillId="0" borderId="4" xfId="0" applyNumberFormat="1" applyFont="1" applyFill="1" applyBorder="1" applyAlignment="1" applyProtection="1">
      <alignment horizontal="left" vertical="center" wrapText="1"/>
      <protection locked="0"/>
    </xf>
    <xf numFmtId="166" fontId="27" fillId="31" borderId="67" xfId="0" applyNumberFormat="1" applyFont="1" applyFill="1" applyBorder="1" applyAlignment="1" applyProtection="1">
      <alignment horizontal="center" vertical="center" wrapText="1"/>
      <protection locked="0"/>
    </xf>
    <xf numFmtId="166" fontId="27" fillId="31" borderId="0" xfId="0" applyNumberFormat="1" applyFont="1" applyFill="1" applyBorder="1" applyAlignment="1" applyProtection="1">
      <alignment horizontal="center" vertical="center" wrapText="1"/>
      <protection locked="0"/>
    </xf>
    <xf numFmtId="166" fontId="27" fillId="31" borderId="68" xfId="0" applyNumberFormat="1" applyFont="1" applyFill="1" applyBorder="1" applyAlignment="1" applyProtection="1">
      <alignment horizontal="center" vertical="center" wrapText="1"/>
      <protection locked="0"/>
    </xf>
    <xf numFmtId="0" fontId="4" fillId="12" borderId="1" xfId="0" applyNumberFormat="1" applyFont="1" applyFill="1" applyBorder="1" applyAlignment="1" applyProtection="1">
      <alignment horizontal="center" vertical="center"/>
      <protection locked="0"/>
    </xf>
    <xf numFmtId="0" fontId="4" fillId="22" borderId="1" xfId="0" applyNumberFormat="1" applyFont="1" applyFill="1" applyBorder="1" applyAlignment="1" applyProtection="1">
      <alignment horizontal="center" vertical="center"/>
      <protection locked="0"/>
    </xf>
    <xf numFmtId="166" fontId="59" fillId="29" borderId="67" xfId="0" applyNumberFormat="1" applyFont="1" applyFill="1" applyBorder="1" applyAlignment="1" applyProtection="1">
      <alignment horizontal="center" vertical="center" wrapText="1"/>
      <protection locked="0"/>
    </xf>
    <xf numFmtId="166" fontId="59" fillId="29" borderId="0" xfId="0" applyNumberFormat="1" applyFont="1" applyFill="1" applyBorder="1" applyAlignment="1" applyProtection="1">
      <alignment horizontal="center" vertical="center" wrapText="1"/>
      <protection locked="0"/>
    </xf>
    <xf numFmtId="166" fontId="59" fillId="29" borderId="68" xfId="0" applyNumberFormat="1" applyFont="1" applyFill="1" applyBorder="1" applyAlignment="1" applyProtection="1">
      <alignment horizontal="center" vertical="center" wrapText="1"/>
      <protection locked="0"/>
    </xf>
    <xf numFmtId="0" fontId="21" fillId="6" borderId="20"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30" fillId="14" borderId="21" xfId="0"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1" fillId="8" borderId="24" xfId="0" applyFont="1" applyFill="1" applyBorder="1" applyAlignment="1">
      <alignment horizontal="center" vertical="center" wrapText="1"/>
    </xf>
    <xf numFmtId="0" fontId="30" fillId="9" borderId="34" xfId="0" applyFont="1" applyFill="1" applyBorder="1" applyAlignment="1">
      <alignment horizontal="center" vertical="center" wrapText="1"/>
    </xf>
    <xf numFmtId="10" fontId="2" fillId="0" borderId="12" xfId="0" applyNumberFormat="1" applyFont="1" applyFill="1" applyBorder="1" applyAlignment="1" applyProtection="1">
      <alignment horizontal="center" vertical="center" wrapText="1"/>
    </xf>
    <xf numFmtId="10" fontId="17" fillId="9" borderId="12" xfId="0" applyNumberFormat="1" applyFont="1" applyFill="1" applyBorder="1" applyAlignment="1" applyProtection="1">
      <alignment horizontal="center" vertical="center" wrapText="1"/>
    </xf>
    <xf numFmtId="10" fontId="17" fillId="10" borderId="12" xfId="0" applyNumberFormat="1" applyFont="1" applyFill="1" applyBorder="1" applyAlignment="1" applyProtection="1">
      <alignment horizontal="center" vertical="center" wrapText="1"/>
    </xf>
    <xf numFmtId="10" fontId="2" fillId="0" borderId="13" xfId="0" applyNumberFormat="1" applyFont="1" applyFill="1" applyBorder="1" applyAlignment="1" applyProtection="1">
      <alignment horizontal="center" vertical="center" wrapText="1"/>
    </xf>
    <xf numFmtId="10" fontId="2" fillId="0" borderId="14" xfId="0" applyNumberFormat="1" applyFont="1" applyFill="1" applyBorder="1" applyAlignment="1" applyProtection="1">
      <alignment horizontal="center" vertical="center" wrapText="1"/>
    </xf>
    <xf numFmtId="10" fontId="2" fillId="0" borderId="15" xfId="0" applyNumberFormat="1" applyFont="1" applyFill="1" applyBorder="1" applyAlignment="1" applyProtection="1">
      <alignment horizontal="center" vertical="center" wrapText="1"/>
    </xf>
    <xf numFmtId="10" fontId="16" fillId="8" borderId="13" xfId="0" applyNumberFormat="1" applyFont="1" applyFill="1" applyBorder="1" applyAlignment="1" applyProtection="1">
      <alignment horizontal="center" vertical="center" wrapText="1"/>
    </xf>
    <xf numFmtId="10" fontId="16" fillId="8" borderId="14" xfId="0" applyNumberFormat="1" applyFont="1" applyFill="1" applyBorder="1" applyAlignment="1" applyProtection="1">
      <alignment horizontal="center" vertical="center" wrapText="1"/>
    </xf>
    <xf numFmtId="10" fontId="16" fillId="8" borderId="15" xfId="0" applyNumberFormat="1" applyFont="1" applyFill="1" applyBorder="1" applyAlignment="1" applyProtection="1">
      <alignment horizontal="center" vertical="center" wrapText="1"/>
    </xf>
    <xf numFmtId="10" fontId="16" fillId="8" borderId="12" xfId="0" applyNumberFormat="1" applyFont="1" applyFill="1" applyBorder="1" applyAlignment="1" applyProtection="1">
      <alignment horizontal="center" vertical="center" wrapText="1"/>
    </xf>
    <xf numFmtId="0" fontId="5" fillId="11" borderId="13" xfId="0" applyFont="1" applyFill="1" applyBorder="1" applyAlignment="1" applyProtection="1">
      <alignment vertical="center" wrapText="1"/>
    </xf>
    <xf numFmtId="0" fontId="5" fillId="11" borderId="14" xfId="0" applyFont="1" applyFill="1" applyBorder="1" applyAlignment="1" applyProtection="1">
      <alignment vertical="center" wrapText="1"/>
    </xf>
    <xf numFmtId="0" fontId="5" fillId="11" borderId="15"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10" fontId="23" fillId="20" borderId="0" xfId="0" applyNumberFormat="1" applyFont="1" applyFill="1" applyAlignment="1" applyProtection="1">
      <alignment horizontal="center" vertical="center"/>
    </xf>
    <xf numFmtId="0" fontId="23" fillId="20" borderId="0" xfId="0" applyFont="1" applyFill="1" applyAlignment="1" applyProtection="1">
      <alignment horizontal="center" vertical="center"/>
    </xf>
    <xf numFmtId="10" fontId="17" fillId="10" borderId="18" xfId="0" applyNumberFormat="1" applyFont="1" applyFill="1" applyBorder="1" applyAlignment="1" applyProtection="1">
      <alignment horizontal="center" vertical="center" wrapText="1"/>
    </xf>
    <xf numFmtId="10" fontId="17" fillId="10" borderId="47" xfId="0" applyNumberFormat="1" applyFont="1" applyFill="1" applyBorder="1" applyAlignment="1" applyProtection="1">
      <alignment horizontal="center" vertical="center" wrapText="1"/>
    </xf>
    <xf numFmtId="0" fontId="21" fillId="13" borderId="0" xfId="0" applyFont="1" applyFill="1" applyBorder="1" applyAlignment="1">
      <alignment horizontal="left" vertical="center" wrapText="1"/>
    </xf>
    <xf numFmtId="10" fontId="2" fillId="0" borderId="36" xfId="0" applyNumberFormat="1" applyFont="1" applyFill="1" applyBorder="1" applyAlignment="1" applyProtection="1">
      <alignment horizontal="center" vertical="center" wrapText="1"/>
    </xf>
    <xf numFmtId="10" fontId="17" fillId="9" borderId="36" xfId="0" applyNumberFormat="1" applyFont="1" applyFill="1" applyBorder="1" applyAlignment="1" applyProtection="1">
      <alignment horizontal="center" vertical="center" wrapText="1"/>
    </xf>
    <xf numFmtId="10" fontId="17" fillId="15" borderId="36" xfId="0" applyNumberFormat="1" applyFont="1" applyFill="1" applyBorder="1" applyAlignment="1" applyProtection="1">
      <alignment horizontal="center" vertical="center" wrapText="1"/>
    </xf>
    <xf numFmtId="10" fontId="2" fillId="0" borderId="37" xfId="0" applyNumberFormat="1" applyFont="1" applyFill="1" applyBorder="1" applyAlignment="1" applyProtection="1">
      <alignment horizontal="center" vertical="center" wrapText="1"/>
    </xf>
    <xf numFmtId="10" fontId="2" fillId="0" borderId="38" xfId="0" applyNumberFormat="1" applyFont="1" applyFill="1" applyBorder="1" applyAlignment="1" applyProtection="1">
      <alignment horizontal="center" vertical="center" wrapText="1"/>
    </xf>
    <xf numFmtId="10" fontId="2" fillId="0" borderId="39" xfId="0" applyNumberFormat="1" applyFont="1" applyFill="1" applyBorder="1" applyAlignment="1" applyProtection="1">
      <alignment horizontal="center" vertical="center" wrapText="1"/>
    </xf>
    <xf numFmtId="10" fontId="2" fillId="0" borderId="37" xfId="0" applyNumberFormat="1" applyFont="1" applyFill="1" applyBorder="1" applyAlignment="1" applyProtection="1">
      <alignment vertical="center" wrapText="1"/>
    </xf>
    <xf numFmtId="10" fontId="2" fillId="0" borderId="38" xfId="0" applyNumberFormat="1" applyFont="1" applyFill="1" applyBorder="1" applyAlignment="1" applyProtection="1">
      <alignment vertical="center" wrapText="1"/>
    </xf>
    <xf numFmtId="10" fontId="2" fillId="0" borderId="39" xfId="0" applyNumberFormat="1" applyFont="1" applyFill="1" applyBorder="1" applyAlignment="1" applyProtection="1">
      <alignment vertical="center" wrapText="1"/>
    </xf>
    <xf numFmtId="10" fontId="16" fillId="8" borderId="37" xfId="0" applyNumberFormat="1" applyFont="1" applyFill="1" applyBorder="1" applyAlignment="1" applyProtection="1">
      <alignment horizontal="center" vertical="center" wrapText="1"/>
    </xf>
    <xf numFmtId="10" fontId="16" fillId="8" borderId="38" xfId="0" applyNumberFormat="1" applyFont="1" applyFill="1" applyBorder="1" applyAlignment="1" applyProtection="1">
      <alignment horizontal="center" vertical="center" wrapText="1"/>
    </xf>
    <xf numFmtId="10" fontId="16" fillId="8" borderId="39" xfId="0" applyNumberFormat="1" applyFont="1" applyFill="1" applyBorder="1" applyAlignment="1" applyProtection="1">
      <alignment horizontal="center" vertical="center" wrapText="1"/>
    </xf>
    <xf numFmtId="0" fontId="5" fillId="8" borderId="37" xfId="0" applyFont="1" applyFill="1" applyBorder="1" applyAlignment="1" applyProtection="1">
      <alignment vertical="center" wrapText="1"/>
    </xf>
    <xf numFmtId="0" fontId="5" fillId="8" borderId="38" xfId="0" applyFont="1" applyFill="1" applyBorder="1" applyAlignment="1" applyProtection="1">
      <alignment vertical="center" wrapText="1"/>
    </xf>
    <xf numFmtId="0" fontId="5" fillId="8" borderId="39" xfId="0" applyFont="1" applyFill="1" applyBorder="1" applyAlignment="1" applyProtection="1">
      <alignment vertical="center" wrapText="1"/>
    </xf>
    <xf numFmtId="0" fontId="5" fillId="0" borderId="48" xfId="0" applyFont="1" applyFill="1" applyBorder="1" applyAlignment="1" applyProtection="1">
      <alignment horizontal="center" vertical="center" wrapText="1"/>
    </xf>
    <xf numFmtId="0" fontId="5" fillId="0" borderId="49" xfId="0" applyFont="1" applyFill="1" applyBorder="1" applyAlignment="1" applyProtection="1">
      <alignment horizontal="center" vertical="center" wrapText="1"/>
    </xf>
    <xf numFmtId="0" fontId="5" fillId="0" borderId="50" xfId="0" applyFont="1" applyFill="1" applyBorder="1" applyAlignment="1" applyProtection="1">
      <alignment horizontal="center" vertical="center" wrapText="1"/>
    </xf>
    <xf numFmtId="0" fontId="21" fillId="16" borderId="0" xfId="0" applyFont="1" applyFill="1" applyBorder="1" applyAlignment="1">
      <alignment horizontal="left" vertical="center" wrapText="1"/>
    </xf>
  </cellXfs>
  <cellStyles count="4">
    <cellStyle name="Hyperlink" xfId="1" builtinId="8"/>
    <cellStyle name="Normal" xfId="0" builtinId="0"/>
    <cellStyle name="Normal 2 2" xfId="2"/>
    <cellStyle name="Percent" xfId="3" builtinId="5"/>
  </cellStyles>
  <dxfs count="4271">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ill>
        <patternFill>
          <bgColor rgb="FFFFC00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fgColor rgb="FF92D050"/>
        </patternFill>
      </fill>
    </dxf>
    <dxf>
      <font>
        <b val="0"/>
        <i val="0"/>
      </font>
      <fill>
        <patternFill>
          <bgColor rgb="FF92D05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ont>
        <color auto="1"/>
      </font>
      <fill>
        <patternFill>
          <bgColor theme="0" tint="-0.34998626667073579"/>
        </patternFill>
      </fill>
    </dxf>
    <dxf>
      <font>
        <b/>
        <i val="0"/>
        <color auto="1"/>
      </font>
      <fill>
        <patternFill>
          <bgColor theme="0" tint="-0.34998626667073579"/>
        </patternFill>
      </fill>
    </dxf>
    <dxf>
      <font>
        <b/>
        <i val="0"/>
        <strike val="0"/>
        <color auto="1"/>
      </font>
      <fill>
        <patternFill>
          <bgColor rgb="FF92D050"/>
        </patternFill>
      </fill>
    </dxf>
    <dxf>
      <font>
        <b/>
        <i val="0"/>
      </font>
      <fill>
        <patternFill>
          <bgColor rgb="FF92D050"/>
        </patternFill>
      </fill>
    </dxf>
    <dxf>
      <font>
        <b/>
        <i val="0"/>
      </font>
      <fill>
        <patternFill>
          <bgColor rgb="FFFF0000"/>
        </patternFill>
      </fill>
    </dxf>
    <dxf>
      <font>
        <b/>
        <i val="0"/>
      </font>
      <fill>
        <patternFill>
          <bgColor rgb="FFFF0000"/>
        </patternFill>
      </fill>
    </dxf>
    <dxf>
      <font>
        <b/>
        <i val="0"/>
      </font>
      <fill>
        <patternFill>
          <bgColor rgb="FFFFFF00"/>
        </patternFill>
      </fill>
    </dxf>
    <dxf>
      <font>
        <b/>
        <i val="0"/>
      </font>
      <fill>
        <patternFill>
          <bgColor rgb="FFFFFF00"/>
        </patternFill>
      </fill>
    </dxf>
    <dxf>
      <font>
        <b/>
        <i val="0"/>
        <color theme="1"/>
      </font>
      <fill>
        <patternFill>
          <bgColor theme="0" tint="-0.34998626667073579"/>
        </patternFill>
      </fill>
    </dxf>
    <dxf>
      <font>
        <b/>
        <i val="0"/>
        <color auto="1"/>
      </font>
      <fill>
        <patternFill>
          <bgColor rgb="FFFFC000"/>
        </patternFill>
      </fill>
    </dxf>
    <dxf>
      <font>
        <b/>
        <i val="0"/>
        <color auto="1"/>
      </font>
      <fill>
        <patternFill>
          <bgColor rgb="FFFF00FF"/>
        </patternFill>
      </fill>
    </dxf>
    <dxf>
      <font>
        <b/>
        <i val="0"/>
      </font>
      <fill>
        <patternFill>
          <bgColor rgb="FF00B0F0"/>
        </patternFill>
      </fill>
    </dxf>
    <dxf>
      <fill>
        <patternFill>
          <bgColor rgb="FF92D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font>
      <fill>
        <patternFill>
          <bgColor rgb="FFFFC000"/>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
      <font>
        <b/>
        <i/>
        <color rgb="FFCC0000"/>
      </font>
    </dxf>
    <dxf>
      <font>
        <b/>
        <i val="0"/>
        <color theme="0"/>
      </font>
      <fill>
        <patternFill patternType="solid">
          <fgColor rgb="FF339933"/>
          <bgColor rgb="FF339933"/>
        </patternFill>
      </fill>
    </dxf>
    <dxf>
      <font>
        <b/>
        <i val="0"/>
        <color theme="0"/>
      </font>
      <fill>
        <patternFill patternType="solid">
          <bgColor rgb="FF339933"/>
        </patternFill>
      </fill>
    </dxf>
    <dxf>
      <font>
        <b/>
        <i val="0"/>
      </font>
      <fill>
        <patternFill>
          <bgColor theme="7"/>
        </patternFill>
      </fill>
    </dxf>
    <dxf>
      <font>
        <b/>
        <i val="0"/>
      </font>
      <fill>
        <patternFill>
          <bgColor theme="7"/>
        </patternFill>
      </fill>
    </dxf>
    <dxf>
      <font>
        <b/>
        <i val="0"/>
        <color theme="0"/>
      </font>
      <fill>
        <patternFill>
          <bgColor rgb="FFCC0000"/>
        </patternFill>
      </fill>
    </dxf>
    <dxf>
      <font>
        <b/>
        <i val="0"/>
        <color theme="0"/>
      </font>
      <fill>
        <patternFill>
          <bgColor rgb="FFCC0000"/>
        </patternFill>
      </fill>
    </dxf>
    <dxf>
      <font>
        <b/>
        <i val="0"/>
        <color auto="1"/>
      </font>
      <fill>
        <patternFill>
          <bgColor theme="7"/>
        </patternFill>
      </fill>
    </dxf>
    <dxf>
      <font>
        <b/>
        <i val="0"/>
        <color theme="0"/>
      </font>
      <fill>
        <patternFill>
          <bgColor theme="0" tint="-0.24994659260841701"/>
        </patternFill>
      </fill>
    </dxf>
    <dxf>
      <font>
        <b/>
        <i/>
        <color theme="0"/>
      </font>
      <fill>
        <patternFill>
          <bgColor theme="0" tint="-0.499984740745262"/>
        </patternFill>
      </fill>
    </dxf>
    <dxf>
      <font>
        <b/>
        <i val="0"/>
        <color theme="0"/>
      </font>
      <fill>
        <patternFill>
          <bgColor rgb="FF339933"/>
        </patternFill>
      </fill>
    </dxf>
    <dxf>
      <font>
        <b/>
        <i val="0"/>
        <color theme="0"/>
      </font>
      <fill>
        <patternFill>
          <bgColor rgb="FF339933"/>
        </patternFill>
      </fill>
    </dxf>
    <dxf>
      <font>
        <b/>
        <i val="0"/>
        <color auto="1"/>
      </font>
      <fill>
        <patternFill patternType="solid">
          <fgColor theme="7"/>
          <bgColor theme="7"/>
        </patternFill>
      </fill>
    </dxf>
    <dxf>
      <font>
        <b/>
        <i val="0"/>
        <color theme="0"/>
      </font>
      <fill>
        <patternFill>
          <bgColor rgb="FFCC0000"/>
        </patternFill>
      </fill>
    </dxf>
    <dxf>
      <font>
        <b/>
        <i val="0"/>
        <color theme="0"/>
      </font>
      <fill>
        <patternFill>
          <bgColor rgb="FFCC0000"/>
        </patternFill>
      </fill>
    </dxf>
    <dxf>
      <font>
        <b/>
        <i/>
        <color theme="0"/>
      </font>
      <fill>
        <patternFill>
          <bgColor theme="1" tint="0.34998626667073579"/>
        </patternFill>
      </fill>
    </dxf>
    <dxf>
      <font>
        <b/>
        <i/>
        <color theme="2" tint="-0.499984740745262"/>
      </font>
    </dxf>
    <dxf>
      <font>
        <b/>
        <i/>
        <color rgb="FFCC0000"/>
      </font>
    </dxf>
    <dxf>
      <font>
        <b/>
        <i val="0"/>
        <color theme="0"/>
      </font>
      <fill>
        <patternFill patternType="solid">
          <fgColor auto="1"/>
          <bgColor theme="0" tint="-0.24994659260841701"/>
        </patternFill>
      </fill>
    </dxf>
  </dxfs>
  <tableStyles count="0" defaultTableStyle="TableStyleMedium2" defaultPivotStyle="PivotStyleLight16"/>
  <colors>
    <mruColors>
      <color rgb="FF006600"/>
      <color rgb="FF339933"/>
      <color rgb="FFFF3300"/>
      <color rgb="FF003366"/>
      <color rgb="FFCC0000"/>
      <color rgb="FF99CCFF"/>
      <color rgb="FF0099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OVERALL PERFORMANCE</a:t>
            </a:r>
          </a:p>
          <a:p>
            <a:pPr>
              <a:defRPr lang="en-US"/>
            </a:pPr>
            <a:r>
              <a:rPr lang="en-US" sz="1100">
                <a:latin typeface="Arial" pitchFamily="34" charset="0"/>
                <a:cs typeface="Arial" pitchFamily="34" charset="0"/>
              </a:rPr>
              <a:t>% of all Corporate Plan indicators that are Red, Amber or Green</a:t>
            </a:r>
          </a:p>
        </c:rich>
      </c:tx>
      <c:overlay val="0"/>
    </c:title>
    <c:autoTitleDeleted val="0"/>
    <c:plotArea>
      <c:layout/>
      <c:lineChart>
        <c:grouping val="standard"/>
        <c:varyColors val="0"/>
        <c:ser>
          <c:idx val="0"/>
          <c:order val="0"/>
          <c:tx>
            <c:strRef>
              <c:f>'2b. Charts by Priority'!$AY$7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Priority'!$AZ$7:$BC$7</c:f>
              <c:numCache>
                <c:formatCode>0.00%</c:formatCode>
                <c:ptCount val="4"/>
                <c:pt idx="0">
                  <c:v>0.94936708860759489</c:v>
                </c:pt>
                <c:pt idx="1">
                  <c:v>0</c:v>
                </c:pt>
                <c:pt idx="2">
                  <c:v>0</c:v>
                </c:pt>
                <c:pt idx="3">
                  <c:v>0</c:v>
                </c:pt>
              </c:numCache>
            </c:numRef>
          </c:val>
          <c:smooth val="0"/>
          <c:extLst>
            <c:ext xmlns:c16="http://schemas.microsoft.com/office/drawing/2014/chart" uri="{C3380CC4-5D6E-409C-BE32-E72D297353CC}">
              <c16:uniqueId val="{00000000-50E2-458F-8C24-A0159BB694B2}"/>
            </c:ext>
          </c:extLst>
        </c:ser>
        <c:ser>
          <c:idx val="1"/>
          <c:order val="1"/>
          <c:tx>
            <c:strRef>
              <c:f>'2b. Charts by Priority'!$AY$8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Priority'!$AZ$8:$BC$8</c:f>
              <c:numCache>
                <c:formatCode>0.00%</c:formatCode>
                <c:ptCount val="4"/>
                <c:pt idx="0">
                  <c:v>1.2658227848101266E-2</c:v>
                </c:pt>
                <c:pt idx="1">
                  <c:v>0</c:v>
                </c:pt>
                <c:pt idx="2">
                  <c:v>0</c:v>
                </c:pt>
                <c:pt idx="3">
                  <c:v>0</c:v>
                </c:pt>
              </c:numCache>
            </c:numRef>
          </c:val>
          <c:smooth val="0"/>
          <c:extLst>
            <c:ext xmlns:c16="http://schemas.microsoft.com/office/drawing/2014/chart" uri="{C3380CC4-5D6E-409C-BE32-E72D297353CC}">
              <c16:uniqueId val="{00000002-50E2-458F-8C24-A0159BB694B2}"/>
            </c:ext>
          </c:extLst>
        </c:ser>
        <c:ser>
          <c:idx val="2"/>
          <c:order val="2"/>
          <c:tx>
            <c:strRef>
              <c:f>'2b. Charts by Priority'!$AY$9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E2-458F-8C24-A0159BB694B2}"/>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Priority'!$AZ$6:$BC$6</c:f>
              <c:strCache>
                <c:ptCount val="4"/>
                <c:pt idx="0">
                  <c:v>Q1</c:v>
                </c:pt>
                <c:pt idx="1">
                  <c:v>Q2</c:v>
                </c:pt>
                <c:pt idx="2">
                  <c:v>Q3</c:v>
                </c:pt>
                <c:pt idx="3">
                  <c:v>Q4</c:v>
                </c:pt>
              </c:strCache>
            </c:strRef>
          </c:cat>
          <c:val>
            <c:numRef>
              <c:f>'2b. Charts by Priority'!$AZ$9:$BC$9</c:f>
              <c:numCache>
                <c:formatCode>0.00%</c:formatCode>
                <c:ptCount val="4"/>
                <c:pt idx="0">
                  <c:v>3.7974683544303799E-2</c:v>
                </c:pt>
                <c:pt idx="1">
                  <c:v>0</c:v>
                </c:pt>
                <c:pt idx="2">
                  <c:v>0</c:v>
                </c:pt>
                <c:pt idx="3">
                  <c:v>0</c:v>
                </c:pt>
              </c:numCache>
            </c:numRef>
          </c:val>
          <c:smooth val="0"/>
          <c:extLst>
            <c:ext xmlns:c16="http://schemas.microsoft.com/office/drawing/2014/chart" uri="{C3380CC4-5D6E-409C-BE32-E72D297353CC}">
              <c16:uniqueId val="{00000004-50E2-458F-8C24-A0159BB694B2}"/>
            </c:ext>
          </c:extLst>
        </c:ser>
        <c:dLbls>
          <c:showLegendKey val="0"/>
          <c:showVal val="1"/>
          <c:showCatName val="0"/>
          <c:showSerName val="0"/>
          <c:showPercent val="0"/>
          <c:showBubbleSize val="0"/>
        </c:dLbls>
        <c:smooth val="0"/>
        <c:axId val="334183424"/>
        <c:axId val="334179896"/>
      </c:lineChart>
      <c:catAx>
        <c:axId val="334183424"/>
        <c:scaling>
          <c:orientation val="minMax"/>
        </c:scaling>
        <c:delete val="0"/>
        <c:axPos val="b"/>
        <c:numFmt formatCode="General" sourceLinked="0"/>
        <c:majorTickMark val="out"/>
        <c:minorTickMark val="none"/>
        <c:tickLblPos val="nextTo"/>
        <c:txPr>
          <a:bodyPr/>
          <a:lstStyle/>
          <a:p>
            <a:pPr>
              <a:defRPr lang="en-US"/>
            </a:pPr>
            <a:endParaRPr lang="en-US"/>
          </a:p>
        </c:txPr>
        <c:crossAx val="334179896"/>
        <c:crosses val="autoZero"/>
        <c:auto val="1"/>
        <c:lblAlgn val="ctr"/>
        <c:lblOffset val="100"/>
        <c:noMultiLvlLbl val="0"/>
      </c:catAx>
      <c:valAx>
        <c:axId val="33417989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3424"/>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paperSize="8"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991-448C-94F6-A903985AC430}"/>
              </c:ext>
            </c:extLst>
          </c:dPt>
          <c:dPt>
            <c:idx val="1"/>
            <c:bubble3D val="0"/>
            <c:spPr>
              <a:solidFill>
                <a:srgbClr val="FFC000"/>
              </a:solidFill>
            </c:spPr>
            <c:extLst>
              <c:ext xmlns:c16="http://schemas.microsoft.com/office/drawing/2014/chart" uri="{C3380CC4-5D6E-409C-BE32-E72D297353CC}">
                <c16:uniqueId val="{00000001-7991-448C-94F6-A903985AC430}"/>
              </c:ext>
            </c:extLst>
          </c:dPt>
          <c:dPt>
            <c:idx val="2"/>
            <c:bubble3D val="0"/>
            <c:spPr>
              <a:solidFill>
                <a:srgbClr val="FF0000"/>
              </a:solidFill>
            </c:spPr>
            <c:extLst>
              <c:ext xmlns:c16="http://schemas.microsoft.com/office/drawing/2014/chart" uri="{C3380CC4-5D6E-409C-BE32-E72D297353CC}">
                <c16:uniqueId val="{00000002-7991-448C-94F6-A903985AC430}"/>
              </c:ext>
            </c:extLst>
          </c:dPt>
          <c:cat>
            <c:strRef>
              <c:f>'2b. Charts by Priority'!$AY$23:$AY$25</c:f>
              <c:strCache>
                <c:ptCount val="3"/>
                <c:pt idx="0">
                  <c:v>Green</c:v>
                </c:pt>
                <c:pt idx="1">
                  <c:v>Amber</c:v>
                </c:pt>
                <c:pt idx="2">
                  <c:v>Red</c:v>
                </c:pt>
              </c:strCache>
            </c:strRef>
          </c:cat>
          <c:val>
            <c:numRef>
              <c:f>'2b. Charts by Priority'!$BA$23:$BA$25</c:f>
              <c:numCache>
                <c:formatCode>0.00%</c:formatCode>
                <c:ptCount val="3"/>
                <c:pt idx="0">
                  <c:v>0</c:v>
                </c:pt>
                <c:pt idx="1">
                  <c:v>0</c:v>
                </c:pt>
                <c:pt idx="2">
                  <c:v>0</c:v>
                </c:pt>
              </c:numCache>
            </c:numRef>
          </c:val>
          <c:extLst>
            <c:ext xmlns:c16="http://schemas.microsoft.com/office/drawing/2014/chart" uri="{C3380CC4-5D6E-409C-BE32-E72D297353CC}">
              <c16:uniqueId val="{00000003-7991-448C-94F6-A903985AC430}"/>
            </c:ext>
          </c:extLst>
        </c:ser>
        <c:dLbls>
          <c:showLegendKey val="0"/>
          <c:showVal val="0"/>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Creating a prosperous East Staffordshire</a:t>
            </a:r>
            <a:r>
              <a:rPr lang="en-US" sz="1800" b="1" i="0" baseline="0"/>
              <a:t> -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26-4C92-9DA5-F959AE20197F}"/>
              </c:ext>
            </c:extLst>
          </c:dPt>
          <c:dPt>
            <c:idx val="1"/>
            <c:bubble3D val="0"/>
            <c:spPr>
              <a:solidFill>
                <a:srgbClr val="FFC000"/>
              </a:solidFill>
            </c:spPr>
            <c:extLst>
              <c:ext xmlns:c16="http://schemas.microsoft.com/office/drawing/2014/chart" uri="{C3380CC4-5D6E-409C-BE32-E72D297353CC}">
                <c16:uniqueId val="{00000001-7626-4C92-9DA5-F959AE20197F}"/>
              </c:ext>
            </c:extLst>
          </c:dPt>
          <c:dPt>
            <c:idx val="2"/>
            <c:bubble3D val="0"/>
            <c:spPr>
              <a:solidFill>
                <a:srgbClr val="FF0000"/>
              </a:solidFill>
            </c:spPr>
            <c:extLst>
              <c:ext xmlns:c16="http://schemas.microsoft.com/office/drawing/2014/chart" uri="{C3380CC4-5D6E-409C-BE32-E72D297353CC}">
                <c16:uniqueId val="{00000002-7626-4C92-9DA5-F959AE20197F}"/>
              </c:ext>
            </c:extLst>
          </c:dPt>
          <c:cat>
            <c:strRef>
              <c:f>'2b. Charts by Priority'!$AY$39:$AY$41</c:f>
              <c:strCache>
                <c:ptCount val="3"/>
                <c:pt idx="0">
                  <c:v>Green</c:v>
                </c:pt>
                <c:pt idx="1">
                  <c:v>Amber</c:v>
                </c:pt>
                <c:pt idx="2">
                  <c:v>Red</c:v>
                </c:pt>
              </c:strCache>
            </c:strRef>
          </c:cat>
          <c:val>
            <c:numRef>
              <c:f>'2b. Charts by Priority'!$BA$39:$BA$41</c:f>
              <c:numCache>
                <c:formatCode>0.00%</c:formatCode>
                <c:ptCount val="3"/>
                <c:pt idx="0">
                  <c:v>0</c:v>
                </c:pt>
                <c:pt idx="1">
                  <c:v>0</c:v>
                </c:pt>
                <c:pt idx="2">
                  <c:v>0</c:v>
                </c:pt>
              </c:numCache>
            </c:numRef>
          </c:val>
          <c:extLst>
            <c:ext xmlns:c16="http://schemas.microsoft.com/office/drawing/2014/chart" uri="{C3380CC4-5D6E-409C-BE32-E72D297353CC}">
              <c16:uniqueId val="{00000003-7626-4C92-9DA5-F959AE20197F}"/>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8C3-4D15-B08D-6B38A26E9AA9}"/>
              </c:ext>
            </c:extLst>
          </c:dPt>
          <c:dPt>
            <c:idx val="1"/>
            <c:bubble3D val="0"/>
            <c:spPr>
              <a:solidFill>
                <a:srgbClr val="FFC000"/>
              </a:solidFill>
            </c:spPr>
            <c:extLst>
              <c:ext xmlns:c16="http://schemas.microsoft.com/office/drawing/2014/chart" uri="{C3380CC4-5D6E-409C-BE32-E72D297353CC}">
                <c16:uniqueId val="{00000001-88C3-4D15-B08D-6B38A26E9AA9}"/>
              </c:ext>
            </c:extLst>
          </c:dPt>
          <c:dPt>
            <c:idx val="2"/>
            <c:bubble3D val="0"/>
            <c:spPr>
              <a:solidFill>
                <a:srgbClr val="FF0000"/>
              </a:solidFill>
            </c:spPr>
            <c:extLst>
              <c:ext xmlns:c16="http://schemas.microsoft.com/office/drawing/2014/chart" uri="{C3380CC4-5D6E-409C-BE32-E72D297353CC}">
                <c16:uniqueId val="{00000002-88C3-4D15-B08D-6B38A26E9AA9}"/>
              </c:ext>
            </c:extLst>
          </c:dPt>
          <c:cat>
            <c:strRef>
              <c:f>'2b. Charts by Priority'!$AY$55:$AY$57</c:f>
              <c:strCache>
                <c:ptCount val="3"/>
                <c:pt idx="0">
                  <c:v>Green</c:v>
                </c:pt>
                <c:pt idx="1">
                  <c:v>Amber</c:v>
                </c:pt>
                <c:pt idx="2">
                  <c:v>Red</c:v>
                </c:pt>
              </c:strCache>
            </c:strRef>
          </c:cat>
          <c:val>
            <c:numRef>
              <c:f>'2b. Charts by Priority'!$BA$55:$BA$57</c:f>
              <c:numCache>
                <c:formatCode>0.00%</c:formatCode>
                <c:ptCount val="3"/>
                <c:pt idx="0">
                  <c:v>0</c:v>
                </c:pt>
                <c:pt idx="1">
                  <c:v>0</c:v>
                </c:pt>
                <c:pt idx="2">
                  <c:v>0</c:v>
                </c:pt>
              </c:numCache>
            </c:numRef>
          </c:val>
          <c:extLst>
            <c:ext xmlns:c16="http://schemas.microsoft.com/office/drawing/2014/chart" uri="{C3380CC4-5D6E-409C-BE32-E72D297353CC}">
              <c16:uniqueId val="{00000003-88C3-4D15-B08D-6B38A26E9AA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A76D-4A4D-AF29-27A678BFA3C0}"/>
              </c:ext>
            </c:extLst>
          </c:dPt>
          <c:dPt>
            <c:idx val="1"/>
            <c:bubble3D val="0"/>
            <c:spPr>
              <a:solidFill>
                <a:srgbClr val="FFC000"/>
              </a:solidFill>
            </c:spPr>
            <c:extLst>
              <c:ext xmlns:c16="http://schemas.microsoft.com/office/drawing/2014/chart" uri="{C3380CC4-5D6E-409C-BE32-E72D297353CC}">
                <c16:uniqueId val="{00000001-A76D-4A4D-AF29-27A678BFA3C0}"/>
              </c:ext>
            </c:extLst>
          </c:dPt>
          <c:dPt>
            <c:idx val="2"/>
            <c:bubble3D val="0"/>
            <c:spPr>
              <a:solidFill>
                <a:srgbClr val="FF0000"/>
              </a:solidFill>
            </c:spPr>
            <c:extLst>
              <c:ext xmlns:c16="http://schemas.microsoft.com/office/drawing/2014/chart" uri="{C3380CC4-5D6E-409C-BE32-E72D297353CC}">
                <c16:uniqueId val="{00000002-A76D-4A4D-AF29-27A678BFA3C0}"/>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'2b. Charts by Priority'!$AY$7:$AY$9</c:f>
              <c:strCache>
                <c:ptCount val="3"/>
                <c:pt idx="0">
                  <c:v>Green</c:v>
                </c:pt>
                <c:pt idx="1">
                  <c:v>Amber</c:v>
                </c:pt>
                <c:pt idx="2">
                  <c:v>Red</c:v>
                </c:pt>
              </c:strCache>
            </c:strRef>
          </c:cat>
          <c:val>
            <c:numRef>
              <c:f>'2b. Charts by Priority'!$BB$7:$BB$9</c:f>
              <c:numCache>
                <c:formatCode>0.00%</c:formatCode>
                <c:ptCount val="3"/>
                <c:pt idx="0">
                  <c:v>0</c:v>
                </c:pt>
                <c:pt idx="1">
                  <c:v>0</c:v>
                </c:pt>
                <c:pt idx="2">
                  <c:v>0</c:v>
                </c:pt>
              </c:numCache>
            </c:numRef>
          </c:val>
          <c:extLst>
            <c:ext xmlns:c16="http://schemas.microsoft.com/office/drawing/2014/chart" uri="{C3380CC4-5D6E-409C-BE32-E72D297353CC}">
              <c16:uniqueId val="{00000003-A76D-4A4D-AF29-27A678BFA3C0}"/>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51C-4A11-9328-12E5957BA4BE}"/>
              </c:ext>
            </c:extLst>
          </c:dPt>
          <c:dPt>
            <c:idx val="1"/>
            <c:bubble3D val="0"/>
            <c:spPr>
              <a:solidFill>
                <a:srgbClr val="FFC000"/>
              </a:solidFill>
            </c:spPr>
            <c:extLst>
              <c:ext xmlns:c16="http://schemas.microsoft.com/office/drawing/2014/chart" uri="{C3380CC4-5D6E-409C-BE32-E72D297353CC}">
                <c16:uniqueId val="{00000001-951C-4A11-9328-12E5957BA4BE}"/>
              </c:ext>
            </c:extLst>
          </c:dPt>
          <c:dPt>
            <c:idx val="2"/>
            <c:bubble3D val="0"/>
            <c:spPr>
              <a:solidFill>
                <a:srgbClr val="FF0000"/>
              </a:solidFill>
            </c:spPr>
            <c:extLst>
              <c:ext xmlns:c16="http://schemas.microsoft.com/office/drawing/2014/chart" uri="{C3380CC4-5D6E-409C-BE32-E72D297353CC}">
                <c16:uniqueId val="{00000002-951C-4A11-9328-12E5957BA4BE}"/>
              </c:ext>
            </c:extLst>
          </c:dPt>
          <c:cat>
            <c:strRef>
              <c:f>'2b. Charts by Priority'!$AY$7:$AY$9</c:f>
              <c:strCache>
                <c:ptCount val="3"/>
                <c:pt idx="0">
                  <c:v>Green</c:v>
                </c:pt>
                <c:pt idx="1">
                  <c:v>Amber</c:v>
                </c:pt>
                <c:pt idx="2">
                  <c:v>Red</c:v>
                </c:pt>
              </c:strCache>
            </c:strRef>
          </c:cat>
          <c:val>
            <c:numRef>
              <c:f>'2b. Charts by Priority'!$BC$7:$BC$9</c:f>
              <c:numCache>
                <c:formatCode>0.00%</c:formatCode>
                <c:ptCount val="3"/>
                <c:pt idx="0">
                  <c:v>0</c:v>
                </c:pt>
                <c:pt idx="1">
                  <c:v>0</c:v>
                </c:pt>
                <c:pt idx="2">
                  <c:v>0</c:v>
                </c:pt>
              </c:numCache>
            </c:numRef>
          </c:val>
          <c:extLst>
            <c:ext xmlns:c16="http://schemas.microsoft.com/office/drawing/2014/chart" uri="{C3380CC4-5D6E-409C-BE32-E72D297353CC}">
              <c16:uniqueId val="{00000003-951C-4A11-9328-12E5957BA4B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7641-4598-B934-C23B09C1EA21}"/>
              </c:ext>
            </c:extLst>
          </c:dPt>
          <c:dPt>
            <c:idx val="1"/>
            <c:bubble3D val="0"/>
            <c:spPr>
              <a:solidFill>
                <a:srgbClr val="FFC000"/>
              </a:solidFill>
            </c:spPr>
            <c:extLst>
              <c:ext xmlns:c16="http://schemas.microsoft.com/office/drawing/2014/chart" uri="{C3380CC4-5D6E-409C-BE32-E72D297353CC}">
                <c16:uniqueId val="{00000001-7641-4598-B934-C23B09C1EA21}"/>
              </c:ext>
            </c:extLst>
          </c:dPt>
          <c:dPt>
            <c:idx val="2"/>
            <c:bubble3D val="0"/>
            <c:spPr>
              <a:solidFill>
                <a:srgbClr val="FF0000"/>
              </a:solidFill>
            </c:spPr>
            <c:extLst>
              <c:ext xmlns:c16="http://schemas.microsoft.com/office/drawing/2014/chart" uri="{C3380CC4-5D6E-409C-BE32-E72D297353CC}">
                <c16:uniqueId val="{00000002-7641-4598-B934-C23B09C1EA21}"/>
              </c:ext>
            </c:extLst>
          </c:dPt>
          <c:cat>
            <c:strRef>
              <c:f>'2b. Charts by Priority'!$AY$23:$AY$25</c:f>
              <c:strCache>
                <c:ptCount val="3"/>
                <c:pt idx="0">
                  <c:v>Green</c:v>
                </c:pt>
                <c:pt idx="1">
                  <c:v>Amber</c:v>
                </c:pt>
                <c:pt idx="2">
                  <c:v>Red</c:v>
                </c:pt>
              </c:strCache>
            </c:strRef>
          </c:cat>
          <c:val>
            <c:numRef>
              <c:f>'2b. Charts by Priority'!$BB$23:$BB$25</c:f>
              <c:numCache>
                <c:formatCode>0.00%</c:formatCode>
                <c:ptCount val="3"/>
                <c:pt idx="0">
                  <c:v>0</c:v>
                </c:pt>
                <c:pt idx="1">
                  <c:v>0</c:v>
                </c:pt>
                <c:pt idx="2">
                  <c:v>0</c:v>
                </c:pt>
              </c:numCache>
            </c:numRef>
          </c:val>
          <c:extLst>
            <c:ext xmlns:c16="http://schemas.microsoft.com/office/drawing/2014/chart" uri="{C3380CC4-5D6E-409C-BE32-E72D297353CC}">
              <c16:uniqueId val="{00000003-7641-4598-B934-C23B09C1EA2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Improving Local Democracy-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0A41-4000-A8E2-478BCE1665AD}"/>
              </c:ext>
            </c:extLst>
          </c:dPt>
          <c:dPt>
            <c:idx val="1"/>
            <c:bubble3D val="0"/>
            <c:spPr>
              <a:solidFill>
                <a:srgbClr val="FFC000"/>
              </a:solidFill>
            </c:spPr>
            <c:extLst>
              <c:ext xmlns:c16="http://schemas.microsoft.com/office/drawing/2014/chart" uri="{C3380CC4-5D6E-409C-BE32-E72D297353CC}">
                <c16:uniqueId val="{00000001-0A41-4000-A8E2-478BCE1665AD}"/>
              </c:ext>
            </c:extLst>
          </c:dPt>
          <c:dPt>
            <c:idx val="2"/>
            <c:bubble3D val="0"/>
            <c:spPr>
              <a:solidFill>
                <a:srgbClr val="FF0000"/>
              </a:solidFill>
            </c:spPr>
            <c:extLst>
              <c:ext xmlns:c16="http://schemas.microsoft.com/office/drawing/2014/chart" uri="{C3380CC4-5D6E-409C-BE32-E72D297353CC}">
                <c16:uniqueId val="{00000002-0A41-4000-A8E2-478BCE1665AD}"/>
              </c:ext>
            </c:extLst>
          </c:dPt>
          <c:cat>
            <c:strRef>
              <c:f>'2b. Charts by Priority'!$AY$23:$AY$25</c:f>
              <c:strCache>
                <c:ptCount val="3"/>
                <c:pt idx="0">
                  <c:v>Green</c:v>
                </c:pt>
                <c:pt idx="1">
                  <c:v>Amber</c:v>
                </c:pt>
                <c:pt idx="2">
                  <c:v>Red</c:v>
                </c:pt>
              </c:strCache>
            </c:strRef>
          </c:cat>
          <c:val>
            <c:numRef>
              <c:f>'2b. Charts by Priority'!$BC$23:$BC$25</c:f>
              <c:numCache>
                <c:formatCode>0.00%</c:formatCode>
                <c:ptCount val="3"/>
                <c:pt idx="0">
                  <c:v>0</c:v>
                </c:pt>
                <c:pt idx="1">
                  <c:v>0</c:v>
                </c:pt>
                <c:pt idx="2">
                  <c:v>0</c:v>
                </c:pt>
              </c:numCache>
            </c:numRef>
          </c:val>
          <c:extLst>
            <c:ext xmlns:c16="http://schemas.microsoft.com/office/drawing/2014/chart" uri="{C3380CC4-5D6E-409C-BE32-E72D297353CC}">
              <c16:uniqueId val="{00000003-0A41-4000-A8E2-478BCE1665A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Creating a prosperous East Staffordshire</a:t>
            </a:r>
            <a:r>
              <a:rPr lang="en-US" sz="1800" b="1" i="0" baseline="0"/>
              <a:t> -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A9B-478A-B2A9-1B9D10175A4B}"/>
              </c:ext>
            </c:extLst>
          </c:dPt>
          <c:dPt>
            <c:idx val="1"/>
            <c:bubble3D val="0"/>
            <c:spPr>
              <a:solidFill>
                <a:srgbClr val="FFC000"/>
              </a:solidFill>
            </c:spPr>
            <c:extLst>
              <c:ext xmlns:c16="http://schemas.microsoft.com/office/drawing/2014/chart" uri="{C3380CC4-5D6E-409C-BE32-E72D297353CC}">
                <c16:uniqueId val="{00000001-BA9B-478A-B2A9-1B9D10175A4B}"/>
              </c:ext>
            </c:extLst>
          </c:dPt>
          <c:dPt>
            <c:idx val="2"/>
            <c:bubble3D val="0"/>
            <c:spPr>
              <a:solidFill>
                <a:srgbClr val="FF0000"/>
              </a:solidFill>
            </c:spPr>
            <c:extLst>
              <c:ext xmlns:c16="http://schemas.microsoft.com/office/drawing/2014/chart" uri="{C3380CC4-5D6E-409C-BE32-E72D297353CC}">
                <c16:uniqueId val="{00000002-BA9B-478A-B2A9-1B9D10175A4B}"/>
              </c:ext>
            </c:extLst>
          </c:dPt>
          <c:cat>
            <c:strRef>
              <c:f>'2b. Charts by Priority'!$AY$39:$AY$41</c:f>
              <c:strCache>
                <c:ptCount val="3"/>
                <c:pt idx="0">
                  <c:v>Green</c:v>
                </c:pt>
                <c:pt idx="1">
                  <c:v>Amber</c:v>
                </c:pt>
                <c:pt idx="2">
                  <c:v>Red</c:v>
                </c:pt>
              </c:strCache>
            </c:strRef>
          </c:cat>
          <c:val>
            <c:numRef>
              <c:f>'2b. Charts by Priority'!$BB$39:$BB$41</c:f>
              <c:numCache>
                <c:formatCode>0.00%</c:formatCode>
                <c:ptCount val="3"/>
                <c:pt idx="0">
                  <c:v>0</c:v>
                </c:pt>
                <c:pt idx="1">
                  <c:v>0</c:v>
                </c:pt>
                <c:pt idx="2">
                  <c:v>0</c:v>
                </c:pt>
              </c:numCache>
            </c:numRef>
          </c:val>
          <c:extLst>
            <c:ext xmlns:c16="http://schemas.microsoft.com/office/drawing/2014/chart" uri="{C3380CC4-5D6E-409C-BE32-E72D297353CC}">
              <c16:uniqueId val="{00000003-BA9B-478A-B2A9-1B9D10175A4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US" sz="1800" b="1" i="0" u="none" strike="noStrike" baseline="0">
                <a:effectLst/>
              </a:rPr>
              <a:t>Creating a prosperous East Staffordshire</a:t>
            </a: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E504-44CE-97B2-C7B1FE600C20}"/>
              </c:ext>
            </c:extLst>
          </c:dPt>
          <c:dPt>
            <c:idx val="1"/>
            <c:bubble3D val="0"/>
            <c:spPr>
              <a:solidFill>
                <a:srgbClr val="FFC000"/>
              </a:solidFill>
            </c:spPr>
            <c:extLst>
              <c:ext xmlns:c16="http://schemas.microsoft.com/office/drawing/2014/chart" uri="{C3380CC4-5D6E-409C-BE32-E72D297353CC}">
                <c16:uniqueId val="{00000001-E504-44CE-97B2-C7B1FE600C20}"/>
              </c:ext>
            </c:extLst>
          </c:dPt>
          <c:dPt>
            <c:idx val="2"/>
            <c:bubble3D val="0"/>
            <c:spPr>
              <a:solidFill>
                <a:srgbClr val="FF0000"/>
              </a:solidFill>
            </c:spPr>
            <c:extLst>
              <c:ext xmlns:c16="http://schemas.microsoft.com/office/drawing/2014/chart" uri="{C3380CC4-5D6E-409C-BE32-E72D297353CC}">
                <c16:uniqueId val="{00000002-E504-44CE-97B2-C7B1FE600C20}"/>
              </c:ext>
            </c:extLst>
          </c:dPt>
          <c:cat>
            <c:strRef>
              <c:f>'2b. Charts by Priority'!$AY$39:$AY$41</c:f>
              <c:strCache>
                <c:ptCount val="3"/>
                <c:pt idx="0">
                  <c:v>Green</c:v>
                </c:pt>
                <c:pt idx="1">
                  <c:v>Amber</c:v>
                </c:pt>
                <c:pt idx="2">
                  <c:v>Red</c:v>
                </c:pt>
              </c:strCache>
            </c:strRef>
          </c:cat>
          <c:val>
            <c:numRef>
              <c:f>'2b. Charts by Priority'!$BC$39:$BC$41</c:f>
              <c:numCache>
                <c:formatCode>0.00%</c:formatCode>
                <c:ptCount val="3"/>
                <c:pt idx="0">
                  <c:v>0</c:v>
                </c:pt>
                <c:pt idx="1">
                  <c:v>0</c:v>
                </c:pt>
                <c:pt idx="2">
                  <c:v>0</c:v>
                </c:pt>
              </c:numCache>
            </c:numRef>
          </c:val>
          <c:extLst>
            <c:ext xmlns:c16="http://schemas.microsoft.com/office/drawing/2014/chart" uri="{C3380CC4-5D6E-409C-BE32-E72D297353CC}">
              <c16:uniqueId val="{00000003-E504-44CE-97B2-C7B1FE600C2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B67C-498C-8367-702B3FC4C53B}"/>
              </c:ext>
            </c:extLst>
          </c:dPt>
          <c:dPt>
            <c:idx val="1"/>
            <c:bubble3D val="0"/>
            <c:spPr>
              <a:solidFill>
                <a:srgbClr val="FFC000"/>
              </a:solidFill>
            </c:spPr>
            <c:extLst>
              <c:ext xmlns:c16="http://schemas.microsoft.com/office/drawing/2014/chart" uri="{C3380CC4-5D6E-409C-BE32-E72D297353CC}">
                <c16:uniqueId val="{00000001-B67C-498C-8367-702B3FC4C53B}"/>
              </c:ext>
            </c:extLst>
          </c:dPt>
          <c:dPt>
            <c:idx val="2"/>
            <c:bubble3D val="0"/>
            <c:spPr>
              <a:solidFill>
                <a:srgbClr val="FF0000"/>
              </a:solidFill>
            </c:spPr>
            <c:extLst>
              <c:ext xmlns:c16="http://schemas.microsoft.com/office/drawing/2014/chart" uri="{C3380CC4-5D6E-409C-BE32-E72D297353CC}">
                <c16:uniqueId val="{00000002-B67C-498C-8367-702B3FC4C53B}"/>
              </c:ext>
            </c:extLst>
          </c:dPt>
          <c:cat>
            <c:strRef>
              <c:f>'2b. Charts by Priority'!$AY$55:$AY$57</c:f>
              <c:strCache>
                <c:ptCount val="3"/>
                <c:pt idx="0">
                  <c:v>Green</c:v>
                </c:pt>
                <c:pt idx="1">
                  <c:v>Amber</c:v>
                </c:pt>
                <c:pt idx="2">
                  <c:v>Red</c:v>
                </c:pt>
              </c:strCache>
            </c:strRef>
          </c:cat>
          <c:val>
            <c:numRef>
              <c:f>'2b. Charts by Priority'!$BB$55:$BB$57</c:f>
              <c:numCache>
                <c:formatCode>0.00%</c:formatCode>
                <c:ptCount val="3"/>
                <c:pt idx="0">
                  <c:v>0</c:v>
                </c:pt>
                <c:pt idx="1">
                  <c:v>0</c:v>
                </c:pt>
                <c:pt idx="2">
                  <c:v>0</c:v>
                </c:pt>
              </c:numCache>
            </c:numRef>
          </c:val>
          <c:extLst>
            <c:ext xmlns:c16="http://schemas.microsoft.com/office/drawing/2014/chart" uri="{C3380CC4-5D6E-409C-BE32-E72D297353CC}">
              <c16:uniqueId val="{00000003-B67C-498C-8367-702B3FC4C53B}"/>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Improving Local Democracy</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Priority'!$AZ$23:$BC$23</c:f>
              <c:numCache>
                <c:formatCode>0.00%</c:formatCode>
                <c:ptCount val="4"/>
                <c:pt idx="0">
                  <c:v>0.84615384615384615</c:v>
                </c:pt>
                <c:pt idx="1">
                  <c:v>0</c:v>
                </c:pt>
                <c:pt idx="2">
                  <c:v>0</c:v>
                </c:pt>
                <c:pt idx="3">
                  <c:v>0</c:v>
                </c:pt>
              </c:numCache>
            </c:numRef>
          </c:val>
          <c:smooth val="0"/>
          <c:extLst>
            <c:ext xmlns:c16="http://schemas.microsoft.com/office/drawing/2014/chart" uri="{C3380CC4-5D6E-409C-BE32-E72D297353CC}">
              <c16:uniqueId val="{00000002-AC7C-4B39-A234-8A7576CDE4FF}"/>
            </c:ext>
          </c:extLst>
        </c:ser>
        <c:ser>
          <c:idx val="1"/>
          <c:order val="1"/>
          <c:tx>
            <c:strRef>
              <c:f>'2b. Charts by Priority'!$AY$24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AC7C-4B39-A234-8A7576CDE4FF}"/>
            </c:ext>
          </c:extLst>
        </c:ser>
        <c:ser>
          <c:idx val="2"/>
          <c:order val="2"/>
          <c:tx>
            <c:strRef>
              <c:f>'2b. Charts by Priority'!$AY$25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7C-4B39-A234-8A7576CDE4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7C-4B39-A234-8A7576CDE4FF}"/>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Priority'!$AZ$22:$BC$22</c:f>
              <c:strCache>
                <c:ptCount val="4"/>
                <c:pt idx="0">
                  <c:v>Q1</c:v>
                </c:pt>
                <c:pt idx="1">
                  <c:v>Q2</c:v>
                </c:pt>
                <c:pt idx="2">
                  <c:v>Q3</c:v>
                </c:pt>
                <c:pt idx="3">
                  <c:v>Q4</c:v>
                </c:pt>
              </c:strCache>
            </c:strRef>
          </c:cat>
          <c:val>
            <c:numRef>
              <c:f>'2b. Charts by Priority'!$AZ$25:$BC$25</c:f>
              <c:numCache>
                <c:formatCode>0.00%</c:formatCode>
                <c:ptCount val="4"/>
                <c:pt idx="0">
                  <c:v>0.15384615384615385</c:v>
                </c:pt>
                <c:pt idx="1">
                  <c:v>0</c:v>
                </c:pt>
                <c:pt idx="2">
                  <c:v>0</c:v>
                </c:pt>
                <c:pt idx="3">
                  <c:v>0</c:v>
                </c:pt>
              </c:numCache>
            </c:numRef>
          </c:val>
          <c:smooth val="0"/>
          <c:extLst>
            <c:ext xmlns:c16="http://schemas.microsoft.com/office/drawing/2014/chart" uri="{C3380CC4-5D6E-409C-BE32-E72D297353CC}">
              <c16:uniqueId val="{00000008-AC7C-4B39-A234-8A7576CDE4FF}"/>
            </c:ext>
          </c:extLst>
        </c:ser>
        <c:dLbls>
          <c:showLegendKey val="0"/>
          <c:showVal val="1"/>
          <c:showCatName val="0"/>
          <c:showSerName val="0"/>
          <c:showPercent val="0"/>
          <c:showBubbleSize val="0"/>
        </c:dLbls>
        <c:smooth val="0"/>
        <c:axId val="334180680"/>
        <c:axId val="334181072"/>
      </c:lineChart>
      <c:catAx>
        <c:axId val="334180680"/>
        <c:scaling>
          <c:orientation val="minMax"/>
        </c:scaling>
        <c:delete val="0"/>
        <c:axPos val="b"/>
        <c:numFmt formatCode="General" sourceLinked="0"/>
        <c:majorTickMark val="out"/>
        <c:minorTickMark val="none"/>
        <c:tickLblPos val="nextTo"/>
        <c:txPr>
          <a:bodyPr/>
          <a:lstStyle/>
          <a:p>
            <a:pPr>
              <a:defRPr lang="en-US"/>
            </a:pPr>
            <a:endParaRPr lang="en-US"/>
          </a:p>
        </c:txPr>
        <c:crossAx val="334181072"/>
        <c:crosses val="autoZero"/>
        <c:auto val="1"/>
        <c:lblAlgn val="ctr"/>
        <c:lblOffset val="100"/>
        <c:noMultiLvlLbl val="0"/>
      </c:catAx>
      <c:valAx>
        <c:axId val="334181072"/>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3418068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Developing a Green New Deal - </a:t>
            </a:r>
            <a:r>
              <a:rPr lang="en-US" sz="1800" b="1" i="0" baseline="0"/>
              <a:t>End of Year</a:t>
            </a:r>
            <a:endParaRPr lang="en-GB"/>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796159124774768E-2"/>
          <c:y val="0.33291514146016032"/>
          <c:w val="0.81796323866694998"/>
          <c:h val="0.57029011841750465"/>
        </c:manualLayout>
      </c:layout>
      <c:pie3DChart>
        <c:varyColors val="1"/>
        <c:ser>
          <c:idx val="0"/>
          <c:order val="0"/>
          <c:dPt>
            <c:idx val="0"/>
            <c:bubble3D val="0"/>
            <c:spPr>
              <a:solidFill>
                <a:srgbClr val="92D050"/>
              </a:solidFill>
            </c:spPr>
            <c:extLst>
              <c:ext xmlns:c16="http://schemas.microsoft.com/office/drawing/2014/chart" uri="{C3380CC4-5D6E-409C-BE32-E72D297353CC}">
                <c16:uniqueId val="{00000000-563A-496E-9601-7BADD816C91D}"/>
              </c:ext>
            </c:extLst>
          </c:dPt>
          <c:dPt>
            <c:idx val="1"/>
            <c:bubble3D val="0"/>
            <c:spPr>
              <a:solidFill>
                <a:srgbClr val="FFC000"/>
              </a:solidFill>
            </c:spPr>
            <c:extLst>
              <c:ext xmlns:c16="http://schemas.microsoft.com/office/drawing/2014/chart" uri="{C3380CC4-5D6E-409C-BE32-E72D297353CC}">
                <c16:uniqueId val="{00000001-563A-496E-9601-7BADD816C91D}"/>
              </c:ext>
            </c:extLst>
          </c:dPt>
          <c:dPt>
            <c:idx val="2"/>
            <c:bubble3D val="0"/>
            <c:spPr>
              <a:solidFill>
                <a:srgbClr val="FF0000"/>
              </a:solidFill>
            </c:spPr>
            <c:extLst>
              <c:ext xmlns:c16="http://schemas.microsoft.com/office/drawing/2014/chart" uri="{C3380CC4-5D6E-409C-BE32-E72D297353CC}">
                <c16:uniqueId val="{00000002-563A-496E-9601-7BADD816C91D}"/>
              </c:ext>
            </c:extLst>
          </c:dPt>
          <c:cat>
            <c:strRef>
              <c:f>'2b. Charts by Priority'!$AY$55:$AY$57</c:f>
              <c:strCache>
                <c:ptCount val="3"/>
                <c:pt idx="0">
                  <c:v>Green</c:v>
                </c:pt>
                <c:pt idx="1">
                  <c:v>Amber</c:v>
                </c:pt>
                <c:pt idx="2">
                  <c:v>Red</c:v>
                </c:pt>
              </c:strCache>
            </c:strRef>
          </c:cat>
          <c:val>
            <c:numRef>
              <c:f>'2b. Charts by Priority'!$BC$55:$BC$57</c:f>
              <c:numCache>
                <c:formatCode>0.00%</c:formatCode>
                <c:ptCount val="3"/>
                <c:pt idx="0">
                  <c:v>0</c:v>
                </c:pt>
                <c:pt idx="1">
                  <c:v>0</c:v>
                </c:pt>
                <c:pt idx="2">
                  <c:v>0</c:v>
                </c:pt>
              </c:numCache>
            </c:numRef>
          </c:val>
          <c:extLst>
            <c:ext xmlns:c16="http://schemas.microsoft.com/office/drawing/2014/chart" uri="{C3380CC4-5D6E-409C-BE32-E72D297353CC}">
              <c16:uniqueId val="{00000003-563A-496E-9601-7BADD816C91D}"/>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Protecting our heritage</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Priority'!$AY$71</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Priority'!$AZ$70:$BC$70</c:f>
              <c:strCache>
                <c:ptCount val="4"/>
                <c:pt idx="0">
                  <c:v>Q1</c:v>
                </c:pt>
                <c:pt idx="1">
                  <c:v>Q2</c:v>
                </c:pt>
                <c:pt idx="2">
                  <c:v>Q3</c:v>
                </c:pt>
                <c:pt idx="3">
                  <c:v>Q4</c:v>
                </c:pt>
              </c:strCache>
            </c:strRef>
          </c:cat>
          <c:val>
            <c:numRef>
              <c:f>'2b. Charts by Priority'!$AZ$71:$BC$71</c:f>
              <c:numCache>
                <c:formatCode>0.00%</c:formatCode>
                <c:ptCount val="4"/>
                <c:pt idx="0">
                  <c:v>0.9</c:v>
                </c:pt>
                <c:pt idx="1">
                  <c:v>0</c:v>
                </c:pt>
                <c:pt idx="2">
                  <c:v>0</c:v>
                </c:pt>
                <c:pt idx="3">
                  <c:v>0</c:v>
                </c:pt>
              </c:numCache>
            </c:numRef>
          </c:val>
          <c:smooth val="0"/>
          <c:extLst>
            <c:ext xmlns:c16="http://schemas.microsoft.com/office/drawing/2014/chart" uri="{C3380CC4-5D6E-409C-BE32-E72D297353CC}">
              <c16:uniqueId val="{00000002-21A3-4BFA-BBB5-DF5B18E71016}"/>
            </c:ext>
          </c:extLst>
        </c:ser>
        <c:ser>
          <c:idx val="1"/>
          <c:order val="1"/>
          <c:tx>
            <c:strRef>
              <c:f>'2b. Charts by Priority'!$AY$72</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Priority'!$AZ$70:$BC$70</c:f>
              <c:strCache>
                <c:ptCount val="4"/>
                <c:pt idx="0">
                  <c:v>Q1</c:v>
                </c:pt>
                <c:pt idx="1">
                  <c:v>Q2</c:v>
                </c:pt>
                <c:pt idx="2">
                  <c:v>Q3</c:v>
                </c:pt>
                <c:pt idx="3">
                  <c:v>Q4</c:v>
                </c:pt>
              </c:strCache>
            </c:strRef>
          </c:cat>
          <c:val>
            <c:numRef>
              <c:f>'2b. Charts by Priority'!$AZ$72:$BC$72</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21A3-4BFA-BBB5-DF5B18E71016}"/>
            </c:ext>
          </c:extLst>
        </c:ser>
        <c:ser>
          <c:idx val="2"/>
          <c:order val="2"/>
          <c:tx>
            <c:strRef>
              <c:f>'2b. Charts by Priority'!$AY$73</c:f>
              <c:strCache>
                <c:ptCount val="1"/>
                <c:pt idx="0">
                  <c:v>Red</c:v>
                </c:pt>
              </c:strCache>
            </c:strRef>
          </c:tx>
          <c:marker>
            <c:symbol val="none"/>
          </c:marker>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'2b. Charts by Priority'!$AZ$70:$BC$70</c:f>
              <c:strCache>
                <c:ptCount val="4"/>
                <c:pt idx="0">
                  <c:v>Q1</c:v>
                </c:pt>
                <c:pt idx="1">
                  <c:v>Q2</c:v>
                </c:pt>
                <c:pt idx="2">
                  <c:v>Q3</c:v>
                </c:pt>
                <c:pt idx="3">
                  <c:v>Q4</c:v>
                </c:pt>
              </c:strCache>
            </c:strRef>
          </c:cat>
          <c:val>
            <c:numRef>
              <c:f>'2b. Charts by Priority'!$AZ$73:$BC$73</c:f>
              <c:numCache>
                <c:formatCode>0.00%</c:formatCode>
                <c:ptCount val="4"/>
                <c:pt idx="0">
                  <c:v>0.1</c:v>
                </c:pt>
                <c:pt idx="1">
                  <c:v>0</c:v>
                </c:pt>
                <c:pt idx="2">
                  <c:v>0</c:v>
                </c:pt>
                <c:pt idx="3">
                  <c:v>0</c:v>
                </c:pt>
              </c:numCache>
            </c:numRef>
          </c:val>
          <c:smooth val="0"/>
          <c:extLst>
            <c:ext xmlns:c16="http://schemas.microsoft.com/office/drawing/2014/chart" uri="{C3380CC4-5D6E-409C-BE32-E72D297353CC}">
              <c16:uniqueId val="{0000000C-21A3-4BFA-BBB5-DF5B18E71016}"/>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Protecting</a:t>
            </a:r>
            <a:r>
              <a:rPr lang="en-US" baseline="0"/>
              <a:t> our heritage </a:t>
            </a: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Priority'!$AZ$70</c:f>
              <c:strCache>
                <c:ptCount val="1"/>
                <c:pt idx="0">
                  <c:v>Q1</c:v>
                </c:pt>
              </c:strCache>
            </c:strRef>
          </c:tx>
          <c:cat>
            <c:strRef>
              <c:f>'2b. Charts by Priority'!$AY$71:$AY$73</c:f>
              <c:strCache>
                <c:ptCount val="3"/>
                <c:pt idx="0">
                  <c:v>Green</c:v>
                </c:pt>
                <c:pt idx="1">
                  <c:v>Amber</c:v>
                </c:pt>
                <c:pt idx="2">
                  <c:v>Red</c:v>
                </c:pt>
              </c:strCache>
            </c:strRef>
          </c:cat>
          <c:val>
            <c:numRef>
              <c:f>'2b. Charts by Priority'!$AZ$71:$AZ$73</c:f>
              <c:numCache>
                <c:formatCode>0.00%</c:formatCode>
                <c:ptCount val="3"/>
                <c:pt idx="0">
                  <c:v>0.9</c:v>
                </c:pt>
                <c:pt idx="1">
                  <c:v>0</c:v>
                </c:pt>
                <c:pt idx="2">
                  <c:v>0.1</c:v>
                </c:pt>
              </c:numCache>
            </c:numRef>
          </c:val>
          <c:extLst>
            <c:ext xmlns:c16="http://schemas.microsoft.com/office/drawing/2014/chart" uri="{C3380CC4-5D6E-409C-BE32-E72D297353CC}">
              <c16:uniqueId val="{00000006-A190-423B-8A49-D421E49B515C}"/>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Priority'!$BA$70</c:f>
              <c:strCache>
                <c:ptCount val="1"/>
                <c:pt idx="0">
                  <c:v>Q2</c:v>
                </c:pt>
              </c:strCache>
            </c:strRef>
          </c:tx>
          <c:cat>
            <c:strRef>
              <c:f>'2b. Charts by Priority'!$AY$71:$AY$73</c:f>
              <c:strCache>
                <c:ptCount val="3"/>
                <c:pt idx="0">
                  <c:v>Green</c:v>
                </c:pt>
                <c:pt idx="1">
                  <c:v>Amber</c:v>
                </c:pt>
                <c:pt idx="2">
                  <c:v>Red</c:v>
                </c:pt>
              </c:strCache>
            </c:strRef>
          </c:cat>
          <c:val>
            <c:numRef>
              <c:f>'2b. Charts by Priority'!$BA$71:$BA$73</c:f>
              <c:numCache>
                <c:formatCode>0.00%</c:formatCode>
                <c:ptCount val="3"/>
                <c:pt idx="0">
                  <c:v>0</c:v>
                </c:pt>
                <c:pt idx="1">
                  <c:v>0</c:v>
                </c:pt>
                <c:pt idx="2">
                  <c:v>0</c:v>
                </c:pt>
              </c:numCache>
            </c:numRef>
          </c:val>
          <c:extLst>
            <c:ext xmlns:c16="http://schemas.microsoft.com/office/drawing/2014/chart" uri="{C3380CC4-5D6E-409C-BE32-E72D297353CC}">
              <c16:uniqueId val="{00000006-70BB-4E45-86EF-F55AC9481CA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a:t>
            </a:r>
            <a:r>
              <a:rPr lang="en-US" sz="1800" b="1" i="0" baseline="0"/>
              <a:t>Quarter 3</a:t>
            </a:r>
            <a:endParaRPr lang="en-GB"/>
          </a:p>
        </c:rich>
      </c:tx>
      <c:layout>
        <c:manualLayout>
          <c:xMode val="edge"/>
          <c:yMode val="edge"/>
          <c:x val="0.11275406980377453"/>
          <c:y val="3.2429928190873293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Priority'!$BB$70</c:f>
              <c:strCache>
                <c:ptCount val="1"/>
                <c:pt idx="0">
                  <c:v>Q3</c:v>
                </c:pt>
              </c:strCache>
            </c:strRef>
          </c:tx>
          <c:cat>
            <c:strRef>
              <c:f>'2b. Charts by Priority'!$AY$71:$AY$73</c:f>
              <c:strCache>
                <c:ptCount val="3"/>
                <c:pt idx="0">
                  <c:v>Green</c:v>
                </c:pt>
                <c:pt idx="1">
                  <c:v>Amber</c:v>
                </c:pt>
                <c:pt idx="2">
                  <c:v>Red</c:v>
                </c:pt>
              </c:strCache>
            </c:strRef>
          </c:cat>
          <c:val>
            <c:numRef>
              <c:f>'2b. Charts by Priority'!$BB$71:$BB$73</c:f>
              <c:numCache>
                <c:formatCode>0.00%</c:formatCode>
                <c:ptCount val="3"/>
                <c:pt idx="0">
                  <c:v>0</c:v>
                </c:pt>
                <c:pt idx="1">
                  <c:v>0</c:v>
                </c:pt>
                <c:pt idx="2">
                  <c:v>0</c:v>
                </c:pt>
              </c:numCache>
            </c:numRef>
          </c:val>
          <c:extLst>
            <c:ext xmlns:c16="http://schemas.microsoft.com/office/drawing/2014/chart" uri="{C3380CC4-5D6E-409C-BE32-E72D297353CC}">
              <c16:uniqueId val="{00000006-141D-40D7-B585-2CE41F6808DC}"/>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Protecting our heritage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Priority'!$BC$70</c:f>
              <c:strCache>
                <c:ptCount val="1"/>
                <c:pt idx="0">
                  <c:v>Q4</c:v>
                </c:pt>
              </c:strCache>
            </c:strRef>
          </c:tx>
          <c:cat>
            <c:strRef>
              <c:f>'2b. Charts by Priority'!$AY$71:$AY$73</c:f>
              <c:strCache>
                <c:ptCount val="3"/>
                <c:pt idx="0">
                  <c:v>Green</c:v>
                </c:pt>
                <c:pt idx="1">
                  <c:v>Amber</c:v>
                </c:pt>
                <c:pt idx="2">
                  <c:v>Red</c:v>
                </c:pt>
              </c:strCache>
            </c:strRef>
          </c:cat>
          <c:val>
            <c:numRef>
              <c:f>'2b. Charts by Priority'!$BC$71:$BC$73</c:f>
              <c:numCache>
                <c:formatCode>0.00%</c:formatCode>
                <c:ptCount val="3"/>
                <c:pt idx="0">
                  <c:v>0</c:v>
                </c:pt>
                <c:pt idx="1">
                  <c:v>0</c:v>
                </c:pt>
                <c:pt idx="2">
                  <c:v>0</c:v>
                </c:pt>
              </c:numCache>
            </c:numRef>
          </c:val>
          <c:extLst>
            <c:ext xmlns:c16="http://schemas.microsoft.com/office/drawing/2014/chart" uri="{C3380CC4-5D6E-409C-BE32-E72D297353CC}">
              <c16:uniqueId val="{00000006-C9DF-4E1B-BBB8-FBF2670D6A99}"/>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Standing up for our communities</a:t>
            </a: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Priority'!$AY$86</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Priority'!$AZ$86:$BC$86</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B2CF-466E-A181-6E2E2E9B9E32}"/>
            </c:ext>
          </c:extLst>
        </c:ser>
        <c:ser>
          <c:idx val="1"/>
          <c:order val="1"/>
          <c:tx>
            <c:strRef>
              <c:f>'2b. Charts by Priority'!$AY$87</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Priority'!$AZ$87:$BC$87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B2CF-466E-A181-6E2E2E9B9E32}"/>
            </c:ext>
          </c:extLst>
        </c:ser>
        <c:ser>
          <c:idx val="2"/>
          <c:order val="2"/>
          <c:tx>
            <c:strRef>
              <c:f>'2b. Charts by Priority'!$AY$88</c:f>
              <c:strCache>
                <c:ptCount val="1"/>
                <c:pt idx="0">
                  <c:v>Red</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Priority'!$AZ$85:$BC$85</c:f>
              <c:strCache>
                <c:ptCount val="4"/>
                <c:pt idx="0">
                  <c:v>Q1</c:v>
                </c:pt>
                <c:pt idx="1">
                  <c:v>Q2</c:v>
                </c:pt>
                <c:pt idx="2">
                  <c:v>Q3</c:v>
                </c:pt>
                <c:pt idx="3">
                  <c:v>Q4</c:v>
                </c:pt>
              </c:strCache>
            </c:strRef>
          </c:cat>
          <c:val>
            <c:numRef>
              <c:f>'2b. Charts by Priority'!$AZ$88:$BC$88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B2CF-466E-A181-6E2E2E9B9E32}"/>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Standing up for our communities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Priority'!$AZ$85</c:f>
              <c:strCache>
                <c:ptCount val="1"/>
                <c:pt idx="0">
                  <c:v>Q1</c:v>
                </c:pt>
              </c:strCache>
            </c:strRef>
          </c:tx>
          <c:cat>
            <c:strRef>
              <c:f>'2b. Charts by Priority'!$AY$86:$AY$88</c:f>
              <c:strCache>
                <c:ptCount val="3"/>
                <c:pt idx="0">
                  <c:v>Green</c:v>
                </c:pt>
                <c:pt idx="1">
                  <c:v>Amber</c:v>
                </c:pt>
                <c:pt idx="2">
                  <c:v>Red</c:v>
                </c:pt>
              </c:strCache>
            </c:strRef>
          </c:cat>
          <c:val>
            <c:numRef>
              <c:f>'2b. Charts by Priority'!$AZ$86:$AZ$88</c:f>
              <c:numCache>
                <c:formatCode>0.00%</c:formatCode>
                <c:ptCount val="3"/>
                <c:pt idx="0">
                  <c:v>1</c:v>
                </c:pt>
                <c:pt idx="1">
                  <c:v>0</c:v>
                </c:pt>
                <c:pt idx="2">
                  <c:v>0</c:v>
                </c:pt>
              </c:numCache>
            </c:numRef>
          </c:val>
          <c:extLst>
            <c:ext xmlns:c16="http://schemas.microsoft.com/office/drawing/2014/chart" uri="{C3380CC4-5D6E-409C-BE32-E72D297353CC}">
              <c16:uniqueId val="{00000006-7939-4199-A1D4-BB2DDD834F4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a:t>
            </a:r>
            <a:r>
              <a:rPr lang="en-US" sz="1800" b="1" i="0" baseline="0"/>
              <a:t>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Priority'!$BA$85</c:f>
              <c:strCache>
                <c:ptCount val="1"/>
                <c:pt idx="0">
                  <c:v>Q2</c:v>
                </c:pt>
              </c:strCache>
            </c:strRef>
          </c:tx>
          <c:cat>
            <c:strRef>
              <c:f>'2b. Charts by Priority'!$AY$86:$AY$88</c:f>
              <c:strCache>
                <c:ptCount val="3"/>
                <c:pt idx="0">
                  <c:v>Green</c:v>
                </c:pt>
                <c:pt idx="1">
                  <c:v>Amber</c:v>
                </c:pt>
                <c:pt idx="2">
                  <c:v>Red</c:v>
                </c:pt>
              </c:strCache>
            </c:strRef>
          </c:cat>
          <c:val>
            <c:numRef>
              <c:f>'2b. Charts by Priority'!$BA$86:$BA$88</c:f>
              <c:numCache>
                <c:formatCode>0.00%</c:formatCode>
                <c:ptCount val="3"/>
                <c:pt idx="0">
                  <c:v>0</c:v>
                </c:pt>
                <c:pt idx="1">
                  <c:v>0</c:v>
                </c:pt>
                <c:pt idx="2">
                  <c:v>0</c:v>
                </c:pt>
              </c:numCache>
            </c:numRef>
          </c:val>
          <c:extLst>
            <c:ext xmlns:c16="http://schemas.microsoft.com/office/drawing/2014/chart" uri="{C3380CC4-5D6E-409C-BE32-E72D297353CC}">
              <c16:uniqueId val="{00000006-A9FB-492F-9F6D-30EAD8AF660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a:t>
            </a:r>
            <a:r>
              <a:rPr lang="en-US" sz="1800" b="1" i="0" baseline="0"/>
              <a:t>Quarter 3</a:t>
            </a:r>
            <a:endParaRPr lang="en-GB"/>
          </a:p>
        </c:rich>
      </c:tx>
      <c:layout>
        <c:manualLayout>
          <c:xMode val="edge"/>
          <c:yMode val="edge"/>
          <c:x val="0.11275406980377453"/>
          <c:y val="3.2429928190873293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Priority'!$BB$85</c:f>
              <c:strCache>
                <c:ptCount val="1"/>
                <c:pt idx="0">
                  <c:v>Q3</c:v>
                </c:pt>
              </c:strCache>
            </c:strRef>
          </c:tx>
          <c:cat>
            <c:strRef>
              <c:f>'2b. Charts by Priority'!$AY$86:$AY$88</c:f>
              <c:strCache>
                <c:ptCount val="3"/>
                <c:pt idx="0">
                  <c:v>Green</c:v>
                </c:pt>
                <c:pt idx="1">
                  <c:v>Amber</c:v>
                </c:pt>
                <c:pt idx="2">
                  <c:v>Red</c:v>
                </c:pt>
              </c:strCache>
            </c:strRef>
          </c:cat>
          <c:val>
            <c:numRef>
              <c:f>'2b. Charts by Priority'!$BB$86:$BB$88</c:f>
              <c:numCache>
                <c:formatCode>0.00%</c:formatCode>
                <c:ptCount val="3"/>
                <c:pt idx="0">
                  <c:v>0</c:v>
                </c:pt>
                <c:pt idx="1">
                  <c:v>0</c:v>
                </c:pt>
                <c:pt idx="2">
                  <c:v>0</c:v>
                </c:pt>
              </c:numCache>
            </c:numRef>
          </c:val>
          <c:extLst>
            <c:ext xmlns:c16="http://schemas.microsoft.com/office/drawing/2014/chart" uri="{C3380CC4-5D6E-409C-BE32-E72D297353CC}">
              <c16:uniqueId val="{00000006-6C93-48DE-BE3C-B82565B62EA1}"/>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Creating a prosperous East Staffordshire</a:t>
            </a:r>
          </a:p>
          <a:p>
            <a:pPr>
              <a:defRPr lang="en-US"/>
            </a:pPr>
            <a:r>
              <a:rPr lang="en-GB" sz="1100">
                <a:latin typeface="Arial" pitchFamily="34" charset="0"/>
                <a:cs typeface="Arial" pitchFamily="34" charset="0"/>
              </a:rPr>
              <a:t>% of indicators for this priority only that are Red, Amber or Green</a:t>
            </a:r>
          </a:p>
        </c:rich>
      </c:tx>
      <c:overlay val="0"/>
    </c:title>
    <c:autoTitleDeleted val="0"/>
    <c:plotArea>
      <c:layout/>
      <c:lineChart>
        <c:grouping val="standard"/>
        <c:varyColors val="0"/>
        <c:ser>
          <c:idx val="0"/>
          <c:order val="0"/>
          <c:tx>
            <c:strRef>
              <c:f>'2b. Charts by Priority'!$AY$39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Priority'!$AZ$39:$BC$39</c:f>
              <c:numCache>
                <c:formatCode>0.00%</c:formatCode>
                <c:ptCount val="4"/>
                <c:pt idx="0">
                  <c:v>0.94444444444444442</c:v>
                </c:pt>
                <c:pt idx="1">
                  <c:v>0</c:v>
                </c:pt>
                <c:pt idx="2">
                  <c:v>0</c:v>
                </c:pt>
                <c:pt idx="3">
                  <c:v>0</c:v>
                </c:pt>
              </c:numCache>
            </c:numRef>
          </c:val>
          <c:smooth val="0"/>
          <c:extLst>
            <c:ext xmlns:c16="http://schemas.microsoft.com/office/drawing/2014/chart" uri="{C3380CC4-5D6E-409C-BE32-E72D297353CC}">
              <c16:uniqueId val="{00000002-CB5E-483E-BF55-1F0165B4F8D4}"/>
            </c:ext>
          </c:extLst>
        </c:ser>
        <c:ser>
          <c:idx val="1"/>
          <c:order val="1"/>
          <c:tx>
            <c:strRef>
              <c:f>'2b. Charts by Priority'!$AY$40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Priority'!$AZ$40:$BC$40</c:f>
              <c:numCache>
                <c:formatCode>0.00%</c:formatCode>
                <c:ptCount val="4"/>
                <c:pt idx="0">
                  <c:v>5.5555555555555552E-2</c:v>
                </c:pt>
                <c:pt idx="1">
                  <c:v>0</c:v>
                </c:pt>
                <c:pt idx="2">
                  <c:v>0</c:v>
                </c:pt>
                <c:pt idx="3">
                  <c:v>0</c:v>
                </c:pt>
              </c:numCache>
            </c:numRef>
          </c:val>
          <c:smooth val="0"/>
          <c:extLst>
            <c:ext xmlns:c16="http://schemas.microsoft.com/office/drawing/2014/chart" uri="{C3380CC4-5D6E-409C-BE32-E72D297353CC}">
              <c16:uniqueId val="{00000005-CB5E-483E-BF55-1F0165B4F8D4}"/>
            </c:ext>
          </c:extLst>
        </c:ser>
        <c:ser>
          <c:idx val="2"/>
          <c:order val="2"/>
          <c:tx>
            <c:strRef>
              <c:f>'2b. Charts by Priority'!$AY$41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5E-483E-BF55-1F0165B4F8D4}"/>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B5E-483E-BF55-1F0165B4F8D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5E-483E-BF55-1F0165B4F8D4}"/>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5E-483E-BF55-1F0165B4F8D4}"/>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Priority'!$AZ$38:$BC$38</c:f>
              <c:strCache>
                <c:ptCount val="4"/>
                <c:pt idx="0">
                  <c:v>Q1</c:v>
                </c:pt>
                <c:pt idx="1">
                  <c:v>Q2</c:v>
                </c:pt>
                <c:pt idx="2">
                  <c:v>Q3</c:v>
                </c:pt>
                <c:pt idx="3">
                  <c:v>Q4</c:v>
                </c:pt>
              </c:strCache>
            </c:strRef>
          </c:cat>
          <c:val>
            <c:numRef>
              <c:f>'2b. Charts by Priority'!$AZ$41:$BC$41</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A-CB5E-483E-BF55-1F0165B4F8D4}"/>
            </c:ext>
          </c:extLst>
        </c:ser>
        <c:dLbls>
          <c:showLegendKey val="0"/>
          <c:showVal val="1"/>
          <c:showCatName val="0"/>
          <c:showSerName val="0"/>
          <c:showPercent val="0"/>
          <c:showBubbleSize val="0"/>
        </c:dLbls>
        <c:smooth val="0"/>
        <c:axId val="356717536"/>
        <c:axId val="356712048"/>
      </c:lineChart>
      <c:catAx>
        <c:axId val="356717536"/>
        <c:scaling>
          <c:orientation val="minMax"/>
        </c:scaling>
        <c:delete val="0"/>
        <c:axPos val="b"/>
        <c:numFmt formatCode="General" sourceLinked="0"/>
        <c:majorTickMark val="out"/>
        <c:minorTickMark val="none"/>
        <c:tickLblPos val="nextTo"/>
        <c:txPr>
          <a:bodyPr/>
          <a:lstStyle/>
          <a:p>
            <a:pPr>
              <a:defRPr lang="en-US"/>
            </a:pPr>
            <a:endParaRPr lang="en-US"/>
          </a:p>
        </c:txPr>
        <c:crossAx val="356712048"/>
        <c:crosses val="autoZero"/>
        <c:auto val="1"/>
        <c:lblAlgn val="ctr"/>
        <c:lblOffset val="100"/>
        <c:noMultiLvlLbl val="0"/>
      </c:catAx>
      <c:valAx>
        <c:axId val="35671204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753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u="none" strike="noStrike" baseline="0">
                <a:effectLst/>
              </a:rPr>
              <a:t>Standing up for our communities -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'2b. Charts by Priority'!$BC$85</c:f>
              <c:strCache>
                <c:ptCount val="1"/>
                <c:pt idx="0">
                  <c:v>Q4</c:v>
                </c:pt>
              </c:strCache>
            </c:strRef>
          </c:tx>
          <c:cat>
            <c:strRef>
              <c:f>'2b. Charts by Priority'!$AY$86:$AY$88</c:f>
              <c:strCache>
                <c:ptCount val="3"/>
                <c:pt idx="0">
                  <c:v>Green</c:v>
                </c:pt>
                <c:pt idx="1">
                  <c:v>Amber</c:v>
                </c:pt>
                <c:pt idx="2">
                  <c:v>Red</c:v>
                </c:pt>
              </c:strCache>
            </c:strRef>
          </c:cat>
          <c:val>
            <c:numRef>
              <c:f>'2b. Charts by Priority'!$BC$86:$BC$88</c:f>
              <c:numCache>
                <c:formatCode>0.00%</c:formatCode>
                <c:ptCount val="3"/>
                <c:pt idx="0">
                  <c:v>0</c:v>
                </c:pt>
                <c:pt idx="1">
                  <c:v>0</c:v>
                </c:pt>
                <c:pt idx="2">
                  <c:v>0</c:v>
                </c:pt>
              </c:numCache>
            </c:numRef>
          </c:val>
          <c:extLst>
            <c:ext xmlns:c16="http://schemas.microsoft.com/office/drawing/2014/chart" uri="{C3380CC4-5D6E-409C-BE32-E72D297353CC}">
              <c16:uniqueId val="{00000006-44DC-4A7C-8B55-3194D233DA90}"/>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200" u="sng">
                <a:latin typeface="Arial" pitchFamily="34" charset="0"/>
                <a:cs typeface="Arial" pitchFamily="34" charset="0"/>
              </a:rPr>
              <a:t>Communities and Regulatory</a:t>
            </a:r>
            <a:r>
              <a:rPr lang="en-US" sz="1200" u="sng" baseline="0">
                <a:latin typeface="Arial" pitchFamily="34" charset="0"/>
                <a:cs typeface="Arial" pitchFamily="34" charset="0"/>
              </a:rPr>
              <a:t> Services</a:t>
            </a:r>
            <a:endParaRPr lang="en-US" sz="12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endParaRPr lang="en-GB" sz="1100">
              <a:latin typeface="Arial" pitchFamily="34" charset="0"/>
              <a:cs typeface="Arial" pitchFamily="34" charset="0"/>
            </a:endParaRPr>
          </a:p>
        </c:rich>
      </c:tx>
      <c:overlay val="0"/>
    </c:title>
    <c:autoTitleDeleted val="0"/>
    <c:plotArea>
      <c:layout/>
      <c:lineChart>
        <c:grouping val="standard"/>
        <c:varyColors val="0"/>
        <c:ser>
          <c:idx val="0"/>
          <c:order val="0"/>
          <c:tx>
            <c:strRef>
              <c:f>'3b. Charts by Portfolio'!$AY$7</c:f>
              <c:strCache>
                <c:ptCount val="1"/>
                <c:pt idx="0">
                  <c:v>Green</c:v>
                </c:pt>
              </c:strCache>
            </c:strRef>
          </c:tx>
          <c:spPr>
            <a:ln>
              <a:solidFill>
                <a:srgbClr val="92D050"/>
              </a:solidFill>
            </a:ln>
          </c:spPr>
          <c:marker>
            <c:symbol val="none"/>
          </c:marker>
          <c:dLbls>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Portfolio'!$AZ$7:$BC$7</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0-A7AA-4C01-967B-CC6BF4FF1F5B}"/>
            </c:ext>
          </c:extLst>
        </c:ser>
        <c:ser>
          <c:idx val="1"/>
          <c:order val="1"/>
          <c:tx>
            <c:strRef>
              <c:f>'3b. Charts by Portfolio'!$AY$8</c:f>
              <c:strCache>
                <c:ptCount val="1"/>
                <c:pt idx="0">
                  <c:v>Amber</c:v>
                </c:pt>
              </c:strCache>
            </c:strRef>
          </c:tx>
          <c:spPr>
            <a:ln>
              <a:solidFill>
                <a:srgbClr val="FFC000"/>
              </a:solidFill>
            </a:ln>
          </c:spPr>
          <c:marker>
            <c:symbol val="none"/>
          </c:marker>
          <c:dLbls>
            <c:dLbl>
              <c:idx val="0"/>
              <c:layout>
                <c:manualLayout>
                  <c:x val="-8.8219674295099207E-2"/>
                  <c:y val="4.444444444444451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Portfolio'!$AZ$8:$BC$8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2-A7AA-4C01-967B-CC6BF4FF1F5B}"/>
            </c:ext>
          </c:extLst>
        </c:ser>
        <c:ser>
          <c:idx val="2"/>
          <c:order val="2"/>
          <c:tx>
            <c:strRef>
              <c:f>'3b. Charts by Portfolio'!$AY$9</c:f>
              <c:strCache>
                <c:ptCount val="1"/>
                <c:pt idx="0">
                  <c:v>Red</c:v>
                </c:pt>
              </c:strCache>
            </c:strRef>
          </c:tx>
          <c:spPr>
            <a:ln>
              <a:solidFill>
                <a:srgbClr val="FF0000"/>
              </a:solidFill>
            </a:ln>
          </c:spPr>
          <c:marker>
            <c:symbol val="none"/>
          </c:marker>
          <c:dLbls>
            <c:dLbl>
              <c:idx val="0"/>
              <c:layout>
                <c:manualLayout>
                  <c:x val="-5.7030590474437023E-2"/>
                  <c:y val="-4.88888888888888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1-4423-AA2D-71C03F81381C}"/>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Portfolio'!$AZ$6:$BC$6</c:f>
              <c:strCache>
                <c:ptCount val="4"/>
                <c:pt idx="0">
                  <c:v>Q1</c:v>
                </c:pt>
                <c:pt idx="1">
                  <c:v>Q2</c:v>
                </c:pt>
                <c:pt idx="2">
                  <c:v>Q3</c:v>
                </c:pt>
                <c:pt idx="3">
                  <c:v>Q4</c:v>
                </c:pt>
              </c:strCache>
            </c:strRef>
          </c:cat>
          <c:val>
            <c:numRef>
              <c:f>'3b. Charts by Portfolio'!$AZ$9:$BC$9</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4-A7AA-4C01-967B-CC6BF4FF1F5B}"/>
            </c:ext>
          </c:extLst>
        </c:ser>
        <c:dLbls>
          <c:showLegendKey val="0"/>
          <c:showVal val="1"/>
          <c:showCatName val="0"/>
          <c:showSerName val="0"/>
          <c:showPercent val="0"/>
          <c:showBubbleSize val="0"/>
        </c:dLbls>
        <c:smooth val="0"/>
        <c:axId val="357745056"/>
        <c:axId val="357746624"/>
      </c:lineChart>
      <c:catAx>
        <c:axId val="357745056"/>
        <c:scaling>
          <c:orientation val="minMax"/>
        </c:scaling>
        <c:delete val="0"/>
        <c:axPos val="b"/>
        <c:numFmt formatCode="General" sourceLinked="1"/>
        <c:majorTickMark val="out"/>
        <c:minorTickMark val="none"/>
        <c:tickLblPos val="nextTo"/>
        <c:txPr>
          <a:bodyPr/>
          <a:lstStyle/>
          <a:p>
            <a:pPr>
              <a:defRPr lang="en-US"/>
            </a:pPr>
            <a:endParaRPr lang="en-US"/>
          </a:p>
        </c:txPr>
        <c:crossAx val="357746624"/>
        <c:crosses val="autoZero"/>
        <c:auto val="1"/>
        <c:lblAlgn val="ctr"/>
        <c:lblOffset val="100"/>
        <c:noMultiLvlLbl val="0"/>
      </c:catAx>
      <c:valAx>
        <c:axId val="35774662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05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Environment and Climate Change</a:t>
            </a:r>
            <a:endParaRPr lang="en-GB" sz="1100" u="sng">
              <a:latin typeface="Arial" pitchFamily="34" charset="0"/>
              <a:cs typeface="Arial"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Portfolio'!$AY$23</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Portfolio'!$AZ$23:$BC$23</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EC1-42D6-A9C5-700482F9C12B}"/>
            </c:ext>
          </c:extLst>
        </c:ser>
        <c:ser>
          <c:idx val="1"/>
          <c:order val="1"/>
          <c:tx>
            <c:strRef>
              <c:f>'3b. Charts by Portfolio'!$AY$24</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Portfolio'!$AZ$24:$BC$24</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4EC1-42D6-A9C5-700482F9C12B}"/>
            </c:ext>
          </c:extLst>
        </c:ser>
        <c:ser>
          <c:idx val="2"/>
          <c:order val="2"/>
          <c:tx>
            <c:strRef>
              <c:f>'3b. Charts by Portfolio'!$AY$25</c:f>
              <c:strCache>
                <c:ptCount val="1"/>
                <c:pt idx="0">
                  <c:v>Red</c:v>
                </c:pt>
              </c:strCache>
            </c:strRef>
          </c:tx>
          <c:spPr>
            <a:ln>
              <a:solidFill>
                <a:srgbClr val="FF0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EC1-42D6-A9C5-700482F9C12B}"/>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EC1-42D6-A9C5-700482F9C12B}"/>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Portfolio'!$AZ$22:$BC$22</c:f>
              <c:strCache>
                <c:ptCount val="4"/>
                <c:pt idx="0">
                  <c:v>Q1</c:v>
                </c:pt>
                <c:pt idx="1">
                  <c:v>Q2</c:v>
                </c:pt>
                <c:pt idx="2">
                  <c:v>Q3</c:v>
                </c:pt>
                <c:pt idx="3">
                  <c:v>Q4</c:v>
                </c:pt>
              </c:strCache>
            </c:strRef>
          </c:cat>
          <c:val>
            <c:numRef>
              <c:f>'3b. Charts by Portfolio'!$AZ$25:$BC$25</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8-4EC1-42D6-A9C5-700482F9C12B}"/>
            </c:ext>
          </c:extLst>
        </c:ser>
        <c:dLbls>
          <c:showLegendKey val="0"/>
          <c:showVal val="1"/>
          <c:showCatName val="0"/>
          <c:showSerName val="0"/>
          <c:showPercent val="0"/>
          <c:showBubbleSize val="0"/>
        </c:dLbls>
        <c:smooth val="0"/>
        <c:axId val="357745448"/>
        <c:axId val="357749368"/>
      </c:lineChart>
      <c:catAx>
        <c:axId val="357745448"/>
        <c:scaling>
          <c:orientation val="minMax"/>
        </c:scaling>
        <c:delete val="0"/>
        <c:axPos val="b"/>
        <c:numFmt formatCode="General" sourceLinked="0"/>
        <c:majorTickMark val="out"/>
        <c:minorTickMark val="none"/>
        <c:tickLblPos val="nextTo"/>
        <c:txPr>
          <a:bodyPr/>
          <a:lstStyle/>
          <a:p>
            <a:pPr>
              <a:defRPr lang="en-US"/>
            </a:pPr>
            <a:endParaRPr lang="en-US"/>
          </a:p>
        </c:txPr>
        <c:crossAx val="357749368"/>
        <c:crosses val="autoZero"/>
        <c:auto val="1"/>
        <c:lblAlgn val="ctr"/>
        <c:lblOffset val="100"/>
        <c:noMultiLvlLbl val="0"/>
      </c:catAx>
      <c:valAx>
        <c:axId val="357749368"/>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45448"/>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b="1" i="0" u="sng" baseline="0">
                <a:effectLst/>
                <a:latin typeface="Arial" panose="020B0604020202020204" pitchFamily="34" charset="0"/>
                <a:cs typeface="Arial" panose="020B0604020202020204" pitchFamily="34" charset="0"/>
              </a:rPr>
              <a:t>Finance and Treasury Management</a:t>
            </a:r>
            <a:endParaRPr lang="en-GB" sz="1200" u="sng">
              <a:effectLst/>
              <a:latin typeface="Arial" panose="020B0604020202020204" pitchFamily="34" charset="0"/>
              <a:cs typeface="Arial" panose="020B0604020202020204" pitchFamily="34" charset="0"/>
            </a:endParaRP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Portfolio'!$AY$39</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Portfolio'!$AZ$39:$BC$39</c:f>
              <c:numCache>
                <c:formatCode>0.00%</c:formatCode>
                <c:ptCount val="4"/>
                <c:pt idx="0">
                  <c:v>0.88888888888888884</c:v>
                </c:pt>
                <c:pt idx="1">
                  <c:v>0</c:v>
                </c:pt>
                <c:pt idx="2">
                  <c:v>0</c:v>
                </c:pt>
                <c:pt idx="3">
                  <c:v>0</c:v>
                </c:pt>
              </c:numCache>
            </c:numRef>
          </c:val>
          <c:smooth val="0"/>
          <c:extLst>
            <c:ext xmlns:c16="http://schemas.microsoft.com/office/drawing/2014/chart" uri="{C3380CC4-5D6E-409C-BE32-E72D297353CC}">
              <c16:uniqueId val="{00000002-E215-4B0B-B47F-FB16DB6996D9}"/>
            </c:ext>
          </c:extLst>
        </c:ser>
        <c:ser>
          <c:idx val="1"/>
          <c:order val="1"/>
          <c:tx>
            <c:strRef>
              <c:f>'3b. Charts by Portfolio'!$AY$40</c:f>
              <c:strCache>
                <c:ptCount val="1"/>
                <c:pt idx="0">
                  <c:v>Amber</c:v>
                </c:pt>
              </c:strCache>
            </c:strRef>
          </c:tx>
          <c:spPr>
            <a:ln>
              <a:solidFill>
                <a:srgbClr val="FFC00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Portfolio'!$AZ$40:$BC$40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5-E215-4B0B-B47F-FB16DB6996D9}"/>
            </c:ext>
          </c:extLst>
        </c:ser>
        <c:ser>
          <c:idx val="2"/>
          <c:order val="2"/>
          <c:tx>
            <c:strRef>
              <c:f>'3b. Charts by Portfolio'!$AY$41</c:f>
              <c:strCache>
                <c:ptCount val="1"/>
                <c:pt idx="0">
                  <c:v>Red</c:v>
                </c:pt>
              </c:strCache>
            </c:strRef>
          </c:tx>
          <c:spPr>
            <a:ln>
              <a:solidFill>
                <a:srgbClr val="FF0000"/>
              </a:solidFill>
            </a:ln>
          </c:spPr>
          <c:marker>
            <c:symbol val="none"/>
          </c:marker>
          <c:dLbls>
            <c:dLbl>
              <c:idx val="0"/>
              <c:layout>
                <c:manualLayout>
                  <c:x val="-5.4644550522530692E-2"/>
                  <c:y val="-5.3156146179401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15-4B0B-B47F-FB16DB6996D9}"/>
                </c:ext>
              </c:extLst>
            </c:dLbl>
            <c:dLbl>
              <c:idx val="1"/>
              <c:layout>
                <c:manualLayout>
                  <c:x val="-5.4644550522530692E-2"/>
                  <c:y val="-4.4296788482834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15-4B0B-B47F-FB16DB6996D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15-4B0B-B47F-FB16DB6996D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15-4B0B-B47F-FB16DB6996D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Portfolio'!$AZ$38:$BC$38</c:f>
              <c:strCache>
                <c:ptCount val="4"/>
                <c:pt idx="0">
                  <c:v>Q1</c:v>
                </c:pt>
                <c:pt idx="1">
                  <c:v>Q2</c:v>
                </c:pt>
                <c:pt idx="2">
                  <c:v>Q3</c:v>
                </c:pt>
                <c:pt idx="3">
                  <c:v>Q4</c:v>
                </c:pt>
              </c:strCache>
            </c:strRef>
          </c:cat>
          <c:val>
            <c:numRef>
              <c:f>'3b. Charts by Portfolio'!$AZ$41:$BC$41</c:f>
              <c:numCache>
                <c:formatCode>0.00%</c:formatCode>
                <c:ptCount val="4"/>
                <c:pt idx="0">
                  <c:v>0.1111111111111111</c:v>
                </c:pt>
                <c:pt idx="1">
                  <c:v>0</c:v>
                </c:pt>
                <c:pt idx="2">
                  <c:v>0</c:v>
                </c:pt>
                <c:pt idx="3">
                  <c:v>0</c:v>
                </c:pt>
              </c:numCache>
            </c:numRef>
          </c:val>
          <c:smooth val="0"/>
          <c:extLst>
            <c:ext xmlns:c16="http://schemas.microsoft.com/office/drawing/2014/chart" uri="{C3380CC4-5D6E-409C-BE32-E72D297353CC}">
              <c16:uniqueId val="{0000000A-E215-4B0B-B47F-FB16DB6996D9}"/>
            </c:ext>
          </c:extLst>
        </c:ser>
        <c:dLbls>
          <c:showLegendKey val="0"/>
          <c:showVal val="1"/>
          <c:showCatName val="0"/>
          <c:showSerName val="0"/>
          <c:showPercent val="0"/>
          <c:showBubbleSize val="0"/>
        </c:dLbls>
        <c:smooth val="0"/>
        <c:axId val="357752112"/>
        <c:axId val="357744664"/>
      </c:lineChart>
      <c:catAx>
        <c:axId val="357752112"/>
        <c:scaling>
          <c:orientation val="minMax"/>
        </c:scaling>
        <c:delete val="0"/>
        <c:axPos val="b"/>
        <c:numFmt formatCode="General" sourceLinked="0"/>
        <c:majorTickMark val="out"/>
        <c:minorTickMark val="none"/>
        <c:tickLblPos val="nextTo"/>
        <c:txPr>
          <a:bodyPr/>
          <a:lstStyle/>
          <a:p>
            <a:pPr>
              <a:defRPr lang="en-US"/>
            </a:pPr>
            <a:endParaRPr lang="en-US"/>
          </a:p>
        </c:txPr>
        <c:crossAx val="357744664"/>
        <c:crosses val="autoZero"/>
        <c:auto val="1"/>
        <c:lblAlgn val="ctr"/>
        <c:lblOffset val="100"/>
        <c:noMultiLvlLbl val="0"/>
      </c:catAx>
      <c:valAx>
        <c:axId val="357744664"/>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7752112"/>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600" b="1" i="0" u="sng" baseline="0">
                <a:effectLst/>
              </a:rPr>
              <a:t>Leader</a:t>
            </a:r>
            <a:endParaRPr lang="en-GB" sz="1100" u="sng">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Portfolio'!$AZ$55:$BC$55</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422E-4855-963A-4506A3413D88}"/>
            </c:ext>
          </c:extLst>
        </c:ser>
        <c:ser>
          <c:idx val="1"/>
          <c:order val="1"/>
          <c:tx>
            <c:strRef>
              <c:f>'3b. Charts by Portfolio'!$AY$56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2E-4855-963A-4506A3413D88}"/>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422E-4855-963A-4506A3413D88}"/>
            </c:ext>
          </c:extLst>
        </c:ser>
        <c:ser>
          <c:idx val="2"/>
          <c:order val="2"/>
          <c:tx>
            <c:strRef>
              <c:f>'3b. Charts by Portfolio'!$AY$57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2E-4855-963A-4506A3413D8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2E-4855-963A-4506A3413D8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2E-4855-963A-4506A3413D88}"/>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Portfolio'!$AZ$54:$BC$54</c:f>
              <c:strCache>
                <c:ptCount val="4"/>
                <c:pt idx="0">
                  <c:v>Q1</c:v>
                </c:pt>
                <c:pt idx="1">
                  <c:v>Q2</c:v>
                </c:pt>
                <c:pt idx="2">
                  <c:v>Q3</c:v>
                </c:pt>
                <c:pt idx="3">
                  <c:v>Q4</c:v>
                </c:pt>
              </c:strCache>
            </c:strRef>
          </c:cat>
          <c:val>
            <c:numRef>
              <c:f>'3b. Charts by Portfolio'!$AZ$57:$BC$57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422E-4855-963A-4506A3413D88}"/>
            </c:ext>
          </c:extLst>
        </c:ser>
        <c:dLbls>
          <c:showLegendKey val="0"/>
          <c:showVal val="1"/>
          <c:showCatName val="0"/>
          <c:showSerName val="0"/>
          <c:showPercent val="0"/>
          <c:showBubbleSize val="0"/>
        </c:dLbls>
        <c:smooth val="0"/>
        <c:axId val="357749760"/>
        <c:axId val="357748192"/>
      </c:lineChart>
      <c:catAx>
        <c:axId val="357749760"/>
        <c:scaling>
          <c:orientation val="minMax"/>
        </c:scaling>
        <c:delete val="0"/>
        <c:axPos val="b"/>
        <c:numFmt formatCode="General" sourceLinked="0"/>
        <c:majorTickMark val="out"/>
        <c:minorTickMark val="none"/>
        <c:tickLblPos val="nextTo"/>
        <c:txPr>
          <a:bodyPr/>
          <a:lstStyle/>
          <a:p>
            <a:pPr>
              <a:defRPr lang="en-US"/>
            </a:pPr>
            <a:endParaRPr lang="en-US"/>
          </a:p>
        </c:txPr>
        <c:crossAx val="357748192"/>
        <c:crosses val="autoZero"/>
        <c:auto val="1"/>
        <c:lblAlgn val="ctr"/>
        <c:lblOffset val="100"/>
        <c:noMultiLvlLbl val="0"/>
      </c:catAx>
      <c:valAx>
        <c:axId val="357748192"/>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7749760"/>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u="none"/>
            </a:pPr>
            <a:r>
              <a:rPr lang="en-GB" sz="1800" b="1" i="0" u="sng" baseline="0">
                <a:effectLst/>
              </a:rPr>
              <a:t>Communities and Regulatory Services</a:t>
            </a:r>
            <a:endParaRPr lang="en-GB">
              <a:effectLst/>
            </a:endParaRPr>
          </a:p>
          <a:p>
            <a:pPr>
              <a:defRPr lang="en-US" u="none"/>
            </a:pPr>
            <a:r>
              <a:rPr lang="en-US" u="none"/>
              <a:t>- Quarter 1</a:t>
            </a:r>
          </a:p>
        </c:rich>
      </c:tx>
      <c:layout>
        <c:manualLayout>
          <c:xMode val="edge"/>
          <c:yMode val="edge"/>
          <c:x val="0.14580677415323084"/>
          <c:y val="2.7894002789400279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Portfolio'!$AZ$6</c:f>
              <c:strCache>
                <c:ptCount val="1"/>
                <c:pt idx="0">
                  <c:v>Q1</c:v>
                </c:pt>
              </c:strCache>
            </c:strRef>
          </c:tx>
          <c:dPt>
            <c:idx val="0"/>
            <c:bubble3D val="0"/>
            <c:spPr>
              <a:solidFill>
                <a:srgbClr val="92D050"/>
              </a:solidFill>
            </c:spPr>
            <c:extLst>
              <c:ext xmlns:c16="http://schemas.microsoft.com/office/drawing/2014/chart" uri="{C3380CC4-5D6E-409C-BE32-E72D297353CC}">
                <c16:uniqueId val="{00000000-55F9-476C-B40B-AE40098D7A18}"/>
              </c:ext>
            </c:extLst>
          </c:dPt>
          <c:dPt>
            <c:idx val="1"/>
            <c:bubble3D val="0"/>
            <c:spPr>
              <a:solidFill>
                <a:srgbClr val="FFC000"/>
              </a:solidFill>
            </c:spPr>
            <c:extLst>
              <c:ext xmlns:c16="http://schemas.microsoft.com/office/drawing/2014/chart" uri="{C3380CC4-5D6E-409C-BE32-E72D297353CC}">
                <c16:uniqueId val="{00000001-55F9-476C-B40B-AE40098D7A18}"/>
              </c:ext>
            </c:extLst>
          </c:dPt>
          <c:dPt>
            <c:idx val="2"/>
            <c:bubble3D val="0"/>
            <c:spPr>
              <a:solidFill>
                <a:srgbClr val="FF0000"/>
              </a:solidFill>
            </c:spPr>
            <c:extLst>
              <c:ext xmlns:c16="http://schemas.microsoft.com/office/drawing/2014/chart" uri="{C3380CC4-5D6E-409C-BE32-E72D297353CC}">
                <c16:uniqueId val="{00000002-55F9-476C-B40B-AE40098D7A1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Portfolio'!$AZ$7:$AZ$9</c:f>
              <c:numCache>
                <c:formatCode>0.00%</c:formatCode>
                <c:ptCount val="3"/>
                <c:pt idx="0">
                  <c:v>1</c:v>
                </c:pt>
                <c:pt idx="1">
                  <c:v>0</c:v>
                </c:pt>
                <c:pt idx="2">
                  <c:v>0</c:v>
                </c:pt>
              </c:numCache>
            </c:numRef>
          </c:val>
          <c:extLst>
            <c:ext xmlns:c16="http://schemas.microsoft.com/office/drawing/2014/chart" uri="{C3380CC4-5D6E-409C-BE32-E72D297353CC}">
              <c16:uniqueId val="{00000003-55F9-476C-B40B-AE40098D7A18}"/>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Environment and Climate Change</a:t>
            </a:r>
            <a:endParaRPr lang="en-GB" sz="1800" b="1" i="0" u="none" baseline="0">
              <a:effectLst/>
            </a:endParaRPr>
          </a:p>
          <a:p>
            <a:pPr algn="ctr">
              <a:defRPr lang="en-US"/>
            </a:pPr>
            <a:r>
              <a:rPr lang="en-GB" sz="1800" b="1" i="0" u="none" baseline="0">
                <a:effectLst/>
              </a:rPr>
              <a:t>- </a:t>
            </a:r>
            <a:r>
              <a:rPr lang="en-US"/>
              <a:t>Quarter 1</a:t>
            </a:r>
          </a:p>
        </c:rich>
      </c:tx>
      <c:layout>
        <c:manualLayout>
          <c:xMode val="edge"/>
          <c:yMode val="edge"/>
          <c:x val="0.27281229494763648"/>
          <c:y val="2.777777777779381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Portfolio'!$AZ$23</c:f>
              <c:numCache>
                <c:formatCode>0.00%</c:formatCode>
                <c:ptCount val="1"/>
                <c:pt idx="0">
                  <c:v>1</c:v>
                </c:pt>
              </c:numCache>
            </c:numRef>
          </c:val>
          <c:extLst>
            <c:ext xmlns:c16="http://schemas.microsoft.com/office/drawing/2014/chart" uri="{C3380CC4-5D6E-409C-BE32-E72D297353CC}">
              <c16:uniqueId val="{00000002-9322-4A15-8F9B-7E05C26A6F5F}"/>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Portfolio'!$AZ$24</c:f>
              <c:numCache>
                <c:formatCode>0.00%</c:formatCode>
                <c:ptCount val="1"/>
                <c:pt idx="0">
                  <c:v>0</c:v>
                </c:pt>
              </c:numCache>
            </c:numRef>
          </c:val>
          <c:extLst>
            <c:ext xmlns:c16="http://schemas.microsoft.com/office/drawing/2014/chart" uri="{C3380CC4-5D6E-409C-BE32-E72D297353CC}">
              <c16:uniqueId val="{00000005-9322-4A15-8F9B-7E05C26A6F5F}"/>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9322-4A15-8F9B-7E05C26A6F5F}"/>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Portfolio'!$AZ$22</c:f>
              <c:strCache>
                <c:ptCount val="1"/>
                <c:pt idx="0">
                  <c:v>Q1</c:v>
                </c:pt>
              </c:strCache>
            </c:strRef>
          </c:cat>
          <c:val>
            <c:numRef>
              <c:f>'3b. Charts by Portfolio'!$AZ$25</c:f>
              <c:numCache>
                <c:formatCode>0.00%</c:formatCode>
                <c:ptCount val="1"/>
                <c:pt idx="0">
                  <c:v>0</c:v>
                </c:pt>
              </c:numCache>
            </c:numRef>
          </c:val>
          <c:extLst>
            <c:ext xmlns:c16="http://schemas.microsoft.com/office/drawing/2014/chart" uri="{C3380CC4-5D6E-409C-BE32-E72D297353CC}">
              <c16:uniqueId val="{00000008-9322-4A15-8F9B-7E05C26A6F5F}"/>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Portfolio'!$AZ$38</c:f>
              <c:strCache>
                <c:ptCount val="1"/>
                <c:pt idx="0">
                  <c:v>Q1</c:v>
                </c:pt>
              </c:strCache>
            </c:strRef>
          </c:tx>
          <c:dPt>
            <c:idx val="0"/>
            <c:bubble3D val="0"/>
            <c:spPr>
              <a:solidFill>
                <a:srgbClr val="92D050"/>
              </a:solidFill>
            </c:spPr>
            <c:extLst>
              <c:ext xmlns:c16="http://schemas.microsoft.com/office/drawing/2014/chart" uri="{C3380CC4-5D6E-409C-BE32-E72D297353CC}">
                <c16:uniqueId val="{00000000-9E2F-48C6-9FCA-4594776C5E51}"/>
              </c:ext>
            </c:extLst>
          </c:dPt>
          <c:dPt>
            <c:idx val="1"/>
            <c:bubble3D val="0"/>
            <c:spPr>
              <a:solidFill>
                <a:srgbClr val="FFC000"/>
              </a:solidFill>
            </c:spPr>
            <c:extLst>
              <c:ext xmlns:c16="http://schemas.microsoft.com/office/drawing/2014/chart" uri="{C3380CC4-5D6E-409C-BE32-E72D297353CC}">
                <c16:uniqueId val="{00000001-9E2F-48C6-9FCA-4594776C5E51}"/>
              </c:ext>
            </c:extLst>
          </c:dPt>
          <c:dPt>
            <c:idx val="2"/>
            <c:bubble3D val="0"/>
            <c:spPr>
              <a:solidFill>
                <a:srgbClr val="FF0000"/>
              </a:solidFill>
            </c:spPr>
            <c:extLst>
              <c:ext xmlns:c16="http://schemas.microsoft.com/office/drawing/2014/chart" uri="{C3380CC4-5D6E-409C-BE32-E72D297353CC}">
                <c16:uniqueId val="{00000002-9E2F-48C6-9FCA-4594776C5E51}"/>
              </c:ext>
            </c:extLst>
          </c:dPt>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Portfolio'!$AZ$39:$AZ$41</c:f>
              <c:numCache>
                <c:formatCode>0.00%</c:formatCode>
                <c:ptCount val="3"/>
                <c:pt idx="0">
                  <c:v>0.88888888888888884</c:v>
                </c:pt>
                <c:pt idx="1">
                  <c:v>0</c:v>
                </c:pt>
                <c:pt idx="2">
                  <c:v>0.1111111111111111</c:v>
                </c:pt>
              </c:numCache>
            </c:numRef>
          </c:val>
          <c:extLst>
            <c:ext xmlns:c16="http://schemas.microsoft.com/office/drawing/2014/chart" uri="{C3380CC4-5D6E-409C-BE32-E72D297353CC}">
              <c16:uniqueId val="{00000003-9E2F-48C6-9FCA-4594776C5E51}"/>
            </c:ext>
          </c:extLst>
        </c:ser>
        <c:dLbls>
          <c:showLegendKey val="0"/>
          <c:showVal val="0"/>
          <c:showCatName val="1"/>
          <c:showSerName val="0"/>
          <c:showPercent val="1"/>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Portfolio'!$AZ$54</c:f>
              <c:strCache>
                <c:ptCount val="1"/>
                <c:pt idx="0">
                  <c:v>Q1</c:v>
                </c:pt>
              </c:strCache>
            </c:strRef>
          </c:tx>
          <c:dPt>
            <c:idx val="0"/>
            <c:bubble3D val="0"/>
            <c:spPr>
              <a:solidFill>
                <a:srgbClr val="92D050"/>
              </a:solidFill>
            </c:spPr>
            <c:extLst>
              <c:ext xmlns:c16="http://schemas.microsoft.com/office/drawing/2014/chart" uri="{C3380CC4-5D6E-409C-BE32-E72D297353CC}">
                <c16:uniqueId val="{00000000-8E56-4E55-85E3-CA2CD9C61B45}"/>
              </c:ext>
            </c:extLst>
          </c:dPt>
          <c:dPt>
            <c:idx val="1"/>
            <c:bubble3D val="0"/>
            <c:spPr>
              <a:solidFill>
                <a:srgbClr val="FFC000"/>
              </a:solidFill>
            </c:spPr>
            <c:extLst>
              <c:ext xmlns:c16="http://schemas.microsoft.com/office/drawing/2014/chart" uri="{C3380CC4-5D6E-409C-BE32-E72D297353CC}">
                <c16:uniqueId val="{00000001-8E56-4E55-85E3-CA2CD9C61B45}"/>
              </c:ext>
            </c:extLst>
          </c:dPt>
          <c:dPt>
            <c:idx val="2"/>
            <c:bubble3D val="0"/>
            <c:spPr>
              <a:solidFill>
                <a:srgbClr val="FF0000"/>
              </a:solidFill>
            </c:spPr>
            <c:extLst>
              <c:ext xmlns:c16="http://schemas.microsoft.com/office/drawing/2014/chart" uri="{C3380CC4-5D6E-409C-BE32-E72D297353CC}">
                <c16:uniqueId val="{00000002-8E56-4E55-85E3-CA2CD9C61B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Portfolio'!$AZ$55:$AZ$57</c:f>
              <c:numCache>
                <c:formatCode>0.00%</c:formatCode>
                <c:ptCount val="3"/>
                <c:pt idx="0">
                  <c:v>1</c:v>
                </c:pt>
                <c:pt idx="1">
                  <c:v>0</c:v>
                </c:pt>
                <c:pt idx="2">
                  <c:v>0</c:v>
                </c:pt>
              </c:numCache>
            </c:numRef>
          </c:val>
          <c:extLst>
            <c:ext xmlns:c16="http://schemas.microsoft.com/office/drawing/2014/chart" uri="{C3380CC4-5D6E-409C-BE32-E72D297353CC}">
              <c16:uniqueId val="{00000003-8E56-4E55-85E3-CA2CD9C61B45}"/>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Communities and Regulatory Services</a:t>
            </a:r>
            <a:endParaRPr lang="en-GB">
              <a:effectLst/>
            </a:endParaRPr>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Portfolio'!$BA$6</c:f>
              <c:strCache>
                <c:ptCount val="1"/>
                <c:pt idx="0">
                  <c:v>Q2</c:v>
                </c:pt>
              </c:strCache>
            </c:strRef>
          </c:tx>
          <c:dPt>
            <c:idx val="0"/>
            <c:bubble3D val="0"/>
            <c:spPr>
              <a:solidFill>
                <a:srgbClr val="92D050"/>
              </a:solidFill>
            </c:spPr>
            <c:extLst>
              <c:ext xmlns:c16="http://schemas.microsoft.com/office/drawing/2014/chart" uri="{C3380CC4-5D6E-409C-BE32-E72D297353CC}">
                <c16:uniqueId val="{00000000-4F11-46D7-AF65-C0358BA75293}"/>
              </c:ext>
            </c:extLst>
          </c:dPt>
          <c:dPt>
            <c:idx val="1"/>
            <c:bubble3D val="0"/>
            <c:spPr>
              <a:solidFill>
                <a:srgbClr val="FFC000"/>
              </a:solidFill>
            </c:spPr>
            <c:extLst>
              <c:ext xmlns:c16="http://schemas.microsoft.com/office/drawing/2014/chart" uri="{C3380CC4-5D6E-409C-BE32-E72D297353CC}">
                <c16:uniqueId val="{00000001-4F11-46D7-AF65-C0358BA75293}"/>
              </c:ext>
            </c:extLst>
          </c:dPt>
          <c:dPt>
            <c:idx val="2"/>
            <c:bubble3D val="0"/>
            <c:spPr>
              <a:solidFill>
                <a:srgbClr val="FF0000"/>
              </a:solidFill>
            </c:spPr>
            <c:extLst>
              <c:ext xmlns:c16="http://schemas.microsoft.com/office/drawing/2014/chart" uri="{C3380CC4-5D6E-409C-BE32-E72D297353CC}">
                <c16:uniqueId val="{00000002-4F11-46D7-AF65-C0358BA7529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Portfolio'!$BA$7:$BA$9</c:f>
              <c:numCache>
                <c:formatCode>0.00%</c:formatCode>
                <c:ptCount val="3"/>
                <c:pt idx="0">
                  <c:v>0</c:v>
                </c:pt>
                <c:pt idx="1">
                  <c:v>0</c:v>
                </c:pt>
                <c:pt idx="2">
                  <c:v>0</c:v>
                </c:pt>
              </c:numCache>
            </c:numRef>
          </c:val>
          <c:extLst>
            <c:ext xmlns:c16="http://schemas.microsoft.com/office/drawing/2014/chart" uri="{C3380CC4-5D6E-409C-BE32-E72D297353CC}">
              <c16:uniqueId val="{00000003-4F11-46D7-AF65-C0358BA7529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100">
                <a:latin typeface="Arial" pitchFamily="34" charset="0"/>
                <a:cs typeface="Arial" pitchFamily="34" charset="0"/>
              </a:rPr>
              <a:t>Developing a Green New Deal</a:t>
            </a:r>
            <a:r>
              <a:rPr lang="en-GB" sz="1100" baseline="0">
                <a:latin typeface="Arial" pitchFamily="34" charset="0"/>
                <a:cs typeface="Arial" pitchFamily="34" charset="0"/>
              </a:rPr>
              <a:t> for East Staffordshire</a:t>
            </a:r>
            <a:endParaRPr lang="en-GB" sz="1100">
              <a:latin typeface="Arial" pitchFamily="34" charset="0"/>
              <a:cs typeface="Arial" pitchFamily="34" charset="0"/>
            </a:endParaRPr>
          </a:p>
          <a:p>
            <a:pPr>
              <a:defRPr lang="en-US"/>
            </a:pPr>
            <a:r>
              <a:rPr lang="en-GB" sz="1100">
                <a:latin typeface="Arial" pitchFamily="34" charset="0"/>
                <a:cs typeface="Arial" pitchFamily="34" charset="0"/>
              </a:rPr>
              <a:t>% of indicators for this priority only that are Red, Amber or Green </a:t>
            </a:r>
          </a:p>
        </c:rich>
      </c:tx>
      <c:overlay val="0"/>
    </c:title>
    <c:autoTitleDeleted val="0"/>
    <c:plotArea>
      <c:layout/>
      <c:lineChart>
        <c:grouping val="standard"/>
        <c:varyColors val="0"/>
        <c:ser>
          <c:idx val="0"/>
          <c:order val="0"/>
          <c:tx>
            <c:strRef>
              <c:f>'2b. Charts by Priority'!$AY$55</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Priority'!$AZ$55:$BC$55</c:f>
              <c:numCache>
                <c:formatCode>0.00%</c:formatCode>
                <c:ptCount val="4"/>
                <c:pt idx="0">
                  <c:v>1</c:v>
                </c:pt>
                <c:pt idx="1">
                  <c:v>0</c:v>
                </c:pt>
                <c:pt idx="2">
                  <c:v>0</c:v>
                </c:pt>
                <c:pt idx="3">
                  <c:v>0</c:v>
                </c:pt>
              </c:numCache>
            </c:numRef>
          </c:val>
          <c:smooth val="0"/>
          <c:extLst>
            <c:ext xmlns:c16="http://schemas.microsoft.com/office/drawing/2014/chart" uri="{C3380CC4-5D6E-409C-BE32-E72D297353CC}">
              <c16:uniqueId val="{00000002-1FD6-404C-92E4-D5A1C46C6F90}"/>
            </c:ext>
          </c:extLst>
        </c:ser>
        <c:ser>
          <c:idx val="1"/>
          <c:order val="1"/>
          <c:tx>
            <c:strRef>
              <c:f>'2b. Charts by Priority'!$AY$56</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D6-404C-92E4-D5A1C46C6F90}"/>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Priority'!$AZ$56:$BC$56</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1FD6-404C-92E4-D5A1C46C6F90}"/>
            </c:ext>
          </c:extLst>
        </c:ser>
        <c:ser>
          <c:idx val="2"/>
          <c:order val="2"/>
          <c:tx>
            <c:strRef>
              <c:f>'2b. Charts by Priority'!$AY$57</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D6-404C-92E4-D5A1C46C6F90}"/>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D6-404C-92E4-D5A1C46C6F90}"/>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FD6-404C-92E4-D5A1C46C6F90}"/>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'2b. Charts by Priority'!$AZ$54:$BC$54</c:f>
              <c:strCache>
                <c:ptCount val="4"/>
                <c:pt idx="0">
                  <c:v>Q1</c:v>
                </c:pt>
                <c:pt idx="1">
                  <c:v>Q2</c:v>
                </c:pt>
                <c:pt idx="2">
                  <c:v>Q3</c:v>
                </c:pt>
                <c:pt idx="3">
                  <c:v>Q4</c:v>
                </c:pt>
              </c:strCache>
            </c:strRef>
          </c:cat>
          <c:val>
            <c:numRef>
              <c:f>'2b. Charts by Priority'!$AZ$57:$BC$57</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B-1FD6-404C-92E4-D5A1C46C6F90}"/>
            </c:ext>
          </c:extLst>
        </c:ser>
        <c:dLbls>
          <c:showLegendKey val="0"/>
          <c:showVal val="1"/>
          <c:showCatName val="0"/>
          <c:showSerName val="0"/>
          <c:showPercent val="0"/>
          <c:showBubbleSize val="0"/>
        </c:dLbls>
        <c:smooth val="0"/>
        <c:axId val="356719496"/>
        <c:axId val="356715576"/>
      </c:lineChart>
      <c:catAx>
        <c:axId val="356719496"/>
        <c:scaling>
          <c:orientation val="minMax"/>
        </c:scaling>
        <c:delete val="0"/>
        <c:axPos val="b"/>
        <c:numFmt formatCode="General" sourceLinked="0"/>
        <c:majorTickMark val="out"/>
        <c:minorTickMark val="none"/>
        <c:tickLblPos val="nextTo"/>
        <c:txPr>
          <a:bodyPr/>
          <a:lstStyle/>
          <a:p>
            <a:pPr>
              <a:defRPr lang="en-US"/>
            </a:pPr>
            <a:endParaRPr lang="en-US"/>
          </a:p>
        </c:txPr>
        <c:crossAx val="356715576"/>
        <c:crosses val="autoZero"/>
        <c:auto val="1"/>
        <c:lblAlgn val="ctr"/>
        <c:lblOffset val="100"/>
        <c:noMultiLvlLbl val="0"/>
      </c:catAx>
      <c:valAx>
        <c:axId val="356715576"/>
        <c:scaling>
          <c:orientation val="minMax"/>
          <c:max val="1"/>
        </c:scaling>
        <c:delete val="0"/>
        <c:axPos val="l"/>
        <c:majorGridlines/>
        <c:numFmt formatCode="0.00%" sourceLinked="1"/>
        <c:majorTickMark val="out"/>
        <c:minorTickMark val="none"/>
        <c:tickLblPos val="nextTo"/>
        <c:txPr>
          <a:bodyPr/>
          <a:lstStyle/>
          <a:p>
            <a:pPr>
              <a:defRPr lang="en-US"/>
            </a:pPr>
            <a:endParaRPr lang="en-US"/>
          </a:p>
        </c:txPr>
        <c:crossAx val="35671949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Environment and Climate Change</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Portfolio'!$BA$22</c:f>
              <c:strCache>
                <c:ptCount val="1"/>
                <c:pt idx="0">
                  <c:v>Q2</c:v>
                </c:pt>
              </c:strCache>
            </c:strRef>
          </c:tx>
          <c:dPt>
            <c:idx val="0"/>
            <c:bubble3D val="0"/>
            <c:spPr>
              <a:solidFill>
                <a:srgbClr val="92D050"/>
              </a:solidFill>
            </c:spPr>
            <c:extLst>
              <c:ext xmlns:c16="http://schemas.microsoft.com/office/drawing/2014/chart" uri="{C3380CC4-5D6E-409C-BE32-E72D297353CC}">
                <c16:uniqueId val="{00000000-9981-4ECA-8145-38C665E1F7E9}"/>
              </c:ext>
            </c:extLst>
          </c:dPt>
          <c:dPt>
            <c:idx val="2"/>
            <c:bubble3D val="0"/>
            <c:spPr>
              <a:solidFill>
                <a:srgbClr val="FF0000"/>
              </a:solidFill>
            </c:spPr>
            <c:extLst>
              <c:ext xmlns:c16="http://schemas.microsoft.com/office/drawing/2014/chart" uri="{C3380CC4-5D6E-409C-BE32-E72D297353CC}">
                <c16:uniqueId val="{00000002-9981-4ECA-8145-38C665E1F7E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Portfolio'!$BA$23:$BA$25</c:f>
              <c:numCache>
                <c:formatCode>0.00%</c:formatCode>
                <c:ptCount val="3"/>
                <c:pt idx="0">
                  <c:v>0</c:v>
                </c:pt>
                <c:pt idx="1">
                  <c:v>0</c:v>
                </c:pt>
                <c:pt idx="2">
                  <c:v>0</c:v>
                </c:pt>
              </c:numCache>
            </c:numRef>
          </c:val>
          <c:extLst>
            <c:ext xmlns:c16="http://schemas.microsoft.com/office/drawing/2014/chart" uri="{C3380CC4-5D6E-409C-BE32-E72D297353CC}">
              <c16:uniqueId val="{00000003-9981-4ECA-8145-38C665E1F7E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Portfolio'!$BA$38</c:f>
              <c:strCache>
                <c:ptCount val="1"/>
                <c:pt idx="0">
                  <c:v>Q2</c:v>
                </c:pt>
              </c:strCache>
            </c:strRef>
          </c:tx>
          <c:dPt>
            <c:idx val="0"/>
            <c:bubble3D val="0"/>
            <c:spPr>
              <a:solidFill>
                <a:srgbClr val="92D050"/>
              </a:solidFill>
            </c:spPr>
            <c:extLst>
              <c:ext xmlns:c16="http://schemas.microsoft.com/office/drawing/2014/chart" uri="{C3380CC4-5D6E-409C-BE32-E72D297353CC}">
                <c16:uniqueId val="{00000000-6647-440E-AD13-1330B422D0EF}"/>
              </c:ext>
            </c:extLst>
          </c:dPt>
          <c:dPt>
            <c:idx val="1"/>
            <c:bubble3D val="0"/>
            <c:spPr>
              <a:solidFill>
                <a:srgbClr val="FFC000"/>
              </a:solidFill>
            </c:spPr>
            <c:extLst>
              <c:ext xmlns:c16="http://schemas.microsoft.com/office/drawing/2014/chart" uri="{C3380CC4-5D6E-409C-BE32-E72D297353CC}">
                <c16:uniqueId val="{00000001-6647-440E-AD13-1330B422D0EF}"/>
              </c:ext>
            </c:extLst>
          </c:dPt>
          <c:dPt>
            <c:idx val="2"/>
            <c:bubble3D val="0"/>
            <c:spPr>
              <a:solidFill>
                <a:srgbClr val="FF0000"/>
              </a:solidFill>
            </c:spPr>
            <c:extLst>
              <c:ext xmlns:c16="http://schemas.microsoft.com/office/drawing/2014/chart" uri="{C3380CC4-5D6E-409C-BE32-E72D297353CC}">
                <c16:uniqueId val="{00000002-6647-440E-AD13-1330B422D0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Portfolio'!$BA$39:$BA$41</c:f>
              <c:numCache>
                <c:formatCode>0.00%</c:formatCode>
                <c:ptCount val="3"/>
                <c:pt idx="0">
                  <c:v>0</c:v>
                </c:pt>
                <c:pt idx="1">
                  <c:v>0</c:v>
                </c:pt>
                <c:pt idx="2">
                  <c:v>0</c:v>
                </c:pt>
              </c:numCache>
            </c:numRef>
          </c:val>
          <c:extLst>
            <c:ext xmlns:c16="http://schemas.microsoft.com/office/drawing/2014/chart" uri="{C3380CC4-5D6E-409C-BE32-E72D297353CC}">
              <c16:uniqueId val="{00000003-6647-440E-AD13-1330B422D0E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Portfolio'!$BA$54</c:f>
              <c:strCache>
                <c:ptCount val="1"/>
                <c:pt idx="0">
                  <c:v>Q2</c:v>
                </c:pt>
              </c:strCache>
            </c:strRef>
          </c:tx>
          <c:dPt>
            <c:idx val="0"/>
            <c:bubble3D val="0"/>
            <c:spPr>
              <a:solidFill>
                <a:srgbClr val="92D050"/>
              </a:solidFill>
            </c:spPr>
            <c:extLst>
              <c:ext xmlns:c16="http://schemas.microsoft.com/office/drawing/2014/chart" uri="{C3380CC4-5D6E-409C-BE32-E72D297353CC}">
                <c16:uniqueId val="{00000000-1F5D-4394-8264-45F30C4E27AF}"/>
              </c:ext>
            </c:extLst>
          </c:dPt>
          <c:dPt>
            <c:idx val="1"/>
            <c:bubble3D val="0"/>
            <c:spPr>
              <a:solidFill>
                <a:srgbClr val="FFC000"/>
              </a:solidFill>
            </c:spPr>
            <c:extLst>
              <c:ext xmlns:c16="http://schemas.microsoft.com/office/drawing/2014/chart" uri="{C3380CC4-5D6E-409C-BE32-E72D297353CC}">
                <c16:uniqueId val="{00000001-1F5D-4394-8264-45F30C4E27AF}"/>
              </c:ext>
            </c:extLst>
          </c:dPt>
          <c:dPt>
            <c:idx val="2"/>
            <c:bubble3D val="0"/>
            <c:spPr>
              <a:solidFill>
                <a:srgbClr val="FF0000"/>
              </a:solidFill>
            </c:spPr>
            <c:extLst>
              <c:ext xmlns:c16="http://schemas.microsoft.com/office/drawing/2014/chart" uri="{C3380CC4-5D6E-409C-BE32-E72D297353CC}">
                <c16:uniqueId val="{00000002-1F5D-4394-8264-45F30C4E27A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Portfolio'!$BA$55:$BA$57</c:f>
              <c:numCache>
                <c:formatCode>0.00%</c:formatCode>
                <c:ptCount val="3"/>
                <c:pt idx="0">
                  <c:v>0</c:v>
                </c:pt>
                <c:pt idx="1">
                  <c:v>0</c:v>
                </c:pt>
                <c:pt idx="2">
                  <c:v>0</c:v>
                </c:pt>
              </c:numCache>
            </c:numRef>
          </c:val>
          <c:extLst>
            <c:ext xmlns:c16="http://schemas.microsoft.com/office/drawing/2014/chart" uri="{C3380CC4-5D6E-409C-BE32-E72D297353CC}">
              <c16:uniqueId val="{00000003-1F5D-4394-8264-45F30C4E27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Regulatory Services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layout>
        <c:manualLayout>
          <c:xMode val="edge"/>
          <c:yMode val="edge"/>
          <c:x val="0.28165148742830121"/>
          <c:y val="4.0000000000000022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Portfolio'!$BB$6</c:f>
              <c:strCache>
                <c:ptCount val="1"/>
                <c:pt idx="0">
                  <c:v>Q3</c:v>
                </c:pt>
              </c:strCache>
            </c:strRef>
          </c:tx>
          <c:dPt>
            <c:idx val="0"/>
            <c:bubble3D val="0"/>
            <c:spPr>
              <a:solidFill>
                <a:srgbClr val="92D050"/>
              </a:solidFill>
            </c:spPr>
            <c:extLst>
              <c:ext xmlns:c16="http://schemas.microsoft.com/office/drawing/2014/chart" uri="{C3380CC4-5D6E-409C-BE32-E72D297353CC}">
                <c16:uniqueId val="{00000000-B8E1-4776-BA6B-5DBE755A9E39}"/>
              </c:ext>
            </c:extLst>
          </c:dPt>
          <c:dPt>
            <c:idx val="1"/>
            <c:bubble3D val="0"/>
            <c:spPr>
              <a:solidFill>
                <a:srgbClr val="FFC000"/>
              </a:solidFill>
            </c:spPr>
            <c:extLst>
              <c:ext xmlns:c16="http://schemas.microsoft.com/office/drawing/2014/chart" uri="{C3380CC4-5D6E-409C-BE32-E72D297353CC}">
                <c16:uniqueId val="{00000001-B8E1-4776-BA6B-5DBE755A9E39}"/>
              </c:ext>
            </c:extLst>
          </c:dPt>
          <c:dPt>
            <c:idx val="2"/>
            <c:bubble3D val="0"/>
            <c:spPr>
              <a:solidFill>
                <a:srgbClr val="FF0000"/>
              </a:solidFill>
            </c:spPr>
            <c:extLst>
              <c:ext xmlns:c16="http://schemas.microsoft.com/office/drawing/2014/chart" uri="{C3380CC4-5D6E-409C-BE32-E72D297353CC}">
                <c16:uniqueId val="{00000002-B8E1-4776-BA6B-5DBE755A9E3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Portfolio'!$BB$7:$BB$9</c:f>
              <c:numCache>
                <c:formatCode>0.00%</c:formatCode>
                <c:ptCount val="3"/>
                <c:pt idx="0">
                  <c:v>0</c:v>
                </c:pt>
                <c:pt idx="1">
                  <c:v>0</c:v>
                </c:pt>
                <c:pt idx="2">
                  <c:v>0</c:v>
                </c:pt>
              </c:numCache>
            </c:numRef>
          </c:val>
          <c:extLst>
            <c:ext xmlns:c16="http://schemas.microsoft.com/office/drawing/2014/chart" uri="{C3380CC4-5D6E-409C-BE32-E72D297353CC}">
              <c16:uniqueId val="{00000003-B8E1-4776-BA6B-5DBE755A9E39}"/>
            </c:ext>
          </c:extLst>
        </c:ser>
        <c:dLbls>
          <c:showLegendKey val="0"/>
          <c:showVal val="1"/>
          <c:showCatName val="0"/>
          <c:showSerName val="0"/>
          <c:showPercent val="0"/>
          <c:showBubbleSize val="0"/>
          <c:showLeaderLines val="0"/>
        </c:dLbls>
      </c:pie3DChart>
      <c:spPr>
        <a:solidFill>
          <a:schemeClr val="bg1"/>
        </a:solidFill>
      </c:spPr>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Communities and Regulatory Services</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baseline="0"/>
              <a:t>- End of Year</a:t>
            </a:r>
            <a:endParaRPr lang="en-GB" u="none"/>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Portfolio'!$BC$6</c:f>
              <c:strCache>
                <c:ptCount val="1"/>
                <c:pt idx="0">
                  <c:v>Q4</c:v>
                </c:pt>
              </c:strCache>
            </c:strRef>
          </c:tx>
          <c:dPt>
            <c:idx val="0"/>
            <c:bubble3D val="0"/>
            <c:spPr>
              <a:solidFill>
                <a:srgbClr val="92D050"/>
              </a:solidFill>
            </c:spPr>
            <c:extLst>
              <c:ext xmlns:c16="http://schemas.microsoft.com/office/drawing/2014/chart" uri="{C3380CC4-5D6E-409C-BE32-E72D297353CC}">
                <c16:uniqueId val="{00000000-A044-4CDD-BEFC-B41AFA59B1A1}"/>
              </c:ext>
            </c:extLst>
          </c:dPt>
          <c:dPt>
            <c:idx val="1"/>
            <c:bubble3D val="0"/>
            <c:spPr>
              <a:solidFill>
                <a:srgbClr val="FFC000"/>
              </a:solidFill>
            </c:spPr>
            <c:extLst>
              <c:ext xmlns:c16="http://schemas.microsoft.com/office/drawing/2014/chart" uri="{C3380CC4-5D6E-409C-BE32-E72D297353CC}">
                <c16:uniqueId val="{00000001-A044-4CDD-BEFC-B41AFA59B1A1}"/>
              </c:ext>
            </c:extLst>
          </c:dPt>
          <c:dPt>
            <c:idx val="2"/>
            <c:bubble3D val="0"/>
            <c:spPr>
              <a:solidFill>
                <a:srgbClr val="FF0000"/>
              </a:solidFill>
            </c:spPr>
            <c:extLst>
              <c:ext xmlns:c16="http://schemas.microsoft.com/office/drawing/2014/chart" uri="{C3380CC4-5D6E-409C-BE32-E72D297353CC}">
                <c16:uniqueId val="{00000002-A044-4CDD-BEFC-B41AFA59B1A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Portfolio'!$AY$7:$AY$9</c:f>
              <c:strCache>
                <c:ptCount val="3"/>
                <c:pt idx="0">
                  <c:v>Green</c:v>
                </c:pt>
                <c:pt idx="1">
                  <c:v>Amber</c:v>
                </c:pt>
                <c:pt idx="2">
                  <c:v>Red</c:v>
                </c:pt>
              </c:strCache>
            </c:strRef>
          </c:cat>
          <c:val>
            <c:numRef>
              <c:f>'3b. Charts by Portfolio'!$BC$7:$BC$9</c:f>
              <c:numCache>
                <c:formatCode>0.00%</c:formatCode>
                <c:ptCount val="3"/>
                <c:pt idx="0">
                  <c:v>0</c:v>
                </c:pt>
                <c:pt idx="1">
                  <c:v>0</c:v>
                </c:pt>
                <c:pt idx="2">
                  <c:v>0</c:v>
                </c:pt>
              </c:numCache>
            </c:numRef>
          </c:val>
          <c:extLst>
            <c:ext xmlns:c16="http://schemas.microsoft.com/office/drawing/2014/chart" uri="{C3380CC4-5D6E-409C-BE32-E72D297353CC}">
              <c16:uniqueId val="{00000003-A044-4CDD-BEFC-B41AFA59B1A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Environment and Climate Change</a:t>
            </a:r>
            <a:endParaRPr lang="en-GB">
              <a:effectLst/>
            </a:endParaRPr>
          </a:p>
          <a:p>
            <a:pPr>
              <a:defRPr lang="en-US"/>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Portfolio'!$AY$23</c:f>
              <c:strCache>
                <c:ptCount val="1"/>
                <c:pt idx="0">
                  <c:v>Green</c:v>
                </c:pt>
              </c:strCache>
            </c:strRef>
          </c:tx>
          <c:dPt>
            <c:idx val="0"/>
            <c:bubble3D val="0"/>
            <c:spPr>
              <a:solidFill>
                <a:srgbClr val="92D050"/>
              </a:solidFill>
            </c:spPr>
            <c:extLst>
              <c:ext xmlns:c16="http://schemas.microsoft.com/office/drawing/2014/chart" uri="{C3380CC4-5D6E-409C-BE32-E72D297353CC}">
                <c16:uniqueId val="{00000001-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Portfolio'!$BB$23</c:f>
              <c:numCache>
                <c:formatCode>0.00%</c:formatCode>
                <c:ptCount val="1"/>
                <c:pt idx="0">
                  <c:v>0</c:v>
                </c:pt>
              </c:numCache>
            </c:numRef>
          </c:val>
          <c:extLst>
            <c:ext xmlns:c16="http://schemas.microsoft.com/office/drawing/2014/chart" uri="{C3380CC4-5D6E-409C-BE32-E72D297353CC}">
              <c16:uniqueId val="{00000002-DEEF-4D09-BC8A-0971159A9403}"/>
            </c:ext>
          </c:extLst>
        </c:ser>
        <c:ser>
          <c:idx val="1"/>
          <c:order val="1"/>
          <c:tx>
            <c:strRef>
              <c:f>'3b. Charts by Portfolio'!$AY$24</c:f>
              <c:strCache>
                <c:ptCount val="1"/>
                <c:pt idx="0">
                  <c:v>Amber</c:v>
                </c:pt>
              </c:strCache>
            </c:strRef>
          </c:tx>
          <c:dPt>
            <c:idx val="0"/>
            <c:bubble3D val="0"/>
            <c:spPr>
              <a:solidFill>
                <a:srgbClr val="FFC000"/>
              </a:solidFill>
            </c:spPr>
            <c:extLst>
              <c:ext xmlns:c16="http://schemas.microsoft.com/office/drawing/2014/chart" uri="{C3380CC4-5D6E-409C-BE32-E72D297353CC}">
                <c16:uniqueId val="{00000004-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Portfolio'!$BB$24</c:f>
              <c:numCache>
                <c:formatCode>0.00%</c:formatCode>
                <c:ptCount val="1"/>
                <c:pt idx="0">
                  <c:v>0</c:v>
                </c:pt>
              </c:numCache>
            </c:numRef>
          </c:val>
          <c:extLst>
            <c:ext xmlns:c16="http://schemas.microsoft.com/office/drawing/2014/chart" uri="{C3380CC4-5D6E-409C-BE32-E72D297353CC}">
              <c16:uniqueId val="{00000005-DEEF-4D09-BC8A-0971159A9403}"/>
            </c:ext>
          </c:extLst>
        </c:ser>
        <c:ser>
          <c:idx val="2"/>
          <c:order val="2"/>
          <c:tx>
            <c:strRef>
              <c:f>'3b. Charts by Portfolio'!$AY$25</c:f>
              <c:strCache>
                <c:ptCount val="1"/>
                <c:pt idx="0">
                  <c:v>Red</c:v>
                </c:pt>
              </c:strCache>
            </c:strRef>
          </c:tx>
          <c:dPt>
            <c:idx val="0"/>
            <c:bubble3D val="0"/>
            <c:spPr>
              <a:solidFill>
                <a:srgbClr val="FF0000"/>
              </a:solidFill>
            </c:spPr>
            <c:extLst>
              <c:ext xmlns:c16="http://schemas.microsoft.com/office/drawing/2014/chart" uri="{C3380CC4-5D6E-409C-BE32-E72D297353CC}">
                <c16:uniqueId val="{00000007-DEEF-4D09-BC8A-0971159A9403}"/>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'3b. Charts by Portfolio'!$BB$22</c:f>
              <c:strCache>
                <c:ptCount val="1"/>
                <c:pt idx="0">
                  <c:v>Q3</c:v>
                </c:pt>
              </c:strCache>
            </c:strRef>
          </c:cat>
          <c:val>
            <c:numRef>
              <c:f>'3b. Charts by Portfolio'!$BB$25</c:f>
              <c:numCache>
                <c:formatCode>0.00%</c:formatCode>
                <c:ptCount val="1"/>
                <c:pt idx="0">
                  <c:v>0</c:v>
                </c:pt>
              </c:numCache>
            </c:numRef>
          </c:val>
          <c:extLst>
            <c:ext xmlns:c16="http://schemas.microsoft.com/office/drawing/2014/chart" uri="{C3380CC4-5D6E-409C-BE32-E72D297353CC}">
              <c16:uniqueId val="{00000008-DEEF-4D09-BC8A-0971159A9403}"/>
            </c:ext>
          </c:extLst>
        </c:ser>
        <c:dLbls>
          <c:showLegendKey val="0"/>
          <c:showVal val="1"/>
          <c:showCatName val="0"/>
          <c:showSerName val="0"/>
          <c:showPercent val="0"/>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Environment and Climate Change</a:t>
            </a:r>
            <a:endParaRPr lang="en-GB">
              <a:effectLst/>
            </a:endParaRPr>
          </a:p>
          <a:p>
            <a:pP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Portfolio'!$BC$22</c:f>
              <c:strCache>
                <c:ptCount val="1"/>
                <c:pt idx="0">
                  <c:v>Q4</c:v>
                </c:pt>
              </c:strCache>
            </c:strRef>
          </c:tx>
          <c:dPt>
            <c:idx val="0"/>
            <c:bubble3D val="0"/>
            <c:spPr>
              <a:solidFill>
                <a:srgbClr val="92D050"/>
              </a:solidFill>
            </c:spPr>
            <c:extLst>
              <c:ext xmlns:c16="http://schemas.microsoft.com/office/drawing/2014/chart" uri="{C3380CC4-5D6E-409C-BE32-E72D297353CC}">
                <c16:uniqueId val="{00000000-34FB-4778-BD03-6B685FC94963}"/>
              </c:ext>
            </c:extLst>
          </c:dPt>
          <c:dPt>
            <c:idx val="1"/>
            <c:bubble3D val="0"/>
            <c:spPr>
              <a:solidFill>
                <a:srgbClr val="FFC000"/>
              </a:solidFill>
            </c:spPr>
            <c:extLst>
              <c:ext xmlns:c16="http://schemas.microsoft.com/office/drawing/2014/chart" uri="{C3380CC4-5D6E-409C-BE32-E72D297353CC}">
                <c16:uniqueId val="{00000001-34FB-4778-BD03-6B685FC94963}"/>
              </c:ext>
            </c:extLst>
          </c:dPt>
          <c:dPt>
            <c:idx val="2"/>
            <c:bubble3D val="0"/>
            <c:spPr>
              <a:solidFill>
                <a:srgbClr val="FF0000"/>
              </a:solidFill>
            </c:spPr>
            <c:extLst>
              <c:ext xmlns:c16="http://schemas.microsoft.com/office/drawing/2014/chart" uri="{C3380CC4-5D6E-409C-BE32-E72D297353CC}">
                <c16:uniqueId val="{00000002-34FB-4778-BD03-6B685FC9496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Portfolio'!$AY$23:$AY$25</c:f>
              <c:strCache>
                <c:ptCount val="3"/>
                <c:pt idx="0">
                  <c:v>Green</c:v>
                </c:pt>
                <c:pt idx="1">
                  <c:v>Amber</c:v>
                </c:pt>
                <c:pt idx="2">
                  <c:v>Red</c:v>
                </c:pt>
              </c:strCache>
            </c:strRef>
          </c:cat>
          <c:val>
            <c:numRef>
              <c:f>'3b. Charts by Portfolio'!$BC$23:$BC$25</c:f>
              <c:numCache>
                <c:formatCode>0.00%</c:formatCode>
                <c:ptCount val="3"/>
                <c:pt idx="0">
                  <c:v>0</c:v>
                </c:pt>
                <c:pt idx="1">
                  <c:v>0</c:v>
                </c:pt>
                <c:pt idx="2">
                  <c:v>0</c:v>
                </c:pt>
              </c:numCache>
            </c:numRef>
          </c:val>
          <c:extLst>
            <c:ext xmlns:c16="http://schemas.microsoft.com/office/drawing/2014/chart" uri="{C3380CC4-5D6E-409C-BE32-E72D297353CC}">
              <c16:uniqueId val="{00000003-34FB-4778-BD03-6B685FC94963}"/>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Finance and Treasury Management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Portfolio'!$BB$38</c:f>
              <c:strCache>
                <c:ptCount val="1"/>
                <c:pt idx="0">
                  <c:v>Q3</c:v>
                </c:pt>
              </c:strCache>
            </c:strRef>
          </c:tx>
          <c:dPt>
            <c:idx val="0"/>
            <c:bubble3D val="0"/>
            <c:spPr>
              <a:solidFill>
                <a:srgbClr val="92D050"/>
              </a:solidFill>
            </c:spPr>
            <c:extLst>
              <c:ext xmlns:c16="http://schemas.microsoft.com/office/drawing/2014/chart" uri="{C3380CC4-5D6E-409C-BE32-E72D297353CC}">
                <c16:uniqueId val="{00000000-CC3F-45AC-B5C0-67479774E656}"/>
              </c:ext>
            </c:extLst>
          </c:dPt>
          <c:dPt>
            <c:idx val="1"/>
            <c:bubble3D val="0"/>
            <c:spPr>
              <a:solidFill>
                <a:srgbClr val="FFC000"/>
              </a:solidFill>
            </c:spPr>
            <c:extLst>
              <c:ext xmlns:c16="http://schemas.microsoft.com/office/drawing/2014/chart" uri="{C3380CC4-5D6E-409C-BE32-E72D297353CC}">
                <c16:uniqueId val="{00000001-CC3F-45AC-B5C0-67479774E656}"/>
              </c:ext>
            </c:extLst>
          </c:dPt>
          <c:dPt>
            <c:idx val="2"/>
            <c:bubble3D val="0"/>
            <c:spPr>
              <a:solidFill>
                <a:srgbClr val="FF0000"/>
              </a:solidFill>
            </c:spPr>
            <c:extLst>
              <c:ext xmlns:c16="http://schemas.microsoft.com/office/drawing/2014/chart" uri="{C3380CC4-5D6E-409C-BE32-E72D297353CC}">
                <c16:uniqueId val="{00000002-CC3F-45AC-B5C0-67479774E656}"/>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Portfolio'!$BB$39:$BB$41</c:f>
              <c:numCache>
                <c:formatCode>0.00%</c:formatCode>
                <c:ptCount val="3"/>
                <c:pt idx="0">
                  <c:v>0</c:v>
                </c:pt>
                <c:pt idx="1">
                  <c:v>0</c:v>
                </c:pt>
                <c:pt idx="2">
                  <c:v>0</c:v>
                </c:pt>
              </c:numCache>
            </c:numRef>
          </c:val>
          <c:extLst>
            <c:ext xmlns:c16="http://schemas.microsoft.com/office/drawing/2014/chart" uri="{C3380CC4-5D6E-409C-BE32-E72D297353CC}">
              <c16:uniqueId val="{00000003-CC3F-45AC-B5C0-67479774E656}"/>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lang="en-US"/>
            </a:pPr>
            <a:r>
              <a:rPr lang="en-GB" sz="1800" b="1" i="0" u="sng" baseline="0">
                <a:effectLst/>
              </a:rPr>
              <a:t>Finance and Treasury Management</a:t>
            </a:r>
            <a:endParaRPr lang="en-GB">
              <a:effectLst/>
            </a:endParaRPr>
          </a:p>
          <a:p>
            <a:pPr algn="ctr">
              <a:defRPr lang="en-US"/>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Portfolio'!$BC$38</c:f>
              <c:strCache>
                <c:ptCount val="1"/>
                <c:pt idx="0">
                  <c:v>Q4</c:v>
                </c:pt>
              </c:strCache>
            </c:strRef>
          </c:tx>
          <c:dPt>
            <c:idx val="0"/>
            <c:bubble3D val="0"/>
            <c:spPr>
              <a:solidFill>
                <a:srgbClr val="92D050"/>
              </a:solidFill>
            </c:spPr>
            <c:extLst>
              <c:ext xmlns:c16="http://schemas.microsoft.com/office/drawing/2014/chart" uri="{C3380CC4-5D6E-409C-BE32-E72D297353CC}">
                <c16:uniqueId val="{00000000-36D7-4279-A11D-FA8C082CD372}"/>
              </c:ext>
            </c:extLst>
          </c:dPt>
          <c:dPt>
            <c:idx val="1"/>
            <c:bubble3D val="0"/>
            <c:spPr>
              <a:solidFill>
                <a:srgbClr val="FFC000"/>
              </a:solidFill>
            </c:spPr>
            <c:extLst>
              <c:ext xmlns:c16="http://schemas.microsoft.com/office/drawing/2014/chart" uri="{C3380CC4-5D6E-409C-BE32-E72D297353CC}">
                <c16:uniqueId val="{00000001-36D7-4279-A11D-FA8C082CD372}"/>
              </c:ext>
            </c:extLst>
          </c:dPt>
          <c:dPt>
            <c:idx val="2"/>
            <c:bubble3D val="0"/>
            <c:spPr>
              <a:solidFill>
                <a:srgbClr val="FF0000"/>
              </a:solidFill>
            </c:spPr>
            <c:extLst>
              <c:ext xmlns:c16="http://schemas.microsoft.com/office/drawing/2014/chart" uri="{C3380CC4-5D6E-409C-BE32-E72D297353CC}">
                <c16:uniqueId val="{00000002-36D7-4279-A11D-FA8C082CD37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Portfolio'!$AY$39:$AY$41</c:f>
              <c:strCache>
                <c:ptCount val="3"/>
                <c:pt idx="0">
                  <c:v>Green</c:v>
                </c:pt>
                <c:pt idx="1">
                  <c:v>Amber</c:v>
                </c:pt>
                <c:pt idx="2">
                  <c:v>Red</c:v>
                </c:pt>
              </c:strCache>
            </c:strRef>
          </c:cat>
          <c:val>
            <c:numRef>
              <c:f>'3b. Charts by Portfolio'!$BC$39:$BC$41</c:f>
              <c:numCache>
                <c:formatCode>0.00%</c:formatCode>
                <c:ptCount val="3"/>
                <c:pt idx="0">
                  <c:v>0</c:v>
                </c:pt>
                <c:pt idx="1">
                  <c:v>0</c:v>
                </c:pt>
                <c:pt idx="2">
                  <c:v>0</c:v>
                </c:pt>
              </c:numCache>
            </c:numRef>
          </c:val>
          <c:extLst>
            <c:ext xmlns:c16="http://schemas.microsoft.com/office/drawing/2014/chart" uri="{C3380CC4-5D6E-409C-BE32-E72D297353CC}">
              <c16:uniqueId val="{00000003-36D7-4279-A11D-FA8C082CD37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u="none" strike="noStrike" baseline="0"/>
              <a:t> </a:t>
            </a: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Portfolio'!$BB$54</c:f>
              <c:strCache>
                <c:ptCount val="1"/>
                <c:pt idx="0">
                  <c:v>Q3</c:v>
                </c:pt>
              </c:strCache>
            </c:strRef>
          </c:tx>
          <c:dPt>
            <c:idx val="0"/>
            <c:bubble3D val="0"/>
            <c:spPr>
              <a:solidFill>
                <a:srgbClr val="92D050"/>
              </a:solidFill>
            </c:spPr>
            <c:extLst>
              <c:ext xmlns:c16="http://schemas.microsoft.com/office/drawing/2014/chart" uri="{C3380CC4-5D6E-409C-BE32-E72D297353CC}">
                <c16:uniqueId val="{00000000-9898-4B87-939D-D47B1872EA7B}"/>
              </c:ext>
            </c:extLst>
          </c:dPt>
          <c:dPt>
            <c:idx val="1"/>
            <c:bubble3D val="0"/>
            <c:spPr>
              <a:solidFill>
                <a:srgbClr val="FFC000"/>
              </a:solidFill>
            </c:spPr>
            <c:extLst>
              <c:ext xmlns:c16="http://schemas.microsoft.com/office/drawing/2014/chart" uri="{C3380CC4-5D6E-409C-BE32-E72D297353CC}">
                <c16:uniqueId val="{00000001-9898-4B87-939D-D47B1872EA7B}"/>
              </c:ext>
            </c:extLst>
          </c:dPt>
          <c:dPt>
            <c:idx val="2"/>
            <c:bubble3D val="0"/>
            <c:spPr>
              <a:solidFill>
                <a:srgbClr val="FF0000"/>
              </a:solidFill>
            </c:spPr>
            <c:extLst>
              <c:ext xmlns:c16="http://schemas.microsoft.com/office/drawing/2014/chart" uri="{C3380CC4-5D6E-409C-BE32-E72D297353CC}">
                <c16:uniqueId val="{00000002-9898-4B87-939D-D47B1872EA7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Portfolio'!$BB$55:$BB$57</c:f>
              <c:numCache>
                <c:formatCode>0.00%</c:formatCode>
                <c:ptCount val="3"/>
                <c:pt idx="0">
                  <c:v>0</c:v>
                </c:pt>
                <c:pt idx="1">
                  <c:v>0</c:v>
                </c:pt>
                <c:pt idx="2">
                  <c:v>0</c:v>
                </c:pt>
              </c:numCache>
            </c:numRef>
          </c:val>
          <c:extLst>
            <c:ext xmlns:c16="http://schemas.microsoft.com/office/drawing/2014/chart" uri="{C3380CC4-5D6E-409C-BE32-E72D297353CC}">
              <c16:uniqueId val="{00000003-9898-4B87-939D-D47B1872EA7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ALL TARGETS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BDF-4743-8367-D995DA49E225}"/>
              </c:ext>
            </c:extLst>
          </c:dPt>
          <c:dPt>
            <c:idx val="1"/>
            <c:bubble3D val="0"/>
            <c:spPr>
              <a:solidFill>
                <a:srgbClr val="FFC000"/>
              </a:solidFill>
            </c:spPr>
            <c:extLst>
              <c:ext xmlns:c16="http://schemas.microsoft.com/office/drawing/2014/chart" uri="{C3380CC4-5D6E-409C-BE32-E72D297353CC}">
                <c16:uniqueId val="{00000001-9BDF-4743-8367-D995DA49E225}"/>
              </c:ext>
            </c:extLst>
          </c:dPt>
          <c:dPt>
            <c:idx val="2"/>
            <c:bubble3D val="0"/>
            <c:spPr>
              <a:solidFill>
                <a:srgbClr val="FF0000"/>
              </a:solidFill>
            </c:spPr>
            <c:extLst>
              <c:ext xmlns:c16="http://schemas.microsoft.com/office/drawing/2014/chart" uri="{C3380CC4-5D6E-409C-BE32-E72D297353CC}">
                <c16:uniqueId val="{00000002-9BDF-4743-8367-D995DA49E225}"/>
              </c:ext>
            </c:extLst>
          </c:dPt>
          <c:dLbls>
            <c:delete val="1"/>
          </c:dLbls>
          <c:cat>
            <c:strRef>
              <c:f>'2b. Charts by Priority'!$AY$7:$AY$9</c:f>
              <c:strCache>
                <c:ptCount val="3"/>
                <c:pt idx="0">
                  <c:v>Green</c:v>
                </c:pt>
                <c:pt idx="1">
                  <c:v>Amber</c:v>
                </c:pt>
                <c:pt idx="2">
                  <c:v>Red</c:v>
                </c:pt>
              </c:strCache>
            </c:strRef>
          </c:cat>
          <c:val>
            <c:numRef>
              <c:f>'2b. Charts by Priority'!$AZ$7:$AZ$9</c:f>
              <c:numCache>
                <c:formatCode>0.00%</c:formatCode>
                <c:ptCount val="3"/>
                <c:pt idx="0">
                  <c:v>0.94936708860759489</c:v>
                </c:pt>
                <c:pt idx="1">
                  <c:v>1.2658227848101266E-2</c:v>
                </c:pt>
                <c:pt idx="2">
                  <c:v>3.7974683544303799E-2</c:v>
                </c:pt>
              </c:numCache>
            </c:numRef>
          </c:val>
          <c:extLst>
            <c:ext xmlns:c16="http://schemas.microsoft.com/office/drawing/2014/chart" uri="{C3380CC4-5D6E-409C-BE32-E72D297353CC}">
              <c16:uniqueId val="{00000003-9BDF-4743-8367-D995DA49E225}"/>
            </c:ext>
          </c:extLst>
        </c:ser>
        <c:dLbls>
          <c:showLegendKey val="0"/>
          <c:showVal val="0"/>
          <c:showCatName val="1"/>
          <c:showSerName val="0"/>
          <c:showPercent val="1"/>
          <c:showBubbleSize val="0"/>
          <c:showLeaderLines val="1"/>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Leader</a:t>
            </a: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Portfolio'!$BC$54</c:f>
              <c:strCache>
                <c:ptCount val="1"/>
                <c:pt idx="0">
                  <c:v>Q4</c:v>
                </c:pt>
              </c:strCache>
            </c:strRef>
          </c:tx>
          <c:dPt>
            <c:idx val="0"/>
            <c:bubble3D val="0"/>
            <c:spPr>
              <a:solidFill>
                <a:srgbClr val="92D050"/>
              </a:solidFill>
            </c:spPr>
            <c:extLst>
              <c:ext xmlns:c16="http://schemas.microsoft.com/office/drawing/2014/chart" uri="{C3380CC4-5D6E-409C-BE32-E72D297353CC}">
                <c16:uniqueId val="{00000000-8108-493F-A60B-568B8104004D}"/>
              </c:ext>
            </c:extLst>
          </c:dPt>
          <c:dPt>
            <c:idx val="1"/>
            <c:bubble3D val="0"/>
            <c:spPr>
              <a:solidFill>
                <a:srgbClr val="FFC000"/>
              </a:solidFill>
            </c:spPr>
            <c:extLst>
              <c:ext xmlns:c16="http://schemas.microsoft.com/office/drawing/2014/chart" uri="{C3380CC4-5D6E-409C-BE32-E72D297353CC}">
                <c16:uniqueId val="{00000001-8108-493F-A60B-568B8104004D}"/>
              </c:ext>
            </c:extLst>
          </c:dPt>
          <c:dPt>
            <c:idx val="2"/>
            <c:bubble3D val="0"/>
            <c:spPr>
              <a:solidFill>
                <a:srgbClr val="FF0000"/>
              </a:solidFill>
            </c:spPr>
            <c:extLst>
              <c:ext xmlns:c16="http://schemas.microsoft.com/office/drawing/2014/chart" uri="{C3380CC4-5D6E-409C-BE32-E72D297353CC}">
                <c16:uniqueId val="{00000002-8108-493F-A60B-568B8104004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Portfolio'!$AY$55:$AY$57</c:f>
              <c:strCache>
                <c:ptCount val="3"/>
                <c:pt idx="0">
                  <c:v>Green</c:v>
                </c:pt>
                <c:pt idx="1">
                  <c:v>Amber</c:v>
                </c:pt>
                <c:pt idx="2">
                  <c:v>Red</c:v>
                </c:pt>
              </c:strCache>
            </c:strRef>
          </c:cat>
          <c:val>
            <c:numRef>
              <c:f>'3b. Charts by Portfolio'!$BC$55:$BC$57</c:f>
              <c:numCache>
                <c:formatCode>0.00%</c:formatCode>
                <c:ptCount val="3"/>
                <c:pt idx="0">
                  <c:v>0</c:v>
                </c:pt>
                <c:pt idx="1">
                  <c:v>0</c:v>
                </c:pt>
                <c:pt idx="2">
                  <c:v>0</c:v>
                </c:pt>
              </c:numCache>
            </c:numRef>
          </c:val>
          <c:extLst>
            <c:ext xmlns:c16="http://schemas.microsoft.com/office/drawing/2014/chart" uri="{C3380CC4-5D6E-409C-BE32-E72D297353CC}">
              <c16:uniqueId val="{00000003-8108-493F-A60B-568B8104004D}"/>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Regeneration and Development</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Portfolio'!$AY$71</c:f>
              <c:strCache>
                <c:ptCount val="1"/>
                <c:pt idx="0">
                  <c:v>Green</c:v>
                </c:pt>
              </c:strCache>
            </c:strRef>
          </c:tx>
          <c:spPr>
            <a:ln>
              <a:solidFill>
                <a:srgbClr val="92D050"/>
              </a:solidFill>
            </a:ln>
          </c:spPr>
          <c:marker>
            <c:symbol val="none"/>
          </c:marker>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Portfolio'!$AZ$71:$BC$71</c:f>
              <c:numCache>
                <c:formatCode>0.00%</c:formatCode>
                <c:ptCount val="4"/>
                <c:pt idx="0">
                  <c:v>0.89473684210526305</c:v>
                </c:pt>
                <c:pt idx="1">
                  <c:v>0</c:v>
                </c:pt>
                <c:pt idx="2">
                  <c:v>0</c:v>
                </c:pt>
                <c:pt idx="3">
                  <c:v>0</c:v>
                </c:pt>
              </c:numCache>
            </c:numRef>
          </c:val>
          <c:smooth val="0"/>
          <c:extLst>
            <c:ext xmlns:c16="http://schemas.microsoft.com/office/drawing/2014/chart" uri="{C3380CC4-5D6E-409C-BE32-E72D297353CC}">
              <c16:uniqueId val="{00000002-016F-44FD-9A20-5F0AA50C5759}"/>
            </c:ext>
          </c:extLst>
        </c:ser>
        <c:ser>
          <c:idx val="1"/>
          <c:order val="1"/>
          <c:tx>
            <c:strRef>
              <c:f>'3b. Charts by Portfolio'!$AY$72</c:f>
              <c:strCache>
                <c:ptCount val="1"/>
                <c:pt idx="0">
                  <c:v>Amber</c:v>
                </c:pt>
              </c:strCache>
            </c:strRef>
          </c:tx>
          <c:spPr>
            <a:ln>
              <a:solidFill>
                <a:srgbClr val="FFC000"/>
              </a:solidFill>
            </a:ln>
          </c:spPr>
          <c:marker>
            <c:symbol val="none"/>
          </c:marker>
          <c:dLbls>
            <c:dLbl>
              <c:idx val="0"/>
              <c:layout>
                <c:manualLayout>
                  <c:x val="-5.2035287103212514E-2"/>
                  <c:y val="-5.3511705685618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6F-44FD-9A20-5F0AA50C5759}"/>
                </c:ext>
              </c:extLst>
            </c:dLbl>
            <c:dLbl>
              <c:idx val="1"/>
              <c:layout>
                <c:manualLayout>
                  <c:x val="-5.4644550522530692E-2"/>
                  <c:y val="-4.9052396878484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Portfolio'!$AZ$72:$BC$72</c:f>
              <c:numCache>
                <c:formatCode>0.00%</c:formatCode>
                <c:ptCount val="4"/>
                <c:pt idx="0">
                  <c:v>5.2631578947368418E-2</c:v>
                </c:pt>
                <c:pt idx="1">
                  <c:v>0</c:v>
                </c:pt>
                <c:pt idx="2">
                  <c:v>0</c:v>
                </c:pt>
                <c:pt idx="3">
                  <c:v>0</c:v>
                </c:pt>
              </c:numCache>
            </c:numRef>
          </c:val>
          <c:smooth val="0"/>
          <c:extLst>
            <c:ext xmlns:c16="http://schemas.microsoft.com/office/drawing/2014/chart" uri="{C3380CC4-5D6E-409C-BE32-E72D297353CC}">
              <c16:uniqueId val="{00000007-016F-44FD-9A20-5F0AA50C5759}"/>
            </c:ext>
          </c:extLst>
        </c:ser>
        <c:ser>
          <c:idx val="2"/>
          <c:order val="2"/>
          <c:tx>
            <c:strRef>
              <c:f>'3b. Charts by Portfolio'!$AY$73</c:f>
              <c:strCache>
                <c:ptCount val="1"/>
                <c:pt idx="0">
                  <c:v>Red</c:v>
                </c:pt>
              </c:strCache>
            </c:strRef>
          </c:tx>
          <c:spPr>
            <a:ln>
              <a:solidFill>
                <a:srgbClr val="FF0000"/>
              </a:solidFill>
            </a:ln>
          </c:spPr>
          <c:marker>
            <c:symbol val="none"/>
          </c:marker>
          <c:dLbls>
            <c:dLbl>
              <c:idx val="1"/>
              <c:layout>
                <c:manualLayout>
                  <c:x val="-4.9426023683893823E-2"/>
                  <c:y val="8.9186176142698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6F-44FD-9A20-5F0AA50C575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6F-44FD-9A20-5F0AA50C575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6F-44FD-9A20-5F0AA50C5759}"/>
                </c:ext>
              </c:extLst>
            </c:dLbl>
            <c:spPr>
              <a:noFill/>
              <a:ln>
                <a:noFill/>
              </a:ln>
              <a:effectLst/>
            </c:spPr>
            <c:txPr>
              <a:bodyPr/>
              <a:lstStyle/>
              <a:p>
                <a:pPr>
                  <a:defRPr lang="en-US"/>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Portfolio'!$AZ$70:$BC$70</c:f>
              <c:strCache>
                <c:ptCount val="4"/>
                <c:pt idx="0">
                  <c:v>Q1</c:v>
                </c:pt>
                <c:pt idx="1">
                  <c:v>Q2</c:v>
                </c:pt>
                <c:pt idx="2">
                  <c:v>Q3</c:v>
                </c:pt>
                <c:pt idx="3">
                  <c:v>Q4</c:v>
                </c:pt>
              </c:strCache>
            </c:strRef>
          </c:cat>
          <c:val>
            <c:numRef>
              <c:f>'3b. Charts by Portfolio'!$AZ$73:$BC$73</c:f>
              <c:numCache>
                <c:formatCode>0.00%</c:formatCode>
                <c:ptCount val="4"/>
                <c:pt idx="0">
                  <c:v>5.2631578947368418E-2</c:v>
                </c:pt>
                <c:pt idx="1">
                  <c:v>0</c:v>
                </c:pt>
                <c:pt idx="2">
                  <c:v>0</c:v>
                </c:pt>
                <c:pt idx="3">
                  <c:v>0</c:v>
                </c:pt>
              </c:numCache>
            </c:numRef>
          </c:val>
          <c:smooth val="0"/>
          <c:extLst>
            <c:ext xmlns:c16="http://schemas.microsoft.com/office/drawing/2014/chart" uri="{C3380CC4-5D6E-409C-BE32-E72D297353CC}">
              <c16:uniqueId val="{0000000B-016F-44FD-9A20-5F0AA50C5759}"/>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Regeneration and Development</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Portfolio'!$AZ$70</c:f>
              <c:strCache>
                <c:ptCount val="1"/>
                <c:pt idx="0">
                  <c:v>Q1</c:v>
                </c:pt>
              </c:strCache>
            </c:strRef>
          </c:tx>
          <c:dPt>
            <c:idx val="0"/>
            <c:bubble3D val="0"/>
            <c:spPr>
              <a:solidFill>
                <a:srgbClr val="92D050"/>
              </a:solidFill>
            </c:spPr>
            <c:extLst>
              <c:ext xmlns:c16="http://schemas.microsoft.com/office/drawing/2014/chart" uri="{C3380CC4-5D6E-409C-BE32-E72D297353CC}">
                <c16:uniqueId val="{00000000-2CC4-4DCF-972D-828886DB5E2C}"/>
              </c:ext>
            </c:extLst>
          </c:dPt>
          <c:dPt>
            <c:idx val="1"/>
            <c:bubble3D val="0"/>
            <c:spPr>
              <a:solidFill>
                <a:srgbClr val="FFC000"/>
              </a:solidFill>
            </c:spPr>
            <c:extLst>
              <c:ext xmlns:c16="http://schemas.microsoft.com/office/drawing/2014/chart" uri="{C3380CC4-5D6E-409C-BE32-E72D297353CC}">
                <c16:uniqueId val="{00000001-2CC4-4DCF-972D-828886DB5E2C}"/>
              </c:ext>
            </c:extLst>
          </c:dPt>
          <c:dPt>
            <c:idx val="2"/>
            <c:bubble3D val="0"/>
            <c:spPr>
              <a:solidFill>
                <a:srgbClr val="FF0000"/>
              </a:solidFill>
            </c:spPr>
            <c:extLst>
              <c:ext xmlns:c16="http://schemas.microsoft.com/office/drawing/2014/chart" uri="{C3380CC4-5D6E-409C-BE32-E72D297353CC}">
                <c16:uniqueId val="{00000002-2CC4-4DCF-972D-828886DB5E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Portfolio'!$AZ$71:$AZ$73</c:f>
              <c:numCache>
                <c:formatCode>0.00%</c:formatCode>
                <c:ptCount val="3"/>
                <c:pt idx="0">
                  <c:v>0.89473684210526305</c:v>
                </c:pt>
                <c:pt idx="1">
                  <c:v>5.2631578947368418E-2</c:v>
                </c:pt>
                <c:pt idx="2">
                  <c:v>5.2631578947368418E-2</c:v>
                </c:pt>
              </c:numCache>
            </c:numRef>
          </c:val>
          <c:extLst>
            <c:ext xmlns:c16="http://schemas.microsoft.com/office/drawing/2014/chart" uri="{C3380CC4-5D6E-409C-BE32-E72D297353CC}">
              <c16:uniqueId val="{00000003-2CC4-4DCF-972D-828886DB5E2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Portfolio'!$BA$70</c:f>
              <c:strCache>
                <c:ptCount val="1"/>
                <c:pt idx="0">
                  <c:v>Q2</c:v>
                </c:pt>
              </c:strCache>
            </c:strRef>
          </c:tx>
          <c:dPt>
            <c:idx val="0"/>
            <c:bubble3D val="0"/>
            <c:spPr>
              <a:solidFill>
                <a:srgbClr val="92D050"/>
              </a:solidFill>
            </c:spPr>
            <c:extLst>
              <c:ext xmlns:c16="http://schemas.microsoft.com/office/drawing/2014/chart" uri="{C3380CC4-5D6E-409C-BE32-E72D297353CC}">
                <c16:uniqueId val="{00000000-B009-44DB-8D6B-7B084F70A94C}"/>
              </c:ext>
            </c:extLst>
          </c:dPt>
          <c:dPt>
            <c:idx val="1"/>
            <c:bubble3D val="0"/>
            <c:spPr>
              <a:solidFill>
                <a:srgbClr val="FFC000"/>
              </a:solidFill>
            </c:spPr>
            <c:extLst>
              <c:ext xmlns:c16="http://schemas.microsoft.com/office/drawing/2014/chart" uri="{C3380CC4-5D6E-409C-BE32-E72D297353CC}">
                <c16:uniqueId val="{00000001-B009-44DB-8D6B-7B084F70A94C}"/>
              </c:ext>
            </c:extLst>
          </c:dPt>
          <c:dPt>
            <c:idx val="2"/>
            <c:bubble3D val="0"/>
            <c:spPr>
              <a:solidFill>
                <a:srgbClr val="FF0000"/>
              </a:solidFill>
            </c:spPr>
            <c:extLst>
              <c:ext xmlns:c16="http://schemas.microsoft.com/office/drawing/2014/chart" uri="{C3380CC4-5D6E-409C-BE32-E72D297353CC}">
                <c16:uniqueId val="{00000002-B009-44DB-8D6B-7B084F70A94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Portfolio'!$BA$71:$BA$73</c:f>
              <c:numCache>
                <c:formatCode>0.00%</c:formatCode>
                <c:ptCount val="3"/>
                <c:pt idx="0">
                  <c:v>0</c:v>
                </c:pt>
                <c:pt idx="1">
                  <c:v>0</c:v>
                </c:pt>
                <c:pt idx="2">
                  <c:v>0</c:v>
                </c:pt>
              </c:numCache>
            </c:numRef>
          </c:val>
          <c:extLst>
            <c:ext xmlns:c16="http://schemas.microsoft.com/office/drawing/2014/chart" uri="{C3380CC4-5D6E-409C-BE32-E72D297353CC}">
              <c16:uniqueId val="{00000003-B009-44DB-8D6B-7B084F70A94C}"/>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Portfolio'!$BB$70</c:f>
              <c:strCache>
                <c:ptCount val="1"/>
                <c:pt idx="0">
                  <c:v>Q3</c:v>
                </c:pt>
              </c:strCache>
            </c:strRef>
          </c:tx>
          <c:dPt>
            <c:idx val="0"/>
            <c:bubble3D val="0"/>
            <c:spPr>
              <a:solidFill>
                <a:srgbClr val="92D050"/>
              </a:solidFill>
            </c:spPr>
            <c:extLst>
              <c:ext xmlns:c16="http://schemas.microsoft.com/office/drawing/2014/chart" uri="{C3380CC4-5D6E-409C-BE32-E72D297353CC}">
                <c16:uniqueId val="{00000000-8324-40E8-AEBE-C378BF949D0A}"/>
              </c:ext>
            </c:extLst>
          </c:dPt>
          <c:dPt>
            <c:idx val="1"/>
            <c:bubble3D val="0"/>
            <c:spPr>
              <a:solidFill>
                <a:srgbClr val="FFC000"/>
              </a:solidFill>
            </c:spPr>
            <c:extLst>
              <c:ext xmlns:c16="http://schemas.microsoft.com/office/drawing/2014/chart" uri="{C3380CC4-5D6E-409C-BE32-E72D297353CC}">
                <c16:uniqueId val="{00000001-8324-40E8-AEBE-C378BF949D0A}"/>
              </c:ext>
            </c:extLst>
          </c:dPt>
          <c:dPt>
            <c:idx val="2"/>
            <c:bubble3D val="0"/>
            <c:spPr>
              <a:solidFill>
                <a:srgbClr val="FF0000"/>
              </a:solidFill>
            </c:spPr>
            <c:extLst>
              <c:ext xmlns:c16="http://schemas.microsoft.com/office/drawing/2014/chart" uri="{C3380CC4-5D6E-409C-BE32-E72D297353CC}">
                <c16:uniqueId val="{00000002-8324-40E8-AEBE-C378BF949D0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Portfolio'!$BB$71:$BB$73</c:f>
              <c:numCache>
                <c:formatCode>0.00%</c:formatCode>
                <c:ptCount val="3"/>
                <c:pt idx="0">
                  <c:v>0</c:v>
                </c:pt>
                <c:pt idx="1">
                  <c:v>0</c:v>
                </c:pt>
                <c:pt idx="2">
                  <c:v>0</c:v>
                </c:pt>
              </c:numCache>
            </c:numRef>
          </c:val>
          <c:extLst>
            <c:ext xmlns:c16="http://schemas.microsoft.com/office/drawing/2014/chart" uri="{C3380CC4-5D6E-409C-BE32-E72D297353CC}">
              <c16:uniqueId val="{00000003-8324-40E8-AEBE-C378BF949D0A}"/>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Regeneration and Development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Portfolio'!$BC$70</c:f>
              <c:strCache>
                <c:ptCount val="1"/>
                <c:pt idx="0">
                  <c:v>Q4</c:v>
                </c:pt>
              </c:strCache>
            </c:strRef>
          </c:tx>
          <c:dPt>
            <c:idx val="0"/>
            <c:bubble3D val="0"/>
            <c:spPr>
              <a:solidFill>
                <a:srgbClr val="92D050"/>
              </a:solidFill>
            </c:spPr>
            <c:extLst>
              <c:ext xmlns:c16="http://schemas.microsoft.com/office/drawing/2014/chart" uri="{C3380CC4-5D6E-409C-BE32-E72D297353CC}">
                <c16:uniqueId val="{00000000-ECD8-4549-A281-844D2CE821B1}"/>
              </c:ext>
            </c:extLst>
          </c:dPt>
          <c:dPt>
            <c:idx val="1"/>
            <c:bubble3D val="0"/>
            <c:spPr>
              <a:solidFill>
                <a:srgbClr val="FFC000"/>
              </a:solidFill>
            </c:spPr>
            <c:extLst>
              <c:ext xmlns:c16="http://schemas.microsoft.com/office/drawing/2014/chart" uri="{C3380CC4-5D6E-409C-BE32-E72D297353CC}">
                <c16:uniqueId val="{00000001-ECD8-4549-A281-844D2CE821B1}"/>
              </c:ext>
            </c:extLst>
          </c:dPt>
          <c:dPt>
            <c:idx val="2"/>
            <c:bubble3D val="0"/>
            <c:spPr>
              <a:solidFill>
                <a:srgbClr val="FF0000"/>
              </a:solidFill>
            </c:spPr>
            <c:extLst>
              <c:ext xmlns:c16="http://schemas.microsoft.com/office/drawing/2014/chart" uri="{C3380CC4-5D6E-409C-BE32-E72D297353CC}">
                <c16:uniqueId val="{00000002-ECD8-4549-A281-844D2CE821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Portfolio'!$AY$71:$AY$73</c:f>
              <c:strCache>
                <c:ptCount val="3"/>
                <c:pt idx="0">
                  <c:v>Green</c:v>
                </c:pt>
                <c:pt idx="1">
                  <c:v>Amber</c:v>
                </c:pt>
                <c:pt idx="2">
                  <c:v>Red</c:v>
                </c:pt>
              </c:strCache>
            </c:strRef>
          </c:cat>
          <c:val>
            <c:numRef>
              <c:f>'3b. Charts by Portfolio'!$BC$71:$BC$73</c:f>
              <c:numCache>
                <c:formatCode>0.00%</c:formatCode>
                <c:ptCount val="3"/>
                <c:pt idx="0">
                  <c:v>0</c:v>
                </c:pt>
                <c:pt idx="1">
                  <c:v>0</c:v>
                </c:pt>
                <c:pt idx="2">
                  <c:v>0</c:v>
                </c:pt>
              </c:numCache>
            </c:numRef>
          </c:val>
          <c:extLst>
            <c:ext xmlns:c16="http://schemas.microsoft.com/office/drawing/2014/chart" uri="{C3380CC4-5D6E-409C-BE32-E72D297353CC}">
              <c16:uniqueId val="{00000003-ECD8-4549-A281-844D2CE821B1}"/>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200" u="sng">
                <a:latin typeface="Arial" pitchFamily="34" charset="0"/>
                <a:cs typeface="Arial" pitchFamily="34" charset="0"/>
              </a:rPr>
              <a:t>Tourism and Cultural Development</a:t>
            </a:r>
          </a:p>
          <a:p>
            <a:pPr>
              <a:defRPr lang="en-US"/>
            </a:pPr>
            <a:r>
              <a:rPr lang="en-GB" sz="1100" b="1" i="0" baseline="0">
                <a:latin typeface="Arial" pitchFamily="34" charset="0"/>
                <a:cs typeface="Arial" pitchFamily="34" charset="0"/>
              </a:rPr>
              <a:t>% of indicators for this portfolio that are Red, Amber or Green </a:t>
            </a:r>
          </a:p>
        </c:rich>
      </c:tx>
      <c:overlay val="0"/>
    </c:title>
    <c:autoTitleDeleted val="0"/>
    <c:plotArea>
      <c:layout/>
      <c:lineChart>
        <c:grouping val="standard"/>
        <c:varyColors val="0"/>
        <c:ser>
          <c:idx val="0"/>
          <c:order val="0"/>
          <c:tx>
            <c:strRef>
              <c:f>'3b. Charts by Portfolio'!$AY$87</c:f>
              <c:strCache>
                <c:ptCount val="1"/>
                <c:pt idx="0">
                  <c:v>Green</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Portfolio'!$AZ$87:$BC$87</c:f>
              <c:numCache>
                <c:formatCode>0.00%</c:formatCode>
                <c:ptCount val="4"/>
                <c:pt idx="0">
                  <c:v>0.92857142857142849</c:v>
                </c:pt>
                <c:pt idx="1">
                  <c:v>0</c:v>
                </c:pt>
                <c:pt idx="2">
                  <c:v>0</c:v>
                </c:pt>
                <c:pt idx="3">
                  <c:v>0</c:v>
                </c:pt>
              </c:numCache>
            </c:numRef>
          </c:val>
          <c:smooth val="0"/>
          <c:extLst>
            <c:ext xmlns:c16="http://schemas.microsoft.com/office/drawing/2014/chart" uri="{C3380CC4-5D6E-409C-BE32-E72D297353CC}">
              <c16:uniqueId val="{00000002-8247-40C9-A0BA-4E3E90F6C197}"/>
            </c:ext>
          </c:extLst>
        </c:ser>
        <c:ser>
          <c:idx val="1"/>
          <c:order val="1"/>
          <c:tx>
            <c:strRef>
              <c:f>'3b. Charts by Portfolio'!$AY$88</c:f>
              <c:strCache>
                <c:ptCount val="1"/>
                <c:pt idx="0">
                  <c:v>Amber</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Portfolio'!$AZ$88:$BC$88</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7-8247-40C9-A0BA-4E3E90F6C197}"/>
            </c:ext>
          </c:extLst>
        </c:ser>
        <c:ser>
          <c:idx val="2"/>
          <c:order val="2"/>
          <c:tx>
            <c:strRef>
              <c:f>'3b. Charts by Portfolio'!$AY$89</c:f>
              <c:strCache>
                <c:ptCount val="1"/>
                <c:pt idx="0">
                  <c:v>Red</c:v>
                </c:pt>
              </c:strCache>
            </c:strRef>
          </c:tx>
          <c:marker>
            <c:symbol val="none"/>
          </c:marker>
          <c:dLbls>
            <c:spPr>
              <a:noFill/>
              <a:ln>
                <a:noFill/>
              </a:ln>
              <a:effectLst/>
            </c:spPr>
            <c:txPr>
              <a:bodyPr/>
              <a:lstStyle/>
              <a:p>
                <a:pPr>
                  <a:defRPr lang="en-US"/>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'3b. Charts by Portfolio'!$AZ$86:$BC$86</c:f>
              <c:strCache>
                <c:ptCount val="4"/>
                <c:pt idx="0">
                  <c:v>Q1</c:v>
                </c:pt>
                <c:pt idx="1">
                  <c:v>Q2</c:v>
                </c:pt>
                <c:pt idx="2">
                  <c:v>Q3</c:v>
                </c:pt>
                <c:pt idx="3">
                  <c:v>Q4</c:v>
                </c:pt>
              </c:strCache>
            </c:strRef>
          </c:cat>
          <c:val>
            <c:numRef>
              <c:f>'3b. Charts by Portfolio'!$AZ$89:$BC$89</c:f>
              <c:numCache>
                <c:formatCode>0.00%</c:formatCode>
                <c:ptCount val="4"/>
                <c:pt idx="0">
                  <c:v>7.1428571428571425E-2</c:v>
                </c:pt>
                <c:pt idx="1">
                  <c:v>0</c:v>
                </c:pt>
                <c:pt idx="2">
                  <c:v>0</c:v>
                </c:pt>
                <c:pt idx="3">
                  <c:v>0</c:v>
                </c:pt>
              </c:numCache>
            </c:numRef>
          </c:val>
          <c:smooth val="0"/>
          <c:extLst>
            <c:ext xmlns:c16="http://schemas.microsoft.com/office/drawing/2014/chart" uri="{C3380CC4-5D6E-409C-BE32-E72D297353CC}">
              <c16:uniqueId val="{0000000B-8247-40C9-A0BA-4E3E90F6C197}"/>
            </c:ext>
          </c:extLst>
        </c:ser>
        <c:dLbls>
          <c:showLegendKey val="0"/>
          <c:showVal val="1"/>
          <c:showCatName val="0"/>
          <c:showSerName val="0"/>
          <c:showPercent val="0"/>
          <c:showBubbleSize val="0"/>
        </c:dLbls>
        <c:smooth val="0"/>
        <c:axId val="358631976"/>
        <c:axId val="358633936"/>
      </c:lineChart>
      <c:catAx>
        <c:axId val="358631976"/>
        <c:scaling>
          <c:orientation val="minMax"/>
        </c:scaling>
        <c:delete val="0"/>
        <c:axPos val="b"/>
        <c:numFmt formatCode="General" sourceLinked="0"/>
        <c:majorTickMark val="out"/>
        <c:minorTickMark val="none"/>
        <c:tickLblPos val="nextTo"/>
        <c:txPr>
          <a:bodyPr/>
          <a:lstStyle/>
          <a:p>
            <a:pPr>
              <a:defRPr lang="en-US"/>
            </a:pPr>
            <a:endParaRPr lang="en-US"/>
          </a:p>
        </c:txPr>
        <c:crossAx val="358633936"/>
        <c:crosses val="autoZero"/>
        <c:auto val="1"/>
        <c:lblAlgn val="ctr"/>
        <c:lblOffset val="100"/>
        <c:noMultiLvlLbl val="0"/>
      </c:catAx>
      <c:valAx>
        <c:axId val="358633936"/>
        <c:scaling>
          <c:orientation val="minMax"/>
        </c:scaling>
        <c:delete val="0"/>
        <c:axPos val="l"/>
        <c:majorGridlines/>
        <c:numFmt formatCode="0.00%" sourceLinked="1"/>
        <c:majorTickMark val="out"/>
        <c:minorTickMark val="none"/>
        <c:tickLblPos val="nextTo"/>
        <c:txPr>
          <a:bodyPr/>
          <a:lstStyle/>
          <a:p>
            <a:pPr>
              <a:defRPr lang="en-US"/>
            </a:pPr>
            <a:endParaRPr lang="en-US"/>
          </a:p>
        </c:txPr>
        <c:crossAx val="358631976"/>
        <c:crosses val="autoZero"/>
        <c:crossBetween val="between"/>
      </c:valAx>
      <c:spPr>
        <a:noFill/>
      </c:spPr>
    </c:plotArea>
    <c:plotVisOnly val="1"/>
    <c:dispBlanksAs val="gap"/>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GB" sz="1800" b="1" i="0" u="sng" baseline="0">
                <a:effectLst/>
              </a:rPr>
              <a:t>Tourism and Cultural Development</a:t>
            </a:r>
            <a:endParaRPr lang="en-GB">
              <a:effectLst/>
            </a:endParaRPr>
          </a:p>
          <a:p>
            <a:pPr>
              <a:defRPr lang="en-US"/>
            </a:pPr>
            <a:r>
              <a:rPr lang="en-US" baseline="0"/>
              <a:t>- </a:t>
            </a:r>
            <a:r>
              <a:rPr lang="en-US"/>
              <a:t>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Portfolio'!$AZ$86</c:f>
              <c:strCache>
                <c:ptCount val="1"/>
                <c:pt idx="0">
                  <c:v>Q1</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Portfolio'!$AZ$87:$AZ$89</c:f>
              <c:numCache>
                <c:formatCode>0.00%</c:formatCode>
                <c:ptCount val="3"/>
                <c:pt idx="0">
                  <c:v>0.92857142857142849</c:v>
                </c:pt>
                <c:pt idx="1">
                  <c:v>0</c:v>
                </c:pt>
                <c:pt idx="2">
                  <c:v>7.1428571428571425E-2</c:v>
                </c:pt>
              </c:numCache>
            </c:numRef>
          </c:val>
          <c:extLst>
            <c:ext xmlns:c16="http://schemas.microsoft.com/office/drawing/2014/chart" uri="{C3380CC4-5D6E-409C-BE32-E72D297353CC}">
              <c16:uniqueId val="{00000006-604B-49FA-AE84-9D9B6FBC40AF}"/>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Portfolio'!$BA$86</c:f>
              <c:strCache>
                <c:ptCount val="1"/>
                <c:pt idx="0">
                  <c:v>Q2</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Portfolio'!$BA$87:$BA$89</c:f>
              <c:numCache>
                <c:formatCode>0.00%</c:formatCode>
                <c:ptCount val="3"/>
                <c:pt idx="0">
                  <c:v>0</c:v>
                </c:pt>
                <c:pt idx="1">
                  <c:v>0</c:v>
                </c:pt>
                <c:pt idx="2">
                  <c:v>0</c:v>
                </c:pt>
              </c:numCache>
            </c:numRef>
          </c:val>
          <c:extLst>
            <c:ext xmlns:c16="http://schemas.microsoft.com/office/drawing/2014/chart" uri="{C3380CC4-5D6E-409C-BE32-E72D297353CC}">
              <c16:uniqueId val="{00000006-0894-4CAA-91CB-5A922F916EAB}"/>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Quarter 3</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Portfolio'!$BB$86</c:f>
              <c:strCache>
                <c:ptCount val="1"/>
                <c:pt idx="0">
                  <c:v>Q3</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Portfolio'!$BB$87:$BB$89</c:f>
              <c:numCache>
                <c:formatCode>0.00%</c:formatCode>
                <c:ptCount val="3"/>
                <c:pt idx="0">
                  <c:v>0</c:v>
                </c:pt>
                <c:pt idx="1">
                  <c:v>0</c:v>
                </c:pt>
                <c:pt idx="2">
                  <c:v>0</c:v>
                </c:pt>
              </c:numCache>
            </c:numRef>
          </c:val>
          <c:extLst>
            <c:ext xmlns:c16="http://schemas.microsoft.com/office/drawing/2014/chart" uri="{C3380CC4-5D6E-409C-BE32-E72D297353CC}">
              <c16:uniqueId val="{00000006-01FE-4390-9DD7-EEC751DF31A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Improving Local Democracy-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96B7-4A38-A51C-3A27625D9AE4}"/>
              </c:ext>
            </c:extLst>
          </c:dPt>
          <c:dPt>
            <c:idx val="1"/>
            <c:bubble3D val="0"/>
            <c:spPr>
              <a:solidFill>
                <a:srgbClr val="FFC000"/>
              </a:solidFill>
            </c:spPr>
            <c:extLst>
              <c:ext xmlns:c16="http://schemas.microsoft.com/office/drawing/2014/chart" uri="{C3380CC4-5D6E-409C-BE32-E72D297353CC}">
                <c16:uniqueId val="{00000001-96B7-4A38-A51C-3A27625D9AE4}"/>
              </c:ext>
            </c:extLst>
          </c:dPt>
          <c:dPt>
            <c:idx val="2"/>
            <c:bubble3D val="0"/>
            <c:spPr>
              <a:solidFill>
                <a:srgbClr val="FF0000"/>
              </a:solidFill>
            </c:spPr>
            <c:extLst>
              <c:ext xmlns:c16="http://schemas.microsoft.com/office/drawing/2014/chart" uri="{C3380CC4-5D6E-409C-BE32-E72D297353CC}">
                <c16:uniqueId val="{00000002-96B7-4A38-A51C-3A27625D9AE4}"/>
              </c:ext>
            </c:extLst>
          </c:dPt>
          <c:cat>
            <c:strRef>
              <c:f>'2b. Charts by Priority'!$AY$23:$AY$25</c:f>
              <c:strCache>
                <c:ptCount val="3"/>
                <c:pt idx="0">
                  <c:v>Green</c:v>
                </c:pt>
                <c:pt idx="1">
                  <c:v>Amber</c:v>
                </c:pt>
                <c:pt idx="2">
                  <c:v>Red</c:v>
                </c:pt>
              </c:strCache>
            </c:strRef>
          </c:cat>
          <c:val>
            <c:numRef>
              <c:f>'2b. Charts by Priority'!$AZ$23:$AZ$25</c:f>
              <c:numCache>
                <c:formatCode>0.00%</c:formatCode>
                <c:ptCount val="3"/>
                <c:pt idx="0">
                  <c:v>0.84615384615384615</c:v>
                </c:pt>
                <c:pt idx="1">
                  <c:v>0</c:v>
                </c:pt>
                <c:pt idx="2">
                  <c:v>0.15384615384615385</c:v>
                </c:pt>
              </c:numCache>
            </c:numRef>
          </c:val>
          <c:extLst>
            <c:ext xmlns:c16="http://schemas.microsoft.com/office/drawing/2014/chart" uri="{C3380CC4-5D6E-409C-BE32-E72D297353CC}">
              <c16:uniqueId val="{00000003-96B7-4A38-A51C-3A27625D9AE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GB" sz="1800" b="1" i="0" u="sng" baseline="0">
                <a:effectLst/>
              </a:rPr>
              <a:t>Tourism and Cultural Development</a:t>
            </a:r>
            <a:endParaRPr lang="en-GB">
              <a:effectLst/>
            </a:endParaRPr>
          </a:p>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sz="1800" b="1" i="0" baseline="0"/>
              <a:t>- End of Year</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'3b. Charts by Portfolio'!$BC$86</c:f>
              <c:strCache>
                <c:ptCount val="1"/>
                <c:pt idx="0">
                  <c:v>Q4</c:v>
                </c:pt>
              </c:strCache>
            </c:strRef>
          </c:tx>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'3b. Charts by Portfolio'!$AY$87:$AY$89</c:f>
              <c:strCache>
                <c:ptCount val="3"/>
                <c:pt idx="0">
                  <c:v>Green</c:v>
                </c:pt>
                <c:pt idx="1">
                  <c:v>Amber</c:v>
                </c:pt>
                <c:pt idx="2">
                  <c:v>Red</c:v>
                </c:pt>
              </c:strCache>
            </c:strRef>
          </c:cat>
          <c:val>
            <c:numRef>
              <c:f>'3b. Charts by Portfolio'!$BC$87:$BC$89</c:f>
              <c:numCache>
                <c:formatCode>0.00%</c:formatCode>
                <c:ptCount val="3"/>
                <c:pt idx="0">
                  <c:v>0</c:v>
                </c:pt>
                <c:pt idx="1">
                  <c:v>0</c:v>
                </c:pt>
                <c:pt idx="2">
                  <c:v>0</c:v>
                </c:pt>
              </c:numCache>
            </c:numRef>
          </c:val>
          <c:extLst>
            <c:ext xmlns:c16="http://schemas.microsoft.com/office/drawing/2014/chart" uri="{C3380CC4-5D6E-409C-BE32-E72D297353CC}">
              <c16:uniqueId val="{00000006-10A0-4B04-BEF0-D1A127628F32}"/>
            </c:ext>
          </c:extLst>
        </c:ser>
        <c:dLbls>
          <c:showLegendKey val="0"/>
          <c:showVal val="1"/>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Creating</a:t>
            </a:r>
            <a:r>
              <a:rPr lang="en-US" baseline="0"/>
              <a:t> a prosperous East Staffordshire </a:t>
            </a:r>
            <a:r>
              <a:rPr lang="en-US"/>
              <a:t>- Quarter 1</a:t>
            </a:r>
          </a:p>
        </c:rich>
      </c:tx>
      <c:overlay val="0"/>
      <c:spPr>
        <a:solidFill>
          <a:schemeClr val="bg1"/>
        </a:solidFill>
      </c:spPr>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8333-4466-970B-BC246C30874E}"/>
              </c:ext>
            </c:extLst>
          </c:dPt>
          <c:dPt>
            <c:idx val="1"/>
            <c:bubble3D val="0"/>
            <c:spPr>
              <a:solidFill>
                <a:srgbClr val="FFC000"/>
              </a:solidFill>
            </c:spPr>
            <c:extLst>
              <c:ext xmlns:c16="http://schemas.microsoft.com/office/drawing/2014/chart" uri="{C3380CC4-5D6E-409C-BE32-E72D297353CC}">
                <c16:uniqueId val="{00000001-8333-4466-970B-BC246C30874E}"/>
              </c:ext>
            </c:extLst>
          </c:dPt>
          <c:dPt>
            <c:idx val="2"/>
            <c:bubble3D val="0"/>
            <c:spPr>
              <a:solidFill>
                <a:srgbClr val="FF0000"/>
              </a:solidFill>
            </c:spPr>
            <c:extLst>
              <c:ext xmlns:c16="http://schemas.microsoft.com/office/drawing/2014/chart" uri="{C3380CC4-5D6E-409C-BE32-E72D297353CC}">
                <c16:uniqueId val="{00000002-8333-4466-970B-BC246C30874E}"/>
              </c:ext>
            </c:extLst>
          </c:dPt>
          <c:cat>
            <c:strRef>
              <c:f>'2b. Charts by Priority'!$AY$39:$AY$41</c:f>
              <c:strCache>
                <c:ptCount val="3"/>
                <c:pt idx="0">
                  <c:v>Green</c:v>
                </c:pt>
                <c:pt idx="1">
                  <c:v>Amber</c:v>
                </c:pt>
                <c:pt idx="2">
                  <c:v>Red</c:v>
                </c:pt>
              </c:strCache>
            </c:strRef>
          </c:cat>
          <c:val>
            <c:numRef>
              <c:f>'2b. Charts by Priority'!$AZ$39:$AZ$41</c:f>
              <c:numCache>
                <c:formatCode>0.00%</c:formatCode>
                <c:ptCount val="3"/>
                <c:pt idx="0">
                  <c:v>0.94444444444444442</c:v>
                </c:pt>
                <c:pt idx="1">
                  <c:v>5.5555555555555552E-2</c:v>
                </c:pt>
                <c:pt idx="2">
                  <c:v>0</c:v>
                </c:pt>
              </c:numCache>
            </c:numRef>
          </c:val>
          <c:extLst>
            <c:ext xmlns:c16="http://schemas.microsoft.com/office/drawing/2014/chart" uri="{C3380CC4-5D6E-409C-BE32-E72D297353CC}">
              <c16:uniqueId val="{00000003-8333-4466-970B-BC246C30874E}"/>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a:t>Developing a Green New Deal - Quarter 1</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F00D-4878-9064-9C519C9A2924}"/>
              </c:ext>
            </c:extLst>
          </c:dPt>
          <c:dPt>
            <c:idx val="1"/>
            <c:bubble3D val="0"/>
            <c:spPr>
              <a:solidFill>
                <a:srgbClr val="FFC000"/>
              </a:solidFill>
            </c:spPr>
            <c:extLst>
              <c:ext xmlns:c16="http://schemas.microsoft.com/office/drawing/2014/chart" uri="{C3380CC4-5D6E-409C-BE32-E72D297353CC}">
                <c16:uniqueId val="{00000001-F00D-4878-9064-9C519C9A2924}"/>
              </c:ext>
            </c:extLst>
          </c:dPt>
          <c:dPt>
            <c:idx val="2"/>
            <c:bubble3D val="0"/>
            <c:spPr>
              <a:solidFill>
                <a:srgbClr val="FF0000"/>
              </a:solidFill>
            </c:spPr>
            <c:extLst>
              <c:ext xmlns:c16="http://schemas.microsoft.com/office/drawing/2014/chart" uri="{C3380CC4-5D6E-409C-BE32-E72D297353CC}">
                <c16:uniqueId val="{00000002-F00D-4878-9064-9C519C9A2924}"/>
              </c:ext>
            </c:extLst>
          </c:dPt>
          <c:cat>
            <c:strRef>
              <c:f>'2b. Charts by Priority'!$AY$55:$AY$57</c:f>
              <c:strCache>
                <c:ptCount val="3"/>
                <c:pt idx="0">
                  <c:v>Green</c:v>
                </c:pt>
                <c:pt idx="1">
                  <c:v>Amber</c:v>
                </c:pt>
                <c:pt idx="2">
                  <c:v>Red</c:v>
                </c:pt>
              </c:strCache>
            </c:strRef>
          </c:cat>
          <c:val>
            <c:numRef>
              <c:f>'2b. Charts by Priority'!$AZ$55:$AZ$57</c:f>
              <c:numCache>
                <c:formatCode>0.00%</c:formatCode>
                <c:ptCount val="3"/>
                <c:pt idx="0">
                  <c:v>1</c:v>
                </c:pt>
                <c:pt idx="1">
                  <c:v>0</c:v>
                </c:pt>
                <c:pt idx="2">
                  <c:v>0</c:v>
                </c:pt>
              </c:numCache>
            </c:numRef>
          </c:val>
          <c:extLst>
            <c:ext xmlns:c16="http://schemas.microsoft.com/office/drawing/2014/chart" uri="{C3380CC4-5D6E-409C-BE32-E72D297353CC}">
              <c16:uniqueId val="{00000003-F00D-4878-9064-9C519C9A2924}"/>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a:pPr>
            <a:r>
              <a:rPr lang="en-US" sz="1800" b="1" i="0" baseline="0"/>
              <a:t>ALL TARGETS</a:t>
            </a:r>
            <a:endParaRPr lang="en-GB"/>
          </a:p>
          <a:p>
            <a:pPr>
              <a:defRPr lang="en-US"/>
            </a:pPr>
            <a:r>
              <a:rPr lang="en-US" sz="1800" b="1" i="0" baseline="0"/>
              <a:t>- Quarter 2</a:t>
            </a:r>
            <a:endParaRPr lang="en-GB"/>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spPr>
              <a:solidFill>
                <a:srgbClr val="92D050"/>
              </a:solidFill>
            </c:spPr>
            <c:extLst>
              <c:ext xmlns:c16="http://schemas.microsoft.com/office/drawing/2014/chart" uri="{C3380CC4-5D6E-409C-BE32-E72D297353CC}">
                <c16:uniqueId val="{00000000-5191-4694-B510-D0DD546A4D52}"/>
              </c:ext>
            </c:extLst>
          </c:dPt>
          <c:dPt>
            <c:idx val="1"/>
            <c:bubble3D val="0"/>
            <c:spPr>
              <a:solidFill>
                <a:srgbClr val="FFC000"/>
              </a:solidFill>
            </c:spPr>
            <c:extLst>
              <c:ext xmlns:c16="http://schemas.microsoft.com/office/drawing/2014/chart" uri="{C3380CC4-5D6E-409C-BE32-E72D297353CC}">
                <c16:uniqueId val="{00000001-5191-4694-B510-D0DD546A4D52}"/>
              </c:ext>
            </c:extLst>
          </c:dPt>
          <c:dPt>
            <c:idx val="2"/>
            <c:bubble3D val="0"/>
            <c:spPr>
              <a:solidFill>
                <a:srgbClr val="FF0000"/>
              </a:solidFill>
            </c:spPr>
            <c:extLst>
              <c:ext xmlns:c16="http://schemas.microsoft.com/office/drawing/2014/chart" uri="{C3380CC4-5D6E-409C-BE32-E72D297353CC}">
                <c16:uniqueId val="{00000002-5191-4694-B510-D0DD546A4D52}"/>
              </c:ext>
            </c:extLst>
          </c:dPt>
          <c:cat>
            <c:strRef>
              <c:f>'2b. Charts by Priority'!$AY$7:$AY$9</c:f>
              <c:strCache>
                <c:ptCount val="3"/>
                <c:pt idx="0">
                  <c:v>Green</c:v>
                </c:pt>
                <c:pt idx="1">
                  <c:v>Amber</c:v>
                </c:pt>
                <c:pt idx="2">
                  <c:v>Red</c:v>
                </c:pt>
              </c:strCache>
            </c:strRef>
          </c:cat>
          <c:val>
            <c:numRef>
              <c:f>'2b. Charts by Priority'!$BA$7:$BA$9</c:f>
              <c:numCache>
                <c:formatCode>0.00%</c:formatCode>
                <c:ptCount val="3"/>
                <c:pt idx="0">
                  <c:v>0</c:v>
                </c:pt>
                <c:pt idx="1">
                  <c:v>0</c:v>
                </c:pt>
                <c:pt idx="2">
                  <c:v>0</c:v>
                </c:pt>
              </c:numCache>
            </c:numRef>
          </c:val>
          <c:extLst>
            <c:ext xmlns:c16="http://schemas.microsoft.com/office/drawing/2014/chart" uri="{C3380CC4-5D6E-409C-BE32-E72D297353CC}">
              <c16:uniqueId val="{00000003-5191-4694-B510-D0DD546A4D52}"/>
            </c:ext>
          </c:extLst>
        </c:ser>
        <c:dLbls>
          <c:showLegendKey val="0"/>
          <c:showVal val="0"/>
          <c:showCatName val="0"/>
          <c:showSerName val="0"/>
          <c:showPercent val="0"/>
          <c:showBubbleSize val="0"/>
          <c:showLeaderLines val="0"/>
        </c:dLbls>
      </c:pie3DChart>
    </c:plotArea>
    <c:plotVisOnly val="1"/>
    <c:dispBlanksAs val="zero"/>
    <c:showDLblsOverMax val="0"/>
  </c:chart>
  <c:spPr>
    <a:solidFill>
      <a:schemeClr val="bg1"/>
    </a:soli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txPr>
    <a:bodyPr/>
    <a:lstStyle/>
    <a:p>
      <a:pPr>
        <a:defRPr>
          <a:solidFill>
            <a:schemeClr val="dk1"/>
          </a:solidFill>
          <a:latin typeface="+mn-lt"/>
          <a:ea typeface="+mn-ea"/>
          <a:cs typeface="+mn-cs"/>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8.xml"/><Relationship Id="rId13" Type="http://schemas.openxmlformats.org/officeDocument/2006/relationships/chart" Target="../charts/chart43.xml"/><Relationship Id="rId18" Type="http://schemas.openxmlformats.org/officeDocument/2006/relationships/chart" Target="../charts/chart48.xml"/><Relationship Id="rId26" Type="http://schemas.openxmlformats.org/officeDocument/2006/relationships/chart" Target="../charts/chart56.xml"/><Relationship Id="rId3" Type="http://schemas.openxmlformats.org/officeDocument/2006/relationships/chart" Target="../charts/chart33.xml"/><Relationship Id="rId21" Type="http://schemas.openxmlformats.org/officeDocument/2006/relationships/chart" Target="../charts/chart51.xml"/><Relationship Id="rId7" Type="http://schemas.openxmlformats.org/officeDocument/2006/relationships/chart" Target="../charts/chart37.xml"/><Relationship Id="rId12" Type="http://schemas.openxmlformats.org/officeDocument/2006/relationships/chart" Target="../charts/chart42.xml"/><Relationship Id="rId17" Type="http://schemas.openxmlformats.org/officeDocument/2006/relationships/chart" Target="../charts/chart47.xml"/><Relationship Id="rId25" Type="http://schemas.openxmlformats.org/officeDocument/2006/relationships/chart" Target="../charts/chart55.xml"/><Relationship Id="rId2" Type="http://schemas.openxmlformats.org/officeDocument/2006/relationships/chart" Target="../charts/chart32.xml"/><Relationship Id="rId16" Type="http://schemas.openxmlformats.org/officeDocument/2006/relationships/chart" Target="../charts/chart46.xml"/><Relationship Id="rId20" Type="http://schemas.openxmlformats.org/officeDocument/2006/relationships/chart" Target="../charts/chart50.xml"/><Relationship Id="rId29" Type="http://schemas.openxmlformats.org/officeDocument/2006/relationships/chart" Target="../charts/chart59.xml"/><Relationship Id="rId1" Type="http://schemas.openxmlformats.org/officeDocument/2006/relationships/chart" Target="../charts/chart31.xml"/><Relationship Id="rId6" Type="http://schemas.openxmlformats.org/officeDocument/2006/relationships/chart" Target="../charts/chart36.xml"/><Relationship Id="rId11" Type="http://schemas.openxmlformats.org/officeDocument/2006/relationships/chart" Target="../charts/chart41.xml"/><Relationship Id="rId24" Type="http://schemas.openxmlformats.org/officeDocument/2006/relationships/chart" Target="../charts/chart54.xml"/><Relationship Id="rId5" Type="http://schemas.openxmlformats.org/officeDocument/2006/relationships/chart" Target="../charts/chart35.xml"/><Relationship Id="rId15" Type="http://schemas.openxmlformats.org/officeDocument/2006/relationships/chart" Target="../charts/chart45.xml"/><Relationship Id="rId23" Type="http://schemas.openxmlformats.org/officeDocument/2006/relationships/chart" Target="../charts/chart53.xml"/><Relationship Id="rId28" Type="http://schemas.openxmlformats.org/officeDocument/2006/relationships/chart" Target="../charts/chart58.xml"/><Relationship Id="rId10" Type="http://schemas.openxmlformats.org/officeDocument/2006/relationships/chart" Target="../charts/chart40.xml"/><Relationship Id="rId19" Type="http://schemas.openxmlformats.org/officeDocument/2006/relationships/chart" Target="../charts/chart49.xml"/><Relationship Id="rId4" Type="http://schemas.openxmlformats.org/officeDocument/2006/relationships/chart" Target="../charts/chart34.xml"/><Relationship Id="rId9" Type="http://schemas.openxmlformats.org/officeDocument/2006/relationships/chart" Target="../charts/chart39.xml"/><Relationship Id="rId14" Type="http://schemas.openxmlformats.org/officeDocument/2006/relationships/chart" Target="../charts/chart44.xml"/><Relationship Id="rId22" Type="http://schemas.openxmlformats.org/officeDocument/2006/relationships/chart" Target="../charts/chart52.xml"/><Relationship Id="rId27" Type="http://schemas.openxmlformats.org/officeDocument/2006/relationships/chart" Target="../charts/chart57.xml"/><Relationship Id="rId30" Type="http://schemas.openxmlformats.org/officeDocument/2006/relationships/chart" Target="../charts/chart60.xml"/></Relationships>
</file>

<file path=xl/drawings/drawing1.xml><?xml version="1.0" encoding="utf-8"?>
<xdr:wsDr xmlns:xdr="http://schemas.openxmlformats.org/drawingml/2006/spreadsheetDrawing" xmlns:a="http://schemas.openxmlformats.org/drawingml/2006/main">
  <xdr:twoCellAnchor editAs="oneCell">
    <xdr:from>
      <xdr:col>0</xdr:col>
      <xdr:colOff>195944</xdr:colOff>
      <xdr:row>0</xdr:row>
      <xdr:rowOff>0</xdr:rowOff>
    </xdr:from>
    <xdr:to>
      <xdr:col>0</xdr:col>
      <xdr:colOff>903515</xdr:colOff>
      <xdr:row>0</xdr:row>
      <xdr:rowOff>396853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944" y="0"/>
          <a:ext cx="707571" cy="396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67</xdr:row>
      <xdr:rowOff>-1</xdr:rowOff>
    </xdr:to>
    <xdr:graphicFrame macro="">
      <xdr:nvGraphicFramePr>
        <xdr:cNvPr id="9" name="Chart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a:extLst>
            <a:ext uri="{FF2B5EF4-FFF2-40B4-BE49-F238E27FC236}">
              <a16:creationId xmlns:a16="http://schemas.microsoft.com/office/drawing/2014/main" id="{00000000-0008-0000-06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40821</xdr:colOff>
      <xdr:row>20</xdr:row>
      <xdr:rowOff>0</xdr:rowOff>
    </xdr:from>
    <xdr:to>
      <xdr:col>36</xdr:col>
      <xdr:colOff>23812</xdr:colOff>
      <xdr:row>34</xdr:row>
      <xdr:rowOff>178594</xdr:rowOff>
    </xdr:to>
    <xdr:graphicFrame macro="">
      <xdr:nvGraphicFramePr>
        <xdr:cNvPr id="16" name="Chart 15">
          <a:extLst>
            <a:ext uri="{FF2B5EF4-FFF2-40B4-BE49-F238E27FC236}">
              <a16:creationId xmlns:a16="http://schemas.microsoft.com/office/drawing/2014/main" id="{00000000-0008-0000-06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a:extLst>
            <a:ext uri="{FF2B5EF4-FFF2-40B4-BE49-F238E27FC236}">
              <a16:creationId xmlns:a16="http://schemas.microsoft.com/office/drawing/2014/main"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a:extLst>
            <a:ext uri="{FF2B5EF4-FFF2-40B4-BE49-F238E27FC236}">
              <a16:creationId xmlns:a16="http://schemas.microsoft.com/office/drawing/2014/main"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173355</xdr:rowOff>
    </xdr:to>
    <xdr:graphicFrame macro="">
      <xdr:nvGraphicFramePr>
        <xdr:cNvPr id="23" name="Chart 22">
          <a:extLst>
            <a:ext uri="{FF2B5EF4-FFF2-40B4-BE49-F238E27FC236}">
              <a16:creationId xmlns:a16="http://schemas.microsoft.com/office/drawing/2014/main" id="{00000000-0008-0000-06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a:extLst>
            <a:ext uri="{FF2B5EF4-FFF2-40B4-BE49-F238E27FC236}">
              <a16:creationId xmlns:a16="http://schemas.microsoft.com/office/drawing/2014/main" id="{00000000-0008-0000-06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a:extLst>
            <a:ext uri="{FF2B5EF4-FFF2-40B4-BE49-F238E27FC236}">
              <a16:creationId xmlns:a16="http://schemas.microsoft.com/office/drawing/2014/main" id="{00000000-0008-0000-06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a:extLst>
            <a:ext uri="{FF2B5EF4-FFF2-40B4-BE49-F238E27FC236}">
              <a16:creationId xmlns:a16="http://schemas.microsoft.com/office/drawing/2014/main" id="{00000000-0008-0000-06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84</xdr:row>
      <xdr:rowOff>0</xdr:rowOff>
    </xdr:from>
    <xdr:to>
      <xdr:col>8</xdr:col>
      <xdr:colOff>600074</xdr:colOff>
      <xdr:row>98</xdr:row>
      <xdr:rowOff>180975</xdr:rowOff>
    </xdr:to>
    <xdr:graphicFrame macro="">
      <xdr:nvGraphicFramePr>
        <xdr:cNvPr id="27" name="Chart 26">
          <a:extLst>
            <a:ext uri="{FF2B5EF4-FFF2-40B4-BE49-F238E27FC236}">
              <a16:creationId xmlns:a16="http://schemas.microsoft.com/office/drawing/2014/main"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84</xdr:row>
      <xdr:rowOff>0</xdr:rowOff>
    </xdr:from>
    <xdr:to>
      <xdr:col>18</xdr:col>
      <xdr:colOff>0</xdr:colOff>
      <xdr:row>98</xdr:row>
      <xdr:rowOff>173355</xdr:rowOff>
    </xdr:to>
    <xdr:graphicFrame macro="">
      <xdr:nvGraphicFramePr>
        <xdr:cNvPr id="28" name="Chart 27">
          <a:extLst>
            <a:ext uri="{FF2B5EF4-FFF2-40B4-BE49-F238E27FC236}">
              <a16:creationId xmlns:a16="http://schemas.microsoft.com/office/drawing/2014/main" id="{00000000-0008-0000-0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0</xdr:colOff>
      <xdr:row>84</xdr:row>
      <xdr:rowOff>0</xdr:rowOff>
    </xdr:from>
    <xdr:to>
      <xdr:col>27</xdr:col>
      <xdr:colOff>0</xdr:colOff>
      <xdr:row>98</xdr:row>
      <xdr:rowOff>180975</xdr:rowOff>
    </xdr:to>
    <xdr:graphicFrame macro="">
      <xdr:nvGraphicFramePr>
        <xdr:cNvPr id="29" name="Chart 28">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28</xdr:col>
      <xdr:colOff>0</xdr:colOff>
      <xdr:row>84</xdr:row>
      <xdr:rowOff>0</xdr:rowOff>
    </xdr:from>
    <xdr:to>
      <xdr:col>36</xdr:col>
      <xdr:colOff>0</xdr:colOff>
      <xdr:row>98</xdr:row>
      <xdr:rowOff>180975</xdr:rowOff>
    </xdr:to>
    <xdr:graphicFrame macro="">
      <xdr:nvGraphicFramePr>
        <xdr:cNvPr id="30" name="Chart 29">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37</xdr:col>
      <xdr:colOff>0</xdr:colOff>
      <xdr:row>84</xdr:row>
      <xdr:rowOff>0</xdr:rowOff>
    </xdr:from>
    <xdr:to>
      <xdr:col>45</xdr:col>
      <xdr:colOff>0</xdr:colOff>
      <xdr:row>98</xdr:row>
      <xdr:rowOff>180975</xdr:rowOff>
    </xdr:to>
    <xdr:graphicFrame macro="">
      <xdr:nvGraphicFramePr>
        <xdr:cNvPr id="31" name="Chart 30">
          <a:extLst>
            <a:ext uri="{FF2B5EF4-FFF2-40B4-BE49-F238E27FC236}">
              <a16:creationId xmlns:a16="http://schemas.microsoft.com/office/drawing/2014/main"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600075</xdr:colOff>
      <xdr:row>19</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20</xdr:row>
      <xdr:rowOff>0</xdr:rowOff>
    </xdr:from>
    <xdr:to>
      <xdr:col>9</xdr:col>
      <xdr:colOff>0</xdr:colOff>
      <xdr:row>35</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35</xdr:row>
      <xdr:rowOff>190499</xdr:rowOff>
    </xdr:from>
    <xdr:to>
      <xdr:col>8</xdr:col>
      <xdr:colOff>600074</xdr:colOff>
      <xdr:row>51</xdr:row>
      <xdr:rowOff>9524</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51</xdr:row>
      <xdr:rowOff>190499</xdr:rowOff>
    </xdr:from>
    <xdr:to>
      <xdr:col>8</xdr:col>
      <xdr:colOff>600074</xdr:colOff>
      <xdr:row>66</xdr:row>
      <xdr:rowOff>180974</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9524</xdr:colOff>
      <xdr:row>4</xdr:row>
      <xdr:rowOff>9525</xdr:rowOff>
    </xdr:from>
    <xdr:to>
      <xdr:col>17</xdr:col>
      <xdr:colOff>609599</xdr:colOff>
      <xdr:row>18</xdr:row>
      <xdr:rowOff>180975</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20</xdr:row>
      <xdr:rowOff>0</xdr:rowOff>
    </xdr:from>
    <xdr:to>
      <xdr:col>17</xdr:col>
      <xdr:colOff>600075</xdr:colOff>
      <xdr:row>35</xdr:row>
      <xdr:rowOff>0</xdr:rowOff>
    </xdr:to>
    <xdr:graphicFrame macro="">
      <xdr:nvGraphicFramePr>
        <xdr:cNvPr id="7" name="Chart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9524</xdr:colOff>
      <xdr:row>36</xdr:row>
      <xdr:rowOff>0</xdr:rowOff>
    </xdr:from>
    <xdr:to>
      <xdr:col>17</xdr:col>
      <xdr:colOff>609599</xdr:colOff>
      <xdr:row>51</xdr:row>
      <xdr:rowOff>0</xdr:rowOff>
    </xdr:to>
    <xdr:graphicFrame macro="">
      <xdr:nvGraphicFramePr>
        <xdr:cNvPr id="8" name="Chart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52</xdr:row>
      <xdr:rowOff>9524</xdr:rowOff>
    </xdr:from>
    <xdr:to>
      <xdr:col>18</xdr:col>
      <xdr:colOff>0</xdr:colOff>
      <xdr:row>66</xdr:row>
      <xdr:rowOff>190499</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9525</xdr:colOff>
      <xdr:row>4</xdr:row>
      <xdr:rowOff>0</xdr:rowOff>
    </xdr:from>
    <xdr:to>
      <xdr:col>26</xdr:col>
      <xdr:colOff>587375</xdr:colOff>
      <xdr:row>19</xdr:row>
      <xdr:rowOff>0</xdr:rowOff>
    </xdr:to>
    <xdr:graphicFrame macro="">
      <xdr:nvGraphicFramePr>
        <xdr:cNvPr id="10" name="Chart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19</xdr:col>
      <xdr:colOff>0</xdr:colOff>
      <xdr:row>20</xdr:row>
      <xdr:rowOff>0</xdr:rowOff>
    </xdr:from>
    <xdr:to>
      <xdr:col>26</xdr:col>
      <xdr:colOff>595312</xdr:colOff>
      <xdr:row>34</xdr:row>
      <xdr:rowOff>178594</xdr:rowOff>
    </xdr:to>
    <xdr:graphicFrame macro="">
      <xdr:nvGraphicFramePr>
        <xdr:cNvPr id="11" name="Chart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0</xdr:colOff>
      <xdr:row>36</xdr:row>
      <xdr:rowOff>23813</xdr:rowOff>
    </xdr:from>
    <xdr:to>
      <xdr:col>26</xdr:col>
      <xdr:colOff>600075</xdr:colOff>
      <xdr:row>51</xdr:row>
      <xdr:rowOff>23813</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0</xdr:colOff>
      <xdr:row>52</xdr:row>
      <xdr:rowOff>0</xdr:rowOff>
    </xdr:from>
    <xdr:to>
      <xdr:col>27</xdr:col>
      <xdr:colOff>0</xdr:colOff>
      <xdr:row>66</xdr:row>
      <xdr:rowOff>180975</xdr:rowOff>
    </xdr:to>
    <xdr:graphicFrame macro="">
      <xdr:nvGraphicFramePr>
        <xdr:cNvPr id="13" name="Chart 12">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28</xdr:col>
      <xdr:colOff>0</xdr:colOff>
      <xdr:row>4</xdr:row>
      <xdr:rowOff>0</xdr:rowOff>
    </xdr:from>
    <xdr:to>
      <xdr:col>35</xdr:col>
      <xdr:colOff>577850</xdr:colOff>
      <xdr:row>19</xdr:row>
      <xdr:rowOff>0</xdr:rowOff>
    </xdr:to>
    <xdr:graphicFrame macro="">
      <xdr:nvGraphicFramePr>
        <xdr:cNvPr id="14" name="Chart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37</xdr:col>
      <xdr:colOff>0</xdr:colOff>
      <xdr:row>4</xdr:row>
      <xdr:rowOff>0</xdr:rowOff>
    </xdr:from>
    <xdr:to>
      <xdr:col>44</xdr:col>
      <xdr:colOff>577849</xdr:colOff>
      <xdr:row>19</xdr:row>
      <xdr:rowOff>0</xdr:rowOff>
    </xdr:to>
    <xdr:graphicFrame macro="">
      <xdr:nvGraphicFramePr>
        <xdr:cNvPr id="15" name="Chart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28</xdr:col>
      <xdr:colOff>0</xdr:colOff>
      <xdr:row>20</xdr:row>
      <xdr:rowOff>0</xdr:rowOff>
    </xdr:from>
    <xdr:to>
      <xdr:col>35</xdr:col>
      <xdr:colOff>595312</xdr:colOff>
      <xdr:row>34</xdr:row>
      <xdr:rowOff>178594</xdr:rowOff>
    </xdr:to>
    <xdr:graphicFrame macro="">
      <xdr:nvGraphicFramePr>
        <xdr:cNvPr id="16" name="Chart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37</xdr:col>
      <xdr:colOff>0</xdr:colOff>
      <xdr:row>20</xdr:row>
      <xdr:rowOff>0</xdr:rowOff>
    </xdr:from>
    <xdr:to>
      <xdr:col>44</xdr:col>
      <xdr:colOff>595311</xdr:colOff>
      <xdr:row>34</xdr:row>
      <xdr:rowOff>178594</xdr:rowOff>
    </xdr:to>
    <xdr:graphicFrame macro="">
      <xdr:nvGraphicFramePr>
        <xdr:cNvPr id="17" name="Chart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28</xdr:col>
      <xdr:colOff>0</xdr:colOff>
      <xdr:row>36</xdr:row>
      <xdr:rowOff>0</xdr:rowOff>
    </xdr:from>
    <xdr:to>
      <xdr:col>35</xdr:col>
      <xdr:colOff>600075</xdr:colOff>
      <xdr:row>51</xdr:row>
      <xdr:rowOff>0</xdr:rowOff>
    </xdr:to>
    <xdr:graphicFrame macro="">
      <xdr:nvGraphicFramePr>
        <xdr:cNvPr id="18" name="Chart 17">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37</xdr:col>
      <xdr:colOff>0</xdr:colOff>
      <xdr:row>36</xdr:row>
      <xdr:rowOff>0</xdr:rowOff>
    </xdr:from>
    <xdr:to>
      <xdr:col>44</xdr:col>
      <xdr:colOff>600074</xdr:colOff>
      <xdr:row>51</xdr:row>
      <xdr:rowOff>0</xdr:rowOff>
    </xdr:to>
    <xdr:graphicFrame macro="">
      <xdr:nvGraphicFramePr>
        <xdr:cNvPr id="19" name="Chart 18">
          <a:extLst>
            <a:ext uri="{FF2B5EF4-FFF2-40B4-BE49-F238E27FC236}">
              <a16:creationId xmlns:a16="http://schemas.microsoft.com/office/drawing/2014/main" id="{00000000-0008-0000-08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28</xdr:col>
      <xdr:colOff>0</xdr:colOff>
      <xdr:row>52</xdr:row>
      <xdr:rowOff>0</xdr:rowOff>
    </xdr:from>
    <xdr:to>
      <xdr:col>36</xdr:col>
      <xdr:colOff>0</xdr:colOff>
      <xdr:row>66</xdr:row>
      <xdr:rowOff>180975</xdr:rowOff>
    </xdr:to>
    <xdr:graphicFrame macro="">
      <xdr:nvGraphicFramePr>
        <xdr:cNvPr id="20" name="Chart 19">
          <a:extLst>
            <a:ext uri="{FF2B5EF4-FFF2-40B4-BE49-F238E27FC236}">
              <a16:creationId xmlns:a16="http://schemas.microsoft.com/office/drawing/2014/main" id="{00000000-0008-0000-08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37</xdr:col>
      <xdr:colOff>0</xdr:colOff>
      <xdr:row>52</xdr:row>
      <xdr:rowOff>0</xdr:rowOff>
    </xdr:from>
    <xdr:to>
      <xdr:col>45</xdr:col>
      <xdr:colOff>0</xdr:colOff>
      <xdr:row>66</xdr:row>
      <xdr:rowOff>180975</xdr:rowOff>
    </xdr:to>
    <xdr:graphicFrame macro="">
      <xdr:nvGraphicFramePr>
        <xdr:cNvPr id="21" name="Chart 20">
          <a:extLst>
            <a:ext uri="{FF2B5EF4-FFF2-40B4-BE49-F238E27FC236}">
              <a16:creationId xmlns:a16="http://schemas.microsoft.com/office/drawing/2014/main" id="{00000000-0008-0000-08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68</xdr:row>
      <xdr:rowOff>0</xdr:rowOff>
    </xdr:from>
    <xdr:to>
      <xdr:col>8</xdr:col>
      <xdr:colOff>600074</xdr:colOff>
      <xdr:row>82</xdr:row>
      <xdr:rowOff>180975</xdr:rowOff>
    </xdr:to>
    <xdr:graphicFrame macro="">
      <xdr:nvGraphicFramePr>
        <xdr:cNvPr id="22" name="Chart 2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0</xdr:colOff>
      <xdr:row>68</xdr:row>
      <xdr:rowOff>0</xdr:rowOff>
    </xdr:from>
    <xdr:to>
      <xdr:col>18</xdr:col>
      <xdr:colOff>0</xdr:colOff>
      <xdr:row>82</xdr:row>
      <xdr:rowOff>180975</xdr:rowOff>
    </xdr:to>
    <xdr:graphicFrame macro="">
      <xdr:nvGraphicFramePr>
        <xdr:cNvPr id="23" name="Chart 22">
          <a:extLst>
            <a:ext uri="{FF2B5EF4-FFF2-40B4-BE49-F238E27FC236}">
              <a16:creationId xmlns:a16="http://schemas.microsoft.com/office/drawing/2014/main" id="{00000000-0008-0000-08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19</xdr:col>
      <xdr:colOff>0</xdr:colOff>
      <xdr:row>68</xdr:row>
      <xdr:rowOff>0</xdr:rowOff>
    </xdr:from>
    <xdr:to>
      <xdr:col>27</xdr:col>
      <xdr:colOff>0</xdr:colOff>
      <xdr:row>82</xdr:row>
      <xdr:rowOff>180975</xdr:rowOff>
    </xdr:to>
    <xdr:graphicFrame macro="">
      <xdr:nvGraphicFramePr>
        <xdr:cNvPr id="24" name="Chart 23">
          <a:extLst>
            <a:ext uri="{FF2B5EF4-FFF2-40B4-BE49-F238E27FC236}">
              <a16:creationId xmlns:a16="http://schemas.microsoft.com/office/drawing/2014/main" id="{00000000-0008-0000-08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28</xdr:col>
      <xdr:colOff>0</xdr:colOff>
      <xdr:row>68</xdr:row>
      <xdr:rowOff>0</xdr:rowOff>
    </xdr:from>
    <xdr:to>
      <xdr:col>36</xdr:col>
      <xdr:colOff>0</xdr:colOff>
      <xdr:row>82</xdr:row>
      <xdr:rowOff>180975</xdr:rowOff>
    </xdr:to>
    <xdr:graphicFrame macro="">
      <xdr:nvGraphicFramePr>
        <xdr:cNvPr id="25" name="Chart 24">
          <a:extLst>
            <a:ext uri="{FF2B5EF4-FFF2-40B4-BE49-F238E27FC236}">
              <a16:creationId xmlns:a16="http://schemas.microsoft.com/office/drawing/2014/main" id="{00000000-0008-0000-08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37</xdr:col>
      <xdr:colOff>0</xdr:colOff>
      <xdr:row>68</xdr:row>
      <xdr:rowOff>0</xdr:rowOff>
    </xdr:from>
    <xdr:to>
      <xdr:col>45</xdr:col>
      <xdr:colOff>0</xdr:colOff>
      <xdr:row>82</xdr:row>
      <xdr:rowOff>180975</xdr:rowOff>
    </xdr:to>
    <xdr:graphicFrame macro="">
      <xdr:nvGraphicFramePr>
        <xdr:cNvPr id="26" name="Chart 25">
          <a:extLst>
            <a:ext uri="{FF2B5EF4-FFF2-40B4-BE49-F238E27FC236}">
              <a16:creationId xmlns:a16="http://schemas.microsoft.com/office/drawing/2014/main" id="{00000000-0008-0000-08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220980</xdr:colOff>
      <xdr:row>84</xdr:row>
      <xdr:rowOff>53340</xdr:rowOff>
    </xdr:from>
    <xdr:to>
      <xdr:col>8</xdr:col>
      <xdr:colOff>584834</xdr:colOff>
      <xdr:row>99</xdr:row>
      <xdr:rowOff>51435</xdr:rowOff>
    </xdr:to>
    <xdr:graphicFrame macro="">
      <xdr:nvGraphicFramePr>
        <xdr:cNvPr id="28" name="Chart 27">
          <a:extLst>
            <a:ext uri="{FF2B5EF4-FFF2-40B4-BE49-F238E27FC236}">
              <a16:creationId xmlns:a16="http://schemas.microsoft.com/office/drawing/2014/main" id="{00000000-0008-0000-08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10</xdr:col>
      <xdr:colOff>0</xdr:colOff>
      <xdr:row>84</xdr:row>
      <xdr:rowOff>0</xdr:rowOff>
    </xdr:from>
    <xdr:to>
      <xdr:col>18</xdr:col>
      <xdr:colOff>0</xdr:colOff>
      <xdr:row>98</xdr:row>
      <xdr:rowOff>180975</xdr:rowOff>
    </xdr:to>
    <xdr:graphicFrame macro="">
      <xdr:nvGraphicFramePr>
        <xdr:cNvPr id="29" name="Chart 28">
          <a:extLst>
            <a:ext uri="{FF2B5EF4-FFF2-40B4-BE49-F238E27FC236}">
              <a16:creationId xmlns:a16="http://schemas.microsoft.com/office/drawing/2014/main" id="{00000000-0008-0000-08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19</xdr:col>
      <xdr:colOff>0</xdr:colOff>
      <xdr:row>84</xdr:row>
      <xdr:rowOff>0</xdr:rowOff>
    </xdr:from>
    <xdr:to>
      <xdr:col>27</xdr:col>
      <xdr:colOff>0</xdr:colOff>
      <xdr:row>98</xdr:row>
      <xdr:rowOff>180975</xdr:rowOff>
    </xdr:to>
    <xdr:graphicFrame macro="">
      <xdr:nvGraphicFramePr>
        <xdr:cNvPr id="30" name="Chart 29">
          <a:extLst>
            <a:ext uri="{FF2B5EF4-FFF2-40B4-BE49-F238E27FC236}">
              <a16:creationId xmlns:a16="http://schemas.microsoft.com/office/drawing/2014/main" id="{00000000-0008-0000-08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28</xdr:col>
      <xdr:colOff>0</xdr:colOff>
      <xdr:row>84</xdr:row>
      <xdr:rowOff>0</xdr:rowOff>
    </xdr:from>
    <xdr:to>
      <xdr:col>36</xdr:col>
      <xdr:colOff>0</xdr:colOff>
      <xdr:row>98</xdr:row>
      <xdr:rowOff>180975</xdr:rowOff>
    </xdr:to>
    <xdr:graphicFrame macro="">
      <xdr:nvGraphicFramePr>
        <xdr:cNvPr id="31" name="Chart 30">
          <a:extLst>
            <a:ext uri="{FF2B5EF4-FFF2-40B4-BE49-F238E27FC236}">
              <a16:creationId xmlns:a16="http://schemas.microsoft.com/office/drawing/2014/main" id="{00000000-0008-0000-08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37</xdr:col>
      <xdr:colOff>0</xdr:colOff>
      <xdr:row>84</xdr:row>
      <xdr:rowOff>0</xdr:rowOff>
    </xdr:from>
    <xdr:to>
      <xdr:col>45</xdr:col>
      <xdr:colOff>0</xdr:colOff>
      <xdr:row>98</xdr:row>
      <xdr:rowOff>180975</xdr:rowOff>
    </xdr:to>
    <xdr:graphicFrame macro="">
      <xdr:nvGraphicFramePr>
        <xdr:cNvPr id="32" name="Chart 31">
          <a:extLst>
            <a:ext uri="{FF2B5EF4-FFF2-40B4-BE49-F238E27FC236}">
              <a16:creationId xmlns:a16="http://schemas.microsoft.com/office/drawing/2014/main" id="{00000000-0008-0000-08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ennifer Norman" refreshedDate="44293.623610416667" createdVersion="5" refreshedVersion="5" minRefreshableVersion="3" recordCount="109">
  <cacheSource type="worksheet">
    <worksheetSource ref="B2:AB126" sheet="1. All Data"/>
  </cacheSource>
  <cacheFields count="29">
    <cacheField name="Reporting Officer" numFmtId="0">
      <sharedItems count="18">
        <s v="James Abbott"/>
        <s v="Nicola Gilligan"/>
        <s v="Linda McDonald"/>
        <s v="Angela Wakefield"/>
        <s v="Michael Hovers"/>
        <s v="Naomi Perry"/>
        <s v="Thomas Deery"/>
        <s v="Brett Atkinson"/>
        <s v="Paul Farrer"/>
        <s v="Rachel Liddle"/>
        <s v="Carol Flannery"/>
        <s v="Lisa Turner"/>
        <s v="Guy Thornhill"/>
        <s v="Daniel Arnold"/>
        <s v="Sarah Richardson"/>
        <s v="Nathan Gallagher"/>
        <s v="Chloe Brown"/>
        <s v="Margaret Woolley"/>
      </sharedItems>
    </cacheField>
    <cacheField name="Corporate Plan Ref Number" numFmtId="0">
      <sharedItems/>
    </cacheField>
    <cacheField name="Measures" numFmtId="0">
      <sharedItems/>
    </cacheField>
    <cacheField name="Target 2020/21" numFmtId="0">
      <sharedItems/>
    </cacheField>
    <cacheField name="Target Date" numFmtId="49">
      <sharedItems containsBlank="1"/>
    </cacheField>
    <cacheField name="Quarter 1 _x000a_(April - June 2020)" numFmtId="0">
      <sharedItems containsBlank="1" containsMixedTypes="1" containsNumber="1" minValue="0" maxValue="2220350.39" longText="1"/>
    </cacheField>
    <cacheField name="End of year forecast as at end of Q1_x000a_(NUMERICAL INDICATORS ONLY)" numFmtId="0">
      <sharedItems containsBlank="1" containsMixedTypes="1" containsNumber="1" minValue="0.7" maxValue="2000000"/>
    </cacheField>
    <cacheField name="Quarter 1 On Track? (R/A/G)" numFmtId="0">
      <sharedItems/>
    </cacheField>
    <cacheField name="Comments / Further action (Q1)_x000a_(IF APPLICABLE)" numFmtId="0">
      <sharedItems containsBlank="1"/>
    </cacheField>
    <cacheField name="Quarter 2 _x000a_(July - September 2020)" numFmtId="0">
      <sharedItems containsBlank="1" containsMixedTypes="1" containsNumber="1" minValue="0" maxValue="2434472.23" longText="1"/>
    </cacheField>
    <cacheField name="Year to date_x000a_(April - Sept 2020)_x000a_(NUMERICAL INDICATORS ONLY)" numFmtId="0">
      <sharedItems containsBlank="1" containsMixedTypes="1" containsNumber="1" minValue="0" maxValue="2434472.23"/>
    </cacheField>
    <cacheField name="End of year forecast as at end of Q2_x000a_(NUMERICAL INDICATORS ONLY)" numFmtId="0">
      <sharedItems containsBlank="1" containsMixedTypes="1" containsNumber="1" minValue="0.7" maxValue="2500000"/>
    </cacheField>
    <cacheField name="Quarter 2_x000a_ On Track? (R/A/G)" numFmtId="17">
      <sharedItems/>
    </cacheField>
    <cacheField name="Comments / Further action (Q2)_x000a_(IF APPLICABLE)" numFmtId="0">
      <sharedItems containsBlank="1" longText="1"/>
    </cacheField>
    <cacheField name="Quarter 3_x000a_(October - December 2020)" numFmtId="0">
      <sharedItems containsBlank="1" containsMixedTypes="1" containsNumber="1" minValue="0.83979999999999999" maxValue="6" longText="1"/>
    </cacheField>
    <cacheField name="Year to date_x000a_(April - Dec 2020)_x000a_(NUMERICAL INDICATORS ONLY)" numFmtId="0">
      <sharedItems containsBlank="1" containsMixedTypes="1" containsNumber="1" minValue="0.53859999999999997" maxValue="2190835"/>
    </cacheField>
    <cacheField name="End of year forecast as at end of Q3_x000a_(NUMERICAL INDICATORS ONLY)" numFmtId="0">
      <sharedItems containsBlank="1" containsMixedTypes="1" containsNumber="1" minValue="0.6" maxValue="2100000"/>
    </cacheField>
    <cacheField name="Quarter 3 _x000a_On Track? (R/A/G)" numFmtId="0">
      <sharedItems/>
    </cacheField>
    <cacheField name="Comments / Further action (Q3)_x000a_(IF APPLICABLE)" numFmtId="0">
      <sharedItems containsBlank="1"/>
    </cacheField>
    <cacheField name="Quarter 4_x000a_(January - March 2021)" numFmtId="0">
      <sharedItems containsBlank="1"/>
    </cacheField>
    <cacheField name="Cumulative Annual Outturn _x000a_(NUMERICAL INDICATORS ONLY)" numFmtId="0">
      <sharedItems containsNonDate="0" containsString="0" containsBlank="1"/>
    </cacheField>
    <cacheField name="End of Year Achieved?_x000a_(R/A/G)" numFmtId="17">
      <sharedItems/>
    </cacheField>
    <cacheField name="Comments / Further action (Q4)_x000a_(IF APPLICABLE)" numFmtId="0">
      <sharedItems containsNonDate="0" containsString="0" containsBlank="1"/>
    </cacheField>
    <cacheField name="Qtr" numFmtId="0">
      <sharedItems containsNonDate="0" containsString="0" containsBlank="1"/>
    </cacheField>
    <cacheField name="Service" numFmtId="0">
      <sharedItems/>
    </cacheField>
    <cacheField name="Team" numFmtId="0">
      <sharedItems/>
    </cacheField>
    <cacheField name="Corporate Priority" numFmtId="0">
      <sharedItems/>
    </cacheField>
    <cacheField name="Portfolio" numFmtId="0">
      <sharedItems/>
    </cacheField>
    <cacheField name="Former Portfolio (pre Dec 2020 Cabine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CR02"/>
    <s v="Proactively Supporting the Boundary Review of East Staffordshire"/>
    <s v="Respond to Boundary Review Consultation in line with LGBCE timetable"/>
    <m/>
    <s v="The LGBCE has resumed the review of East Staffordshire, following a pause during the Covid-19 lockdown. _x000a_The consultation on the LGBCE's proposed boundaries will run until September 7th 2020 &amp; ESBC will respond from a electoral management perspective regarding the suggested names for the proposed new warded parishes."/>
    <m/>
    <s v="On Track to be Achieved"/>
    <m/>
    <s v="The LGBCE's final recommendations are due to be published 1st December 2020"/>
    <m/>
    <m/>
    <s v="On Track to be Achieved"/>
    <m/>
    <s v="The LGBCE have opened an additional phase of public consultation in their review of the Council's electoral arrangements. This period of consultation started 1st December 2020, and closes on 11th January 2021. _x000a_"/>
    <m/>
    <m/>
    <s v="On Track to be Achieved"/>
    <m/>
    <s v="The LGBCE published its final recommendations on 30th March 2021."/>
    <m/>
    <s v="Fully Achieved"/>
    <m/>
    <m/>
    <s v="Andy O'Brien"/>
    <s v="Electoral Services"/>
    <s v="Community Regeneration"/>
    <s v="Leader"/>
    <s v="Leader"/>
  </r>
  <r>
    <x v="1"/>
    <s v="CR03"/>
    <s v="Proactively Supporting the Boundary Review of East Staffordshire"/>
    <s v="Prepare for Polling Place Review following completion of Boundary Review"/>
    <s v="March 2021"/>
    <s v="Planning is in the preliminary stages in line with the LGBCE timetable and their initial recommendations published on 30 June 2020. LGBCE’s final recommendations are due to be published 1 December 2020."/>
    <m/>
    <s v="On Track to be Achieved"/>
    <m/>
    <s v="The preparation for the Polling Place Review is ongoing and will be delivered by the target date."/>
    <m/>
    <m/>
    <s v="On Track to be Achieved"/>
    <s v="The LGBCE's final recommendations are due to be published 1st December 2020"/>
    <s v="The LGBCE have indicated they will publish their final recommendations for the Borough in March 2021."/>
    <m/>
    <m/>
    <s v="On Track to be Achieved"/>
    <m/>
    <m/>
    <m/>
    <s v="Update not provided"/>
    <m/>
    <m/>
    <s v="Andy O'Brien"/>
    <s v="Electoral Services"/>
    <s v="Community Regeneration"/>
    <s v="Leader"/>
    <s v="Leader"/>
  </r>
  <r>
    <x v="2"/>
    <s v="CR04"/>
    <s v="Increasing Staffing Availability Through Reduced Sickness"/>
    <s v="Short Term Sickness Days Average: 2.98 days"/>
    <m/>
    <s v="0.21 days"/>
    <s v="2.5 days"/>
    <s v="On Track to be Achieved"/>
    <s v="Q1 2019/20 (last year) 0.69 days"/>
    <s v="0.54 days"/>
    <s v="0.72 days"/>
    <s v="2.37 days"/>
    <s v="On Track to be Achieved"/>
    <m/>
    <s v="0.55 days"/>
    <s v="1.25 days"/>
    <s v="2 days"/>
    <s v="On Track to be Achieved"/>
    <m/>
    <m/>
    <m/>
    <s v="Update not provided"/>
    <m/>
    <m/>
    <s v="Andy O'Brien"/>
    <s v="HR &amp; Payroll"/>
    <s v="Community Regeneration"/>
    <s v="Leader"/>
    <s v="Leader"/>
  </r>
  <r>
    <x v="2"/>
    <s v="CR05"/>
    <s v="Improve On The Average Time To Pay Creditors"/>
    <s v="Average Time To Pay Creditors: _x000a_10 days"/>
    <m/>
    <s v="9 days"/>
    <s v="10 days"/>
    <s v="On Track to be Achieved"/>
    <s v="Q1 2019/20 (last year) = 10 days"/>
    <s v="10 days"/>
    <s v="10 days"/>
    <s v="10 days"/>
    <s v="On Track to be Achieved"/>
    <m/>
    <s v="8 days"/>
    <s v="9 days"/>
    <s v="9 days"/>
    <s v="On Track to be Achieved"/>
    <m/>
    <m/>
    <m/>
    <s v="Update not provided"/>
    <m/>
    <m/>
    <s v="Andy O'Brien"/>
    <s v="HR &amp; Payroll"/>
    <s v="Community Regeneration"/>
    <s v="Leader"/>
    <s v="Leader"/>
  </r>
  <r>
    <x v="3"/>
    <s v="CR06"/>
    <s v="Legal and Assets"/>
    <s v="Commission a condition survey of the Council’s industrial units at Centrum 100 Business Park "/>
    <s v="September 2020"/>
    <m/>
    <m/>
    <s v="Not Yet Due"/>
    <m/>
    <s v="Survey commissioned 28th August 2020"/>
    <m/>
    <m/>
    <s v="Fully Achieved"/>
    <m/>
    <m/>
    <m/>
    <m/>
    <s v="Fully Achieved"/>
    <m/>
    <m/>
    <m/>
    <s v="Fully Achieved"/>
    <m/>
    <m/>
    <s v="Andy O'Brien"/>
    <s v="Assets &amp; Estates"/>
    <s v="Community Regeneration"/>
    <s v="Leader"/>
    <s v="Leader"/>
  </r>
  <r>
    <x v="3"/>
    <s v="CR07"/>
    <s v="Legal and Assets"/>
    <s v="Carry out works to 8 of the Council’s commercial properties, as identified in the condition survey"/>
    <s v="March 2021"/>
    <m/>
    <m/>
    <s v="Not Yet Due"/>
    <m/>
    <m/>
    <m/>
    <m/>
    <s v="Not yet due"/>
    <m/>
    <m/>
    <m/>
    <m/>
    <s v="On Track to be Achieved"/>
    <m/>
    <m/>
    <m/>
    <s v="Update not provided"/>
    <m/>
    <m/>
    <s v="Andy O'Brien"/>
    <s v="Assets &amp; Estates"/>
    <s v="Community Regeneration"/>
    <s v="Leader"/>
    <s v="Leader"/>
  </r>
  <r>
    <x v="4"/>
    <s v="CR08"/>
    <s v="Increase Capacity at Stapenhill Cemetery"/>
    <s v="Commence preparatory works for the expansion of Stapenhill Cemetery."/>
    <s v="December 2020"/>
    <s v="Consultants have been asked to update their revised quote from November 2019. Revised quote has been received and stage 1 investigation works have been ordered. "/>
    <m/>
    <s v="Fully Achieved"/>
    <m/>
    <s v="Tier 1 report received and passed to the Environment Agency for assessment"/>
    <m/>
    <m/>
    <s v="Fully Achieved"/>
    <m/>
    <m/>
    <m/>
    <m/>
    <s v="Fully Achieved"/>
    <m/>
    <m/>
    <m/>
    <s v="Fully Achieved"/>
    <m/>
    <m/>
    <s v="Mark Rizk"/>
    <s v="Communities, Open Spaces &amp; Facilities"/>
    <s v="Community Regeneration"/>
    <s v="Leisure, Amenities &amp; Tourism"/>
    <s v="Leisure, Culture &amp; Tourism"/>
  </r>
  <r>
    <x v="4"/>
    <s v="CR09"/>
    <s v="Market Hall Development Initiatives"/>
    <s v="Implement the outcome of the Market Hall future options review "/>
    <s v="March 2021"/>
    <s v="Deferred until later within this financial year, as this target is linked to the developing Stronger Towns work. Target to be revisited in October 2020. "/>
    <m/>
    <s v="Deferred"/>
    <m/>
    <s v="Target deferred as part of Q1 Review due to  coronavirus situation."/>
    <s v="N/A"/>
    <s v="N/A"/>
    <s v="Deferred"/>
    <s v="Government feedback in relation to Stronger Towns Fund not expected until March/April 2021 due to ongoing impact of Covid-19. "/>
    <s v="As per Quarter 2 report, this target has been deferred to allow for the outcome of the Stronger Towns work to be factored in to the long term service delivery approach"/>
    <m/>
    <m/>
    <s v="Deferred"/>
    <m/>
    <m/>
    <m/>
    <s v="Deferred"/>
    <m/>
    <m/>
    <s v="Mark Rizk"/>
    <s v="Markets"/>
    <s v="Community Regeneration"/>
    <s v="Leisure, Amenities &amp; Tourism"/>
    <s v="Leisure, Culture &amp; Tourism"/>
  </r>
  <r>
    <x v="4"/>
    <s v="CR10"/>
    <s v="Market Development Initiatives"/>
    <s v="Hold at least 7 commercial events in the Market Hall/Market Place "/>
    <s v="March 2021"/>
    <s v="Whilst there has been an impact on opportunities to hold commercial events in and around the Market Hall during quarter 1, opportunities do exist to hold events in the Market Place moving forward."/>
    <m/>
    <s v="On Track to be Achieved"/>
    <m/>
    <s v="Uncertainty regarding COVID19 restrictions has seen few enquires for the use of the market hall as an events venue. Ongoing restrictions are likely to place further pressure on the achievement of his target"/>
    <m/>
    <m/>
    <s v="In Danger of Falling Behind Target"/>
    <m/>
    <s v="The 2nd and 3rd lockdowns have prevented any events from being held during these times. Furthermore, potential organisers are fewer due to the pandemic situation"/>
    <m/>
    <m/>
    <s v="Off Target"/>
    <m/>
    <m/>
    <m/>
    <s v="Update not provided"/>
    <m/>
    <m/>
    <s v="Mark Rizk"/>
    <s v="Markets"/>
    <s v="Community Regeneration"/>
    <s v="Leisure, Amenities &amp; Tourism"/>
    <s v="Leisure, Culture &amp; Tourism"/>
  </r>
  <r>
    <x v="4"/>
    <s v="CR11"/>
    <s v="Market Hall Development Initiatives"/>
    <s v="Continue to benchmark Market Hall performance through APSE membership"/>
    <s v="March 2021"/>
    <s v="We have joined APSE"/>
    <m/>
    <s v="On Track to be Achieved"/>
    <m/>
    <s v="Market Hall data has been supplied for APSE for analysis and benchmarking comparison"/>
    <m/>
    <m/>
    <s v="Fully Achieved"/>
    <m/>
    <m/>
    <m/>
    <m/>
    <s v="Fully Achieved"/>
    <m/>
    <m/>
    <m/>
    <s v="Fully Achieved"/>
    <m/>
    <m/>
    <s v="Mark Rizk"/>
    <s v="Markets"/>
    <s v="Community Regeneration"/>
    <s v="Leisure, Amenities &amp; Tourism"/>
    <s v="Leisure, Culture &amp; Tourism"/>
  </r>
  <r>
    <x v="5"/>
    <s v="CR12"/>
    <s v="Major Planning Applications Determined Within 13 Weeks"/>
    <s v="Top Quartile as measured against relevant MHCLG figures"/>
    <m/>
    <s v="8 Applications all within time = 100%"/>
    <m/>
    <s v="On Track to be Achieved"/>
    <s v="Within top quartile based on CLG latest quarter reported."/>
    <s v="7 Applications all within time = 100%"/>
    <n v="100"/>
    <m/>
    <s v="On Track to be Achieved"/>
    <s v="Year to date figures are exceeding % MHCLG top quartile"/>
    <s v="13 Applications all within time = 100%"/>
    <n v="1"/>
    <n v="1"/>
    <s v="On Track to be Achieved"/>
    <s v="Year to date figures are exceeding % MHCLG top quartile"/>
    <m/>
    <m/>
    <s v="Update not provided"/>
    <m/>
    <m/>
    <s v="Sal Khan"/>
    <s v="Planning"/>
    <s v="Community Regeneration"/>
    <s v="Regeneration &amp; Planning Policy"/>
    <s v="Regeneration &amp; Planning Policy"/>
  </r>
  <r>
    <x v="5"/>
    <s v="CR13"/>
    <s v="Minor Planning Applications Determined Within 8 Weeks"/>
    <s v="Top Quartile as measured against relevant MHCLG figures"/>
    <m/>
    <s v="63 Applications of which 60 in time = 95%"/>
    <m/>
    <s v="On Track to be Achieved"/>
    <s v="Within top quartile based on CLG latest quarter reported."/>
    <s v="49 Applications of which 45 in time = 92%"/>
    <s v="105 on time out of 112 = 93.75%"/>
    <m/>
    <s v="On Track to be Achieved"/>
    <s v="Year to date figures are exceeding % MHCLG top quartile"/>
    <s v="60 Applications of which 55 in time = 92%"/>
    <n v="0.93"/>
    <n v="0.92"/>
    <s v="On Track to be Achieved"/>
    <s v="Year to date figures are equalling % MHCLG top quartile"/>
    <m/>
    <m/>
    <s v="Update not provided"/>
    <m/>
    <m/>
    <s v="Sal Khan"/>
    <s v="Planning"/>
    <s v="Community Regeneration"/>
    <s v="Regeneration &amp; Planning Policy"/>
    <s v="Regeneration &amp; Planning Policy"/>
  </r>
  <r>
    <x v="5"/>
    <s v="CR14"/>
    <s v="Other Planning Applications Determined in 8 Weeks"/>
    <s v="Top Quartile as measured against relevant MHCLG figures"/>
    <m/>
    <s v="124 Applications all within time = 100%"/>
    <m/>
    <s v="On Track to be Achieved"/>
    <s v="Within top quartile based on CLG latest quarter reported."/>
    <s v="142 Applications of which 135 in time = 95%"/>
    <s v="259 out of 266 = 97.37%"/>
    <m/>
    <s v="On Track to be Achieved"/>
    <s v="Year to date figures are exceeding % MHCLG top quartile"/>
    <s v="160 Applications of which 157 in time = 98%"/>
    <n v="0.98"/>
    <n v="0.98"/>
    <s v="On Track to be Achieved"/>
    <s v="Year to date figures are exceeding % MHCLG top quartile"/>
    <m/>
    <m/>
    <s v="Update not provided"/>
    <m/>
    <m/>
    <s v="Sal Khan"/>
    <s v="Planning"/>
    <s v="Community Regeneration"/>
    <s v="Regeneration &amp; Planning Policy"/>
    <s v="Regeneration &amp; Planning Policy"/>
  </r>
  <r>
    <x v="5"/>
    <s v="CR15"/>
    <s v="Supporting Neighbourhood Plans"/>
    <s v="Rolleston Neighbourhood Plan Made"/>
    <s v="Date TBC"/>
    <s v="Rolleston Neighbourhood Plan referendum delayed due to COVID-19._x000a_Target deferred to the next Corporate Plan year, as all elections have been postponed for 2020/21"/>
    <m/>
    <s v="Deferred"/>
    <m/>
    <s v="Target deferred as part of Q1 Review due to ongoing coronavirus situation"/>
    <s v="N/A"/>
    <s v="N/A"/>
    <s v="Deferred"/>
    <m/>
    <s v="Target deferred as part of Q1 Review due to ongoing coronavirus situation"/>
    <m/>
    <m/>
    <s v="Deferred"/>
    <m/>
    <m/>
    <m/>
    <s v="Deferred"/>
    <m/>
    <m/>
    <s v="Sal Khan"/>
    <s v="Planning"/>
    <s v="Community Regeneration"/>
    <s v="Regeneration &amp; Planning Policy"/>
    <s v="Regeneration &amp; Planning Policy"/>
  </r>
  <r>
    <x v="5"/>
    <s v="CR16"/>
    <s v="New and Refreshed Planning Policies"/>
    <s v="Finalise and adopt Brewery Building Conversion Design Guidance SPD"/>
    <s v="October 2020"/>
    <s v="On track - draft document have been considered by CMT and LDL."/>
    <m/>
    <s v="On Track to be Achieved"/>
    <m/>
    <s v="SPD has gone to LDL and the groups - to be adopted via EDR in October. "/>
    <m/>
    <m/>
    <s v="On Track to be Achieved"/>
    <m/>
    <s v="Adopted by EDR in October"/>
    <m/>
    <m/>
    <s v="Fully Achieved"/>
    <m/>
    <m/>
    <m/>
    <s v="Fully Achieved"/>
    <m/>
    <m/>
    <s v="Sal Khan"/>
    <s v="Planning"/>
    <s v="Community Regeneration"/>
    <s v="Regeneration &amp; Planning Policy"/>
    <s v="Regeneration &amp; Planning Policy"/>
  </r>
  <r>
    <x v="5"/>
    <s v="CR17"/>
    <s v="New and Refreshed Planning Policies"/>
    <s v="Publish Revised Statement of Community Involvement"/>
    <s v="March 2021"/>
    <s v="On track - draft document have been considered by CMT and LDL."/>
    <m/>
    <s v="On Track to be Achieved"/>
    <m/>
    <s v="Consultation draft has been undertaken and final version being prepared for November CMT. "/>
    <m/>
    <m/>
    <s v="On Track to be Achieved"/>
    <m/>
    <s v="Published in October"/>
    <m/>
    <m/>
    <s v="Fully Achieved"/>
    <m/>
    <m/>
    <m/>
    <s v="Fully Achieved"/>
    <m/>
    <m/>
    <s v="Sal Khan"/>
    <s v="Planning"/>
    <s v="Community Regeneration"/>
    <s v="Regeneration &amp; Planning Policy"/>
    <s v="Regeneration &amp; Planning Policy"/>
  </r>
  <r>
    <x v="5"/>
    <s v="CR18"/>
    <s v="New and Refreshed Planning Policies"/>
    <s v="Produce report and approach regarding Brownfield Register Part 2  "/>
    <s v="October 2020"/>
    <s v="On track - officers preparing documents to be considered in due course by CMT, LDL and Cabinet"/>
    <m/>
    <s v="On Track to be Achieved"/>
    <m/>
    <s v="Report prepared for October CMT and LDL"/>
    <m/>
    <m/>
    <s v="On Track to be Achieved"/>
    <m/>
    <s v="Report produced and presented to CMT and L&amp;DL in October and Cabinet in November 2020"/>
    <m/>
    <m/>
    <s v="Fully Achieved"/>
    <m/>
    <m/>
    <m/>
    <s v="Fully Achieved"/>
    <m/>
    <m/>
    <s v="Sal Khan"/>
    <s v="Planning"/>
    <s v="Community Regeneration"/>
    <s v="Regeneration &amp; Planning Policy"/>
    <s v="Regeneration &amp; Planning Policy"/>
  </r>
  <r>
    <x v="5"/>
    <s v="CR19"/>
    <s v="New and Refreshed Planning Policies"/>
    <s v="Revise and adopt Car parking SPD "/>
    <s v="October 2020"/>
    <s v="On track - draft document have been considered by CMT and LDL."/>
    <m/>
    <s v="On Track to be Achieved"/>
    <m/>
    <s v="SPD has gone to LDL and the groups - to be adopted via EDR in October. "/>
    <m/>
    <m/>
    <s v="On Track to be Achieved"/>
    <m/>
    <s v="SPD adopted via EDR in October "/>
    <m/>
    <m/>
    <s v="Fully Achieved"/>
    <m/>
    <m/>
    <m/>
    <s v="Fully Achieved"/>
    <m/>
    <m/>
    <s v="Sal Khan"/>
    <s v="Planning"/>
    <s v="Community Regeneration"/>
    <s v="Regeneration &amp; Planning Policy"/>
    <s v="Regeneration &amp; Planning Policy"/>
  </r>
  <r>
    <x v="6"/>
    <s v="CR20"/>
    <s v="Improve Burton town centre through significant environmental regeneration"/>
    <s v="Practical completion of the Station Street works via Amey"/>
    <s v="October 2020"/>
    <s v="The Works process started in late March 2020 and was able to continue throughout the lockdown period as the works were categorised as essential. _x000a__x000a_The works process is currently on programme and on target for practical completion to be achieved by the end of October 2020."/>
    <m/>
    <s v="On Track to be Achieved"/>
    <m/>
    <s v="The work on Station Street has continued on programme and remains on target for practical completion to be achieved by the end of October 2020."/>
    <m/>
    <m/>
    <s v="On Track to be Achieved"/>
    <m/>
    <s v="The Station Street works have practically completed."/>
    <m/>
    <m/>
    <s v="Fully Achieved"/>
    <m/>
    <m/>
    <m/>
    <s v="Fully Achieved"/>
    <m/>
    <m/>
    <s v="Andy O'Brien"/>
    <s v="Enterprise"/>
    <s v="Community Regeneration"/>
    <s v="Regeneration &amp; Planning Policy"/>
    <s v="Regeneration &amp; Planning Policy"/>
  </r>
  <r>
    <x v="6"/>
    <s v="CR21"/>
    <s v="Improve Burton town centre through significant environmental regeneration "/>
    <s v="Deliver phase 1 of the Washlands Enhancement Project, fully utilising the GBSLEP Local Growth Fund monies"/>
    <s v="March 2021"/>
    <s v="The funding profile for the Washlands has been reshaped, meaning that there is no longer a requirement for £1m to be spend before March 2021. This will enable the single phased delivery of the project and so phase 1 will now comprise the remaining design and development work, such as the planning application, permitting, and appointment of contractors."/>
    <m/>
    <s v="On Track to be Achieved"/>
    <m/>
    <s v="As per previous update, Phase 1 is now about completing the preparatory work for the implementation of the project. As such, during Q2, consultants (Black &amp; Veatch) have been appointed and are currently working on the ground investigations, planning application(s), and specification for contractors."/>
    <m/>
    <m/>
    <s v="On Track to be Achieved"/>
    <m/>
    <s v="A planning application has now been submitted, which will be considered during Q4."/>
    <m/>
    <m/>
    <s v="On Track to be Achieved"/>
    <m/>
    <m/>
    <m/>
    <s v="Update not provided"/>
    <m/>
    <m/>
    <s v="Andy O'Brien"/>
    <s v="Enterprise"/>
    <s v="Community Regeneration"/>
    <s v="Regeneration &amp; Planning Policy"/>
    <s v="Regeneration &amp; Planning Policy"/>
  </r>
  <r>
    <x v="6"/>
    <s v="CR22"/>
    <s v="Work towards achieving transformation regeneration for Burton upon Trent of up to £25m through the Towns Fund"/>
    <s v="Working with the Town Deal Board, develop a Town Investment Plan for Burton and create a business case for funding"/>
    <s v="March 2021"/>
    <s v="A Town Investment Plan is being developed, following the publication of Government guidance in June 2020. This is intended to be submitted in October 2020."/>
    <m/>
    <s v="On Track to be Achieved"/>
    <m/>
    <s v="A Town Investment Plan is being developed, following the publication of Government guidance in June 2020. This is intended to be submitted in October 2020."/>
    <m/>
    <m/>
    <s v="On Track to be Achieved"/>
    <m/>
    <s v="The Town Investment Plan was submitted in December 2020. The Town Deal Board is currently awaiting the outcome of the submission, anticipated during Q4."/>
    <m/>
    <m/>
    <s v="On Track to be Achieved"/>
    <m/>
    <m/>
    <m/>
    <s v="Update not provided"/>
    <m/>
    <m/>
    <s v="Andy O'Brien"/>
    <s v="Enterprise"/>
    <s v="Community Regeneration"/>
    <s v="Regeneration &amp; Planning Policy"/>
    <s v="Regeneration &amp; Planning Policy"/>
  </r>
  <r>
    <x v="6"/>
    <s v="CR23"/>
    <s v="Support the delivery of affordable housing on brownfield land through the utilisation of S106 commuted sums"/>
    <s v="Review the progress of existing S106 commuted sums and identify new projects for potential funding"/>
    <s v="October 2020"/>
    <m/>
    <m/>
    <s v="Not Yet Due"/>
    <m/>
    <s v="A report will be considered by Cabinet at its October 2020 meeting."/>
    <m/>
    <m/>
    <s v="On Track to be Achieved"/>
    <m/>
    <s v="An update was presented to Cabinet in October 2020."/>
    <m/>
    <m/>
    <s v="Fully Achieved"/>
    <m/>
    <m/>
    <m/>
    <s v="Fully Achieved"/>
    <m/>
    <m/>
    <s v="Andy O'Brien"/>
    <s v="Enterprise"/>
    <s v="Community Regeneration"/>
    <s v="Regeneration &amp; Planning Policy"/>
    <s v="Regeneration &amp; Planning Policy"/>
  </r>
  <r>
    <x v="6"/>
    <s v="CR24"/>
    <s v="Identify a vision for the future regeneration of Uttoxeter"/>
    <s v="Member approval of the final Uttoxeter Masterplan"/>
    <s v="December 2020"/>
    <s v="Cushman and Wakefield were appointed in late March 2020 as consultants to carry out an assessment of the success of the original Uttoxeter Masterplan from 2003 along with the creation a new version._x000a__x000a_Cushman and Wakefield have already completed the assessment of the original masterplan and are now working on the development of the baseline study and stakeholder engagement process."/>
    <m/>
    <s v="On Track to be Achieved"/>
    <m/>
    <s v="The consultants have undertaken a baseline review of Uttoxeter to identify the current functions of the town, its strengths and weaknesses, underlying threats to its future, identification of potential opportunities._x000a__x000a_Key local (community, business and political) stakeholders have been engaged and a public consultation process has also been completed._x000a__x000a_The consultants will review all aspects of the baseline work and responses from the consultation processes to move forward with the design options. These will be presented to the economic growth project group, before being finalised and presented at Full Council."/>
    <m/>
    <m/>
    <s v="On Track to be Achieved"/>
    <m/>
    <s v="The Uttoxeter Masterplan was approved at a meeting of Full Council in December 2020."/>
    <m/>
    <m/>
    <s v="Fully Achieved"/>
    <m/>
    <m/>
    <m/>
    <s v="Fully Achieved"/>
    <m/>
    <m/>
    <s v="Andy O'Brien"/>
    <s v="Enterprise"/>
    <s v="Community Regeneration"/>
    <s v="Regeneration &amp; Planning Policy"/>
    <s v="Regeneration &amp; Planning Policy"/>
  </r>
  <r>
    <x v="6"/>
    <s v="CR25"/>
    <s v="Promote local employment opportunities"/>
    <s v="Working with the Worklessness Action Group and local MP, support the delivery of three job fairs"/>
    <s v="March 2021"/>
    <s v="The first job fair of the year was planned for June 2020 and this was unfortunately cancelled as a result of COVID-19. It is not yet determined whether 3 can still be achieved in the year using alternative methods (such as virtual)."/>
    <m/>
    <s v="In Danger of Falling Behind Target"/>
    <m/>
    <s v="Job fairs are currently being delivered in a different way with targeted supported and 'virtual' job fairs through social media. As such, the work is not taking place in the same way, but is hopefully having the same impact."/>
    <s v="2 Virtual Job Fairs"/>
    <m/>
    <s v="On Track to be Achieved"/>
    <m/>
    <s v="Job fairs are currently being delivered in a different way with targeted supported and 'virtual' job fairs through social media. As such, the work is not taking place in the same way, but is hopefully having the same impact."/>
    <s v="2 virtual jobs fairs"/>
    <m/>
    <s v="On Track to be Achieved"/>
    <m/>
    <m/>
    <m/>
    <s v="Update not provided"/>
    <m/>
    <m/>
    <s v="Andy O'Brien"/>
    <s v="Enterprise"/>
    <s v="Community Regeneration"/>
    <s v="Regeneration &amp; Planning Policy"/>
    <s v="Regeneration &amp; Planning Policy"/>
  </r>
  <r>
    <x v="6"/>
    <s v="CR26"/>
    <s v="Continue to support local businesses to grow and innovate"/>
    <s v="Create a grant fund to support small businesses and deliver throughout the year"/>
    <s v="March 2021"/>
    <m/>
    <m/>
    <s v="Not Yet Due"/>
    <m/>
    <s v="Members have recently been provided with a  brief overview of how a scheme could operate and invited to provide comments, feedback and ideas. Whilst this is still being developed, it is imperative that any funding scheme complements national support rather than duplicates it and focuses on growth."/>
    <m/>
    <m/>
    <s v="On Track to be Achieved"/>
    <m/>
    <s v="A grant fund aimed at small businesses has been developed following consultation with Members, stakeholders and other Local Authorities. With the recent announcement of further COVID-19 support funding for businesses, it is proposed that the delivery of this fund is moved into the 21/22 Corporate Plan in order to avoid duplicating any existing support funding, with the scheme being aimed at growth."/>
    <m/>
    <m/>
    <s v="Deferred"/>
    <s v="It is proposed that the delivery of this programme commences in April 21."/>
    <m/>
    <m/>
    <s v="Deferred"/>
    <m/>
    <m/>
    <s v="Andy O'Brien"/>
    <s v="Enterprise"/>
    <s v="Community Regeneration"/>
    <s v="Regeneration &amp; Planning Policy"/>
    <s v="Regeneration &amp; Planning Policy"/>
  </r>
  <r>
    <x v="6"/>
    <s v="CR27"/>
    <s v="Continue to support local businesses to grow and innovate"/>
    <s v="Provide direct support to 20 businesses through the Growth Hub Advisor contract"/>
    <s v="March 2021"/>
    <s v="Businesses are being supported by advice from the Growth Hub Advisor contract, however the nature of this advice has notably changed to reflect COVID-19. An exact number of businesses supported has not yet been issued, but it is believed to be proportionate to the quarter."/>
    <m/>
    <s v="On Track to be Achieved"/>
    <m/>
    <s v="Businesses are being supported by advice from the Growth Hub Advisor contract, however the nature of this advice has notably changed to reflect COVID-19. An exact number of businesses supported has not yet been issued, but it is believed to be proportionate to the quarter."/>
    <m/>
    <m/>
    <s v="On Track to be Achieved"/>
    <m/>
    <s v="Through the initial scope of the contract, 9 East Staffordshire businesses have been supported. However, during Q2 and Q3 the Growth Hub contract was providing specific COVID-19 support to businesses in place of the initial scope of this contract and supported a further 15 organisations, providing a cumulative total of 24."/>
    <m/>
    <n v="24"/>
    <s v="Fully Achieved"/>
    <m/>
    <m/>
    <m/>
    <s v="Fully Achieved"/>
    <m/>
    <m/>
    <s v="Andy O'Brien"/>
    <s v="Enterprise"/>
    <s v="Community Regeneration"/>
    <s v="Regeneration &amp; Planning Policy"/>
    <s v="Regeneration &amp; Planning Policy"/>
  </r>
  <r>
    <x v="6"/>
    <s v="CR28"/>
    <s v="Continue to work effectively with regeneration partners"/>
    <s v="Continue to work with strategic tourism partners, such as the National Forest, the Campaign to Reopen the Ivanhoe Line and the TTTV, on the regeneration of the borough"/>
    <s v="March 2021"/>
    <s v="Work continues with these organisations. The Brook Hollows project is being taken forwards with the TTTV and now in partnership with the EA. The Ivanhoe Line project is progressing well, however members of that group were affected by Shielding requirements."/>
    <m/>
    <s v="On Track to be Achieved"/>
    <s v="In May 2020 the government announced the Ivanhoe line would be 1 of 10 campaigns to received support from the 'restoring your railways fund'"/>
    <s v="Work continues with these organisations, with partnerships continuing to develop and grow."/>
    <m/>
    <m/>
    <s v="On Track to be Achieved"/>
    <m/>
    <s v="Partnership working with organisations such as the National Forest and TTTV is ongoing."/>
    <m/>
    <m/>
    <s v="On Track to be Achieved"/>
    <m/>
    <m/>
    <m/>
    <s v="Update not provided"/>
    <m/>
    <m/>
    <s v="Andy O'Brien"/>
    <s v="Enterprise"/>
    <s v="Community Regeneration"/>
    <s v="Regeneration &amp; Planning Policy"/>
    <s v="Regeneration &amp; Planning Policy"/>
  </r>
  <r>
    <x v="7"/>
    <s v="EHW01"/>
    <s v="Delivering Better Services to Support Homelessness"/>
    <s v="Promote, monitor and report on the Burton and East Staffordshire Partnership, produce two activity reports during the year"/>
    <s v="(Sep 20 / Mar 21)"/>
    <s v="The Partnership has been instrumental in responding to the lockdown and associated 'Everyone In' campaign. A virtual meeting to debrief and consider how we can consolidate the gains that have been made is taking place in July."/>
    <m/>
    <s v="On Track to be Achieved"/>
    <m/>
    <s v="Following a successful bid to the MHCLG's NSAP Fund for interim accommodation, the Partnership has been instrumental in providing a joined up approach to recipients of the intervention. An activity report reviewing the East Staffs Homeless Partnership was considered at CMT &amp; LDL in September 2020. "/>
    <m/>
    <m/>
    <s v="On Track to be Achieved"/>
    <m/>
    <s v="The Partnership continues to function effectively in securing move on for recipients of the Next Steps Accommodation Programme funded interim accommodation."/>
    <m/>
    <m/>
    <s v="On Track to be Achieved"/>
    <m/>
    <m/>
    <m/>
    <s v="Update not provided"/>
    <m/>
    <m/>
    <s v="Sal Khan"/>
    <s v="Housing Options"/>
    <s v="Environment and Health &amp; Wellbeing"/>
    <s v="Environment &amp; Housing"/>
    <s v="Environment &amp; Housing"/>
  </r>
  <r>
    <x v="7"/>
    <s v="EHW02"/>
    <s v="Delivering Better Services to Support Homelessness"/>
    <s v="Evaluate and build on the existing MHCLG/ESBC projects to target entrenched rough sleepers with two activity reports during the year_x000a__x000a_Prepare and submit new applications to MHCLG as and when appropriate during the year "/>
    <s v="(Sept 2020 / Mar 2021)"/>
    <s v="The projects that are funded by the MHCLG's 'Rough Sleeping Initiative' have been effective in supporting individuals to exit from the 'Everyone In' campaign with settled solutions. There is an initial proposal for an additional project, although the MHCLG's prospectus to secure the funding has not yet been released. "/>
    <m/>
    <s v="On Track to be Achieved"/>
    <m/>
    <s v="An application to the MHCLG's NSAP Fund was submitted in August 2020. The application had two parts, with the first part having been successful and the second part yet to be determined. An activity report reviewing the rough sleeping projects was considered at CMT &amp; LDL in September 2020.  "/>
    <m/>
    <m/>
    <s v="On Track to be Achieved"/>
    <m/>
    <s v="Cold Weather Funding was secured to top up our existing interim accommodation fund. Early discussion have taken place with the MHCLG with regard to funding for 21/22."/>
    <m/>
    <m/>
    <s v="On Track to be Achieved"/>
    <m/>
    <m/>
    <m/>
    <s v="Update not provided"/>
    <m/>
    <m/>
    <s v="Sal Khan"/>
    <s v="Housing Options"/>
    <s v="Environment and Health &amp; Wellbeing"/>
    <s v="Environment &amp; Housing"/>
    <s v="Environment &amp; Housing"/>
  </r>
  <r>
    <x v="7"/>
    <s v="EHW03"/>
    <s v="Proactively reducing the number of empty homes in the borough"/>
    <s v="Produce annual contract performance report"/>
    <s v="March 2021"/>
    <s v="This work is well underway, and early analysis indicates that the contract has delivered a strong set of results."/>
    <m/>
    <s v="On Track to be Achieved"/>
    <m/>
    <s v="Grafton have been refining the list of empty homes to be considered for further enforcement in the forthcoming Cabinet report. An additional 111 properties that have remained empty for 2 years have been contacted with a stage 1 letter."/>
    <m/>
    <m/>
    <s v="On Track to be Achieved"/>
    <m/>
    <s v="The recording mechanisms for the delivery of the contract have been enhanced to provide a richer data set. Full report to be taken forward in Q4."/>
    <m/>
    <m/>
    <s v="On Track to be Achieved"/>
    <m/>
    <m/>
    <m/>
    <s v="Update not provided"/>
    <m/>
    <m/>
    <s v="Sal Khan"/>
    <s v="Housing Options"/>
    <s v="Environment and Health &amp; Wellbeing"/>
    <s v="Environment &amp; Housing"/>
    <s v="Environment &amp; Housing"/>
  </r>
  <r>
    <x v="7"/>
    <s v="EHW04"/>
    <s v="Delivering Better Services to Support Homelessness"/>
    <s v="Average time from appointment to initial decision for homeless applicants of 3 days"/>
    <m/>
    <s v="The Housing Options Team made 63 initial decisions this quarter, with an average time to decision of 0.75 days."/>
    <s v="1 day"/>
    <s v="On Track to be Achieved"/>
    <m/>
    <s v="The Housing Options Team made 65 initial decisions this quarter, with an average time of 0.0 days."/>
    <s v="0.35 days"/>
    <s v="0.5 days"/>
    <s v="On Track to be Achieved"/>
    <m/>
    <s v="The Housing Options Team made 71 initial decisions this quarter, with an average time to decision of 0.62 days."/>
    <s v="0.46 days"/>
    <s v="0.5 days"/>
    <s v="On Track to be Achieved"/>
    <m/>
    <m/>
    <m/>
    <s v="Update not provided"/>
    <m/>
    <m/>
    <s v="Sal Khan"/>
    <s v="Housing Options"/>
    <s v="Environment and Health &amp; Wellbeing"/>
    <s v="Environment &amp; Housing"/>
    <s v="Environment &amp; Housing"/>
  </r>
  <r>
    <x v="7"/>
    <s v="EHW05"/>
    <s v="Continue to Maximise Utilisation of Self Contained Temporary Accommodation for Homeless Applicants"/>
    <s v="Reduce ‘Key to Key’ Void Turnaround to an average of 6 working days"/>
    <m/>
    <s v="There was only 1 'Key to Key' occasion during this quarter; this is because households in B&amp;B were prioritised to be moved directly into settled accommodation to avoid the number of contacts. This 1 move took 2 working days."/>
    <s v="5 days"/>
    <s v="On Track to be Achieved"/>
    <m/>
    <s v="There were 5 'Key to Key' occasions during this quarter. The average across the 5 moves is 5.2 days, with one move increasing the average at 12 days due to the need to replace white goods. "/>
    <s v="4.7 days"/>
    <s v="5 days"/>
    <s v="On Track to be Achieved"/>
    <m/>
    <s v="There were 5 'Key to Key' occasions during this quarter with an average of 4 days."/>
    <s v="3.7 days"/>
    <s v="5 days"/>
    <s v="On Track to be Achieved"/>
    <m/>
    <m/>
    <m/>
    <s v="Update not provided"/>
    <m/>
    <m/>
    <s v="Sal Khan"/>
    <s v="Housing Options"/>
    <s v="Environment and Health &amp; Wellbeing"/>
    <s v="Environment &amp; Housing"/>
    <s v="Environment &amp; Housing"/>
  </r>
  <r>
    <x v="7"/>
    <s v="EHW06"/>
    <s v="Improving our Housing Strategy Initiatives "/>
    <s v="Refreshed Housing Strategy"/>
    <s v="December 2020"/>
    <s v="The lay out and structure of the document has been drafted, with a move toward the look and feel of the current Homelessness Strategy."/>
    <m/>
    <s v="On Track to be Achieved"/>
    <m/>
    <s v="Following internal consultation, a draft Housing Strategy is now out to public consultation."/>
    <m/>
    <m/>
    <s v="On Track to be Achieved"/>
    <m/>
    <s v="Housing 2021 - 24 adopted at Cabinet on 14 December 2020."/>
    <m/>
    <m/>
    <s v="Fully Achieved"/>
    <m/>
    <m/>
    <m/>
    <s v="Fully Achieved"/>
    <m/>
    <m/>
    <s v="Sal Khan"/>
    <s v="Housing Options"/>
    <s v="Environment and Health &amp; Wellbeing"/>
    <s v="Environment &amp; Housing"/>
    <s v="Environment &amp; Housing"/>
  </r>
  <r>
    <x v="7"/>
    <s v="EHW07"/>
    <s v="Improving our Housing Strategy Initiatives"/>
    <s v="Report opportunities for improving Housing Register Service"/>
    <s v="December 2020"/>
    <s v="A streamlined digital application system has been undergoing rigorous testing and is due to launch to the public next month."/>
    <m/>
    <s v="On Track to be Achieved"/>
    <m/>
    <s v="Online applications to join the Housing Register launched on 22 September, and early indications are that this project has been a success. Analysis of the data and consideration of the improvement to the customer journey to take place ahead of a report due in the next quarter. "/>
    <m/>
    <m/>
    <s v="On Track to be Achieved"/>
    <m/>
    <s v="Report taken forward to LDL on 23 November 2020."/>
    <m/>
    <m/>
    <s v="Fully Achieved"/>
    <m/>
    <m/>
    <m/>
    <s v="Fully Achieved"/>
    <m/>
    <m/>
    <s v="Sal Khan"/>
    <s v="Housing Options"/>
    <s v="Environment and Health &amp; Wellbeing"/>
    <s v="Environment &amp; Housing"/>
    <s v="Environment &amp; Housing"/>
  </r>
  <r>
    <x v="8"/>
    <s v="EHW08"/>
    <s v="Maintain Top Quartile Performance For Street Cleansing - Litter"/>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09"/>
    <s v="Maintain Top Quartile Performance For Street Cleansing - Detritus"/>
    <s v="Maintain Top Quartile Performance"/>
    <m/>
    <s v="Not yet due - surveys run April - July"/>
    <m/>
    <s v="Not Yet Due"/>
    <m/>
    <s v="0% April - July"/>
    <m/>
    <m/>
    <s v="On Track to be Achieved"/>
    <m/>
    <s v="0% Aug- Nov"/>
    <m/>
    <m/>
    <s v="On Track to be Achieved"/>
    <m/>
    <m/>
    <m/>
    <s v="Update not provided"/>
    <m/>
    <m/>
    <s v="Sal Khan"/>
    <s v="Environment"/>
    <s v="Environment and Health &amp; Wellbeing"/>
    <s v="Environment &amp; Housing"/>
    <s v="Environment &amp; Housing"/>
  </r>
  <r>
    <x v="8"/>
    <s v="EHW10"/>
    <s v="Maintain Top Quartile Performance For Street Cleansing - Graffiti"/>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1"/>
    <s v="Maintain Top Quartile Performance For Street Cleansing – Fly-Posting"/>
    <s v="Maintain Top Quartile Performance"/>
    <m/>
    <s v="Not yet due - surveys run April - July"/>
    <m/>
    <s v="Not Yet Due"/>
    <m/>
    <s v="0% April - July"/>
    <m/>
    <m/>
    <s v="On Track to be Achieved"/>
    <m/>
    <s v="0% Aug - Nov"/>
    <m/>
    <m/>
    <s v="On Track to be Achieved"/>
    <m/>
    <m/>
    <m/>
    <s v="Update not provided"/>
    <m/>
    <m/>
    <s v="Sal Khan"/>
    <s v="Environment"/>
    <s v="Environment and Health &amp; Wellbeing"/>
    <s v="Environment &amp; Housing"/>
    <s v="Environment &amp; Housing"/>
  </r>
  <r>
    <x v="8"/>
    <s v="EHW12"/>
    <s v="Maintain Top Quartile Performance On Recycling "/>
    <s v="Household Waste Recycled and Composted:_x000a_Maintain Top Quartile Performance"/>
    <m/>
    <s v="46.28% - estimated"/>
    <m/>
    <s v="On Track to be Achieved"/>
    <m/>
    <s v="47% - estimated"/>
    <s v="47.5% - estimated"/>
    <s v="41% - estimated"/>
    <s v="On Track to be Achieved"/>
    <m/>
    <s v="39.52% - estimated as not all data received"/>
    <m/>
    <s v="43.27% - estimated"/>
    <s v="On Track to be Achieved"/>
    <m/>
    <m/>
    <m/>
    <s v="Update not provided"/>
    <m/>
    <m/>
    <s v="Sal Khan"/>
    <s v="Environment"/>
    <s v="Environment and Health &amp; Wellbeing"/>
    <s v="Environment &amp; Housing"/>
    <s v="Environment &amp; Housing"/>
  </r>
  <r>
    <x v="8"/>
    <s v="EHW13"/>
    <s v="Maintain Top Quartile Performance On Waste Reduction "/>
    <s v="Residual Household Waste Per Household: _x000a_Maintain Top Quartile Performance"/>
    <m/>
    <s v="144.65kg - estimated. Collection tonnages are higher than normal for Q1 due to the impact of the pandemic. This may effect the outturn figure."/>
    <m/>
    <s v="On Track to be Achieved"/>
    <m/>
    <s v="138.86kg - estimated"/>
    <s v="276kg - estimated"/>
    <s v="560kg - estimated"/>
    <s v="On Track to be Achieved"/>
    <m/>
    <s v="133.04kg - estimated as not all data received"/>
    <s v="Increased tonnages due to COVID/lockdown of approx. 8%"/>
    <s v="535kg - estimated"/>
    <s v="On Track to be Achieved"/>
    <m/>
    <m/>
    <m/>
    <s v="Update not provided"/>
    <m/>
    <m/>
    <s v="Sal Khan"/>
    <s v="Environment"/>
    <s v="Environment and Health &amp; Wellbeing"/>
    <s v="Environment &amp; Housing"/>
    <s v="Environment &amp; Housing"/>
  </r>
  <r>
    <x v="4"/>
    <s v="EHW14"/>
    <s v="Open Spaces Initiatives "/>
    <s v="Develop a Borough wide parks development plan"/>
    <s v="December 2020"/>
    <m/>
    <m/>
    <s v="Not Yet Due"/>
    <m/>
    <m/>
    <m/>
    <m/>
    <s v="Not yet due"/>
    <m/>
    <s v="Parks Development Plan written and completed with Cabinet approval given in December"/>
    <m/>
    <m/>
    <s v="Fully Achieved"/>
    <m/>
    <m/>
    <m/>
    <s v="Fully Achieved"/>
    <m/>
    <m/>
    <s v="Mark Rizk"/>
    <s v="Communities, Open Spaces &amp; Facilities"/>
    <s v="Environment and Health &amp; Wellbeing"/>
    <s v="Leisure, Amenities &amp; Tourism"/>
    <s v="Leisure, Culture &amp; Tourism"/>
  </r>
  <r>
    <x v="4"/>
    <s v="EHW15"/>
    <s v="Open Spaces Initiatives "/>
    <s v="Achieve 2 in bloom gold awards and support Uttoxeter in the 2020 National In bloom awards"/>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6"/>
    <s v="Open Spaces Initiatives "/>
    <s v="Achieve 1 Green Flag award"/>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7"/>
    <s v="Open Spaces Initiatives"/>
    <s v="Increase the marks awarded to the 9 parks  in  the “It’s Your Neighbourhood” Parks category by an average of 10%"/>
    <s v="September 2020"/>
    <s v="Target to be deferred to the next Corporate Plan year, as these awards  have been postponed by the organiser until 2021/22"/>
    <m/>
    <s v="Deferred"/>
    <m/>
    <s v="Target deferred as part of Q1 Review due to ongoing coronavirus situation"/>
    <s v="N/A"/>
    <s v="N/A"/>
    <s v="Deferred"/>
    <m/>
    <s v="Target deferred as part of Q1 Review due to ongoing coronavirus situation"/>
    <m/>
    <m/>
    <s v="Deferred"/>
    <m/>
    <m/>
    <m/>
    <s v="Deferred"/>
    <m/>
    <m/>
    <s v="Mark Rizk"/>
    <s v="Communities, Open Spaces &amp; Facilities"/>
    <s v="Environment and Health &amp; Wellbeing"/>
    <s v="Leisure, Amenities &amp; Tourism"/>
    <s v="Leisure, Culture &amp; Tourism"/>
  </r>
  <r>
    <x v="4"/>
    <s v="EHW18"/>
    <s v="Develop Tourism within the Borough"/>
    <s v="Develop a tactical approach and plan for tourism in East Staffordshire"/>
    <s v="October 2020"/>
    <s v="Draft document to be shared with the Deputy Leader early in Quarter 2"/>
    <m/>
    <s v="On Track to be Achieved"/>
    <m/>
    <s v="Plan to be approved by Cabinet in October"/>
    <m/>
    <m/>
    <s v="On Track to be Achieved"/>
    <m/>
    <s v="Plan approved by Cabinet in October"/>
    <m/>
    <m/>
    <s v="Fully Achieved"/>
    <m/>
    <m/>
    <m/>
    <s v="Fully Achieved"/>
    <m/>
    <m/>
    <s v="Mark Rizk"/>
    <s v="Communities, Open Spaces &amp; Facilities"/>
    <s v="Environment and Health &amp; Wellbeing"/>
    <s v="Leisure, Amenities &amp; Tourism"/>
    <s v="Leisure, Culture &amp; Tourism"/>
  </r>
  <r>
    <x v="9"/>
    <s v="EHW19"/>
    <s v="Compliance Inspections in support of Public Protection"/>
    <s v="Undertake two high profile initiatives aimed at monitoring compliance and ensuring public protection"/>
    <s v="March 2021"/>
    <s v="Initiatives currently being taken to investigate Covid-19 compliance in businesses that are starting to reopen"/>
    <m/>
    <s v="On Track to be Achieved"/>
    <m/>
    <s v="Ongoing partnership work with Staffordshire County Council and the Police for Covid enforcement and compliance in high risk establishments"/>
    <m/>
    <m/>
    <s v="On Track to be Achieved"/>
    <m/>
    <s v="Ongoing partnership work with Staffordshire County Council and Police. Targeted compliance letters sent to warehouses in Centrum 100 area due to high numbers of Covid cases and focussed media posts to increase compliance with covid measures prior to xmas period. "/>
    <m/>
    <m/>
    <s v="On Track to be Achieved"/>
    <m/>
    <m/>
    <m/>
    <s v="Update not provided"/>
    <m/>
    <m/>
    <s v="Mark Rizk"/>
    <s v="Environmental Health"/>
    <s v="Environment and Health &amp; Wellbeing"/>
    <s v="Community &amp; Regulatory Services"/>
    <s v="Regulatory &amp; Community Support"/>
  </r>
  <r>
    <x v="10"/>
    <s v="EHW20"/>
    <s v="Community &amp; Civil Enforcement Initiatives"/>
    <s v="Undertake 8 focused initiatives (including fly tipping) across the Borough and deliver at least 6 education programs in local schools. "/>
    <s v="March 2021"/>
    <s v="Planned initiatives have not yet taken place. This is due to school closures and the CCEO's have been involved in Covid-19 related tasks, shielding or WFH. "/>
    <m/>
    <s v="In Danger of Falling Behind Target"/>
    <s v="Alternative options being looked into such as other community groups i.e. scouts, brownies, cadets. Those contacted are functioning remotely. "/>
    <s v="Two initiatives have been completed during September. The first in Anglesey and the second in Shobnall. A further two are organised for October, one in Horninglow and one in Eton. Due to COVID 19 and the challenges faced, including Covid Marshal activity, these have not &amp; will not include schools at this stage."/>
    <m/>
    <m/>
    <s v="In Danger of Falling Behind Target"/>
    <m/>
    <s v="Completed a total of 6x initiatives. Q3 were Horninglow / The Kingfisher Trail / Eton / Branston. Contact has been made with 51 schools including providing educational literature based around core topics such as fly-tipping, littering and dog fouling."/>
    <m/>
    <m/>
    <s v="On Track to be Achieved"/>
    <m/>
    <m/>
    <m/>
    <s v="Update not provided"/>
    <m/>
    <m/>
    <s v="Mark Rizk"/>
    <s v="Civil Enforcement"/>
    <s v="Environment and Health &amp; Wellbeing"/>
    <s v="Community &amp; Regulatory Services"/>
    <s v="Regulatory &amp; Community Support"/>
  </r>
  <r>
    <x v="9"/>
    <s v="EHW21"/>
    <s v="Development of the Selective Licensing Scheme"/>
    <s v="Selective Licensing Designation Approved"/>
    <s v="Date TBC"/>
    <s v="Target to be deferred to the next Corporate Plan year, as there is currently no indication that the necessary Government guidance will be received this year. "/>
    <m/>
    <s v="Deferred"/>
    <m/>
    <s v="Target deferred as part of Q1 Review due to ongoing coronavirus situation"/>
    <s v="N/A"/>
    <s v="N/A"/>
    <s v="Deferred"/>
    <m/>
    <s v="Target deferred as part of Q1 Review due to ongoing coronavirus situation"/>
    <m/>
    <m/>
    <s v="Deferred"/>
    <m/>
    <m/>
    <m/>
    <s v="Deferred"/>
    <m/>
    <m/>
    <s v="Mark Rizk"/>
    <s v="Environmental Health"/>
    <s v="Environment and Health &amp; Wellbeing"/>
    <s v="Community &amp; Regulatory Services"/>
    <s v="Regulatory &amp; Community Support"/>
  </r>
  <r>
    <x v="9"/>
    <s v="EHW22"/>
    <s v="Development of the Selective Licensing Scheme"/>
    <s v="Selective Licensing Third Year Review Complete"/>
    <s v="November 2020"/>
    <s v="On track to be completed"/>
    <m/>
    <s v="On Track to be Achieved"/>
    <m/>
    <s v="Report completed for CMT"/>
    <m/>
    <m/>
    <s v="On Track to be Achieved"/>
    <m/>
    <s v="Selective Licensing Review report completed and approved by Cabinet in  November 2020"/>
    <m/>
    <m/>
    <s v="Fully Achieved"/>
    <m/>
    <m/>
    <m/>
    <s v="Fully Achieved"/>
    <m/>
    <m/>
    <s v="Mark Rizk"/>
    <s v="Environmental Health"/>
    <s v="Environment and Health &amp; Wellbeing"/>
    <s v="Community &amp; Regulatory Services"/>
    <s v="Regulatory &amp; Community Support"/>
  </r>
  <r>
    <x v="9"/>
    <s v="EHW23"/>
    <s v="Partnership working with Trading Standards Regarding Tenant Fees"/>
    <s v="Undertake a Targeted Initiative to Investigate and Enforce Compliance with Tenant Fees Legislation"/>
    <s v="March 2021"/>
    <s v="1 case of non compliance is currently being investigated in partnership with Staffordshire County Council"/>
    <m/>
    <s v="On Track to be Achieved"/>
    <m/>
    <s v="Draft strategy for targeting tenants and landlords to check for compliance"/>
    <m/>
    <m/>
    <s v="Not yet due"/>
    <m/>
    <s v="Initial work undertaken focussing on a non-compliant letting agent. This is currently on hold due to Covid. "/>
    <m/>
    <m/>
    <s v="On Track to be Achieved"/>
    <m/>
    <m/>
    <m/>
    <s v="Update not provided"/>
    <m/>
    <m/>
    <s v="Mark Rizk"/>
    <s v="Environmental Health"/>
    <s v="Environment and Health &amp; Wellbeing"/>
    <s v="Community &amp; Regulatory Services"/>
    <s v="Regulatory &amp; Community Support"/>
  </r>
  <r>
    <x v="9"/>
    <s v="EHW24"/>
    <s v="Disabled Facilities Grant Review"/>
    <s v="Complete Annual Review of Disabled Facilities Grant Service"/>
    <s v="December 2020"/>
    <s v="On track to be completed"/>
    <m/>
    <s v="On Track to be Achieved"/>
    <m/>
    <s v="CMT report currently being drafted"/>
    <m/>
    <m/>
    <s v="On Track to be Achieved"/>
    <m/>
    <s v="Disabled Facilities Grant Review completed and agreed by Cabinet in December 2020"/>
    <m/>
    <m/>
    <s v="Fully Achieved"/>
    <m/>
    <m/>
    <m/>
    <s v="Fully Achieved"/>
    <m/>
    <m/>
    <s v="Mark Rizk"/>
    <s v="Environmental Health"/>
    <s v="Environment and Health &amp; Wellbeing"/>
    <s v="Community &amp; Regulatory Services"/>
    <s v="Regulatory &amp; Community Support"/>
  </r>
  <r>
    <x v="9"/>
    <s v="EHW25"/>
    <s v="Climate Change &amp; Air Quality Policy"/>
    <s v="Consider the declaration of a Climate Emergency and implement and monitor a Climate Change action plan-including an annual update"/>
    <s v="August 2020"/>
    <s v="The report for a Climate Change Emergency Declaration and supporting action plan has been completed and is being taken to the groups in July for approval in August."/>
    <m/>
    <s v="On Track to be Achieved"/>
    <m/>
    <s v="Report completed and agreed in August 2020"/>
    <m/>
    <m/>
    <s v="Fully Achieved"/>
    <m/>
    <s v="Completed in August 2020"/>
    <m/>
    <m/>
    <s v="Fully Achieved"/>
    <m/>
    <m/>
    <m/>
    <s v="Fully Achieved"/>
    <m/>
    <m/>
    <s v="Mark Rizk"/>
    <s v="Environmental Health"/>
    <s v="Environment and Health &amp; Wellbeing"/>
    <s v="Community &amp; Regulatory Services"/>
    <s v="Regulatory &amp; Community Support"/>
  </r>
  <r>
    <x v="9"/>
    <s v="EHW26"/>
    <s v="Multi-agency Initiatives to Combat Modern Slavery"/>
    <s v="Carry out Covid-19 compliance checks across the Borough and report progress on a quarterly basis"/>
    <s v="March 2021"/>
    <s v="Focussed covid compliance checks are being undertaken in licensed premises along with targeted initiatives to businesses within Uxbridge Street, Waterloo Street and Horninglow Road. Business packs have been distributed along with letters advising of additional restrictions that shops should put in place to reduce customer numbers and ensure customers wear face coverings. "/>
    <m/>
    <s v="On Track to be Achieved"/>
    <m/>
    <s v="Focussed compliance checks in high risk premises such as takeaways, licensed premises and warehouses"/>
    <m/>
    <m/>
    <s v="On Track to be Achieved"/>
    <m/>
    <s v="Focussed compliance checks in high risk businesses such as takeaways, licensed premises and warehouses"/>
    <m/>
    <m/>
    <s v="On Track to be Achieved"/>
    <m/>
    <m/>
    <m/>
    <s v="Update not provided"/>
    <m/>
    <m/>
    <s v="Mark Rizk"/>
    <s v="Environmental Health"/>
    <s v="Environment and Health &amp; Wellbeing"/>
    <s v="Community &amp; Regulatory Services"/>
    <s v="Regulatory &amp; Community Support"/>
  </r>
  <r>
    <x v="11"/>
    <s v="VFM01"/>
    <s v="Continue to Improve Financial Resilience"/>
    <s v="Compliance with HMRC VAT Digitalisation Requirements "/>
    <s v="31st March 2020"/>
    <s v="HMRC have deferred this requirement until April 2021 due to Covid-19 (target date revised to reflect this)"/>
    <m/>
    <s v="On Track to be Achieved"/>
    <m/>
    <s v="Scheduled for implementation in Q3."/>
    <m/>
    <m/>
    <s v="On Track to be Achieved"/>
    <m/>
    <s v="The Making Tax Digital Module of Agresso was implemented this Quarter and the first VAT return submitted in accordance with the requirements."/>
    <m/>
    <m/>
    <s v="Fully Achieved"/>
    <m/>
    <m/>
    <m/>
    <s v="Fully Achieved"/>
    <m/>
    <m/>
    <s v="Sal Khan"/>
    <s v="FMU"/>
    <s v="Value for Money Council"/>
    <s v="Leader"/>
    <s v="Leader"/>
  </r>
  <r>
    <x v="11"/>
    <s v="VFM02"/>
    <s v="Continue to Improve Financial Resilience"/>
    <s v="Review compliance against CIPFA FM Code of Practice"/>
    <s v="December 2020"/>
    <m/>
    <m/>
    <s v="Not Yet Due"/>
    <m/>
    <m/>
    <m/>
    <m/>
    <s v="Not yet due"/>
    <m/>
    <s v="Review delayed due to impact of Covid-19 on staffing resources. Review to be completed as soon as feasible."/>
    <m/>
    <m/>
    <s v="Off Target"/>
    <m/>
    <m/>
    <m/>
    <s v="Update not provided"/>
    <m/>
    <m/>
    <s v="Sal Khan"/>
    <s v="FMU"/>
    <s v="Value for Money Council"/>
    <s v="Leader"/>
    <s v="Leader"/>
  </r>
  <r>
    <x v="11"/>
    <s v="VFM03"/>
    <s v="Continue to Improve Financial Resilience"/>
    <s v="Review and Refresh Financial Regulations"/>
    <s v="March 2021"/>
    <m/>
    <m/>
    <s v="Not Yet Due"/>
    <m/>
    <m/>
    <m/>
    <m/>
    <s v="Not yet due"/>
    <m/>
    <s v="Request deferral pending the refresh of the Contract Procedure Rules (see VFM04)"/>
    <m/>
    <m/>
    <s v="Not Yet Due"/>
    <m/>
    <m/>
    <m/>
    <s v="Update not provided"/>
    <m/>
    <m/>
    <s v="Sal Khan"/>
    <s v="FMU"/>
    <s v="Value for Money Council"/>
    <s v="Leader"/>
    <s v="Leader"/>
  </r>
  <r>
    <x v="11"/>
    <s v="VFM04"/>
    <s v="Continue to Improve Financial Resilience"/>
    <s v="Review and Refresh Contract Procedure Rules"/>
    <s v="March 2021"/>
    <m/>
    <m/>
    <s v="Not Yet Due"/>
    <m/>
    <m/>
    <m/>
    <m/>
    <s v="Not yet due"/>
    <m/>
    <s v="Request for deferral pending outcome of Green Paper in relation to Public Procurement Regulations"/>
    <m/>
    <m/>
    <s v="Not Yet Due"/>
    <m/>
    <m/>
    <m/>
    <s v="Update not provided"/>
    <m/>
    <m/>
    <s v="Sal Khan"/>
    <s v="FMU"/>
    <s v="Value for Money Council"/>
    <s v="Leader"/>
    <s v="Leader"/>
  </r>
  <r>
    <x v="11"/>
    <s v="VFM05"/>
    <s v="Continue to Improve Financial Resilience"/>
    <s v="Undertake a Procurement Exercise for the Council’s Insurance and related support"/>
    <s v="October 2020"/>
    <s v="Mini competition to appoint insurance broker and agreed process and timescales for procurement of insurer."/>
    <m/>
    <s v="On Track to be Achieved"/>
    <m/>
    <s v="Completed in Quarter 2."/>
    <m/>
    <m/>
    <s v="Fully Achieved"/>
    <m/>
    <m/>
    <m/>
    <m/>
    <s v="Fully Achieved"/>
    <m/>
    <m/>
    <m/>
    <s v="Fully Achieved"/>
    <m/>
    <m/>
    <s v="Sal Khan"/>
    <s v="FMU"/>
    <s v="Value for Money Council"/>
    <s v="Leader"/>
    <s v="Leader"/>
  </r>
  <r>
    <x v="0"/>
    <s v="VFM06"/>
    <s v="Continue to Improve Financial Resilience"/>
    <s v="Develop Procurement Policy  "/>
    <s v="June 2020"/>
    <s v="The newly developed Procurement Policy has been drafted. This will be considered further by senior officers and Members in July / August and is scheduled to be presented to Cabinet in September. There has been a slight delay in the Policy being approved due to additional pressures on resource arising from the COVID-19 situation."/>
    <m/>
    <s v="Off Target"/>
    <m/>
    <s v="The Procurement Policy was approved by Cabinet in September 2020. There was a slight delay in the policy being approved due to additional pressures on resource arising from the necessary response to the COVID-19 situation."/>
    <m/>
    <m/>
    <s v="Completed Behind Schedule"/>
    <m/>
    <m/>
    <m/>
    <m/>
    <s v="Completed Behind Schedule"/>
    <m/>
    <s v="Approved by Cabinet in September"/>
    <m/>
    <s v="Completed Significantly After Target Deadline"/>
    <m/>
    <m/>
    <s v="Sal Khan"/>
    <s v="Programmes &amp; Transformation"/>
    <s v="Value for Money Council"/>
    <s v="Leader"/>
    <s v="Leader"/>
  </r>
  <r>
    <x v="11"/>
    <s v="VFM07"/>
    <s v="Responding to Significant Local Government Finance Changes and Assessing the Impact on the Council’s Financial Position"/>
    <s v="Activities Throughout the Year Reported in Line with the Timed Responses "/>
    <s v="March 2021"/>
    <s v="Due to Covid-19 the government has announced the many of the expected reforms will be deferred.  Officers are monitoring developments and proactively engaging with Government in relation to developments in respect of additional funding in 2020/21 towards Covid-19 related pressures and also the approach to funding for 2021/22."/>
    <m/>
    <s v="On Track to be Achieved"/>
    <m/>
    <s v="Many of reforms delayed, however there remains uncertainty in relation to the New Homes Bonus Scheme and Business Rates Reset in respect of the settlement for 2021/22."/>
    <m/>
    <m/>
    <s v="On Track to be Achieved"/>
    <m/>
    <s v="Further announcements in relation to delays in respect of the proposed funding reforms due to the Covid-19 Pandemic.  Officers will continue to contribute to discussions in respect of future reforms either directly via consultations or indirectly through forums such as DCN, SDCT and SCFOG."/>
    <m/>
    <m/>
    <s v="On Track to be Achieved"/>
    <m/>
    <m/>
    <m/>
    <s v="Update not provided"/>
    <m/>
    <m/>
    <s v="Sal Khan"/>
    <s v="FMU"/>
    <s v="Value for Money Council"/>
    <s v="Leader"/>
    <s v="Leader"/>
  </r>
  <r>
    <x v="11"/>
    <s v="VFM08"/>
    <s v="Set the MTFS for 2021/22 onwards"/>
    <s v="Set Budget for Council Approval  "/>
    <s v="February 2021"/>
    <s v="Work to commence in Quarter 2."/>
    <m/>
    <s v="Not Yet Due"/>
    <m/>
    <s v="Planning Stage."/>
    <m/>
    <m/>
    <s v="On Track to be Achieved"/>
    <m/>
    <s v="The Leader and Chief Executive briefed on the overall financial outlook. Star Chamber Meetings held during December and the Provisional Financial Settlement received in December."/>
    <m/>
    <m/>
    <s v="On Track to be Achieved"/>
    <m/>
    <m/>
    <m/>
    <s v="Update not provided"/>
    <m/>
    <m/>
    <s v="Sal Khan"/>
    <s v="FMU"/>
    <s v="Value for Money Council"/>
    <s v="Leader"/>
    <s v="Leader"/>
  </r>
  <r>
    <x v="11"/>
    <s v="VFM09"/>
    <s v="Savings targets for 2020/21"/>
    <s v="Achieve Savings Targets as Stated in the Medium Term Financial Strategy "/>
    <s v="March 2021"/>
    <s v="Current forecast indicates that pressures arising from Covid-19 exceed the additional funding support from Government."/>
    <m/>
    <s v="Deleted"/>
    <m/>
    <s v="Target deleted as part of Q1 Review due to ongoing coronavirus situation"/>
    <s v="N/A"/>
    <s v="N/A"/>
    <s v="Deleted"/>
    <m/>
    <m/>
    <m/>
    <m/>
    <s v="Deleted"/>
    <m/>
    <m/>
    <m/>
    <s v="Deleted"/>
    <m/>
    <m/>
    <s v="Sal Khan"/>
    <s v="FMU"/>
    <s v="Value for Money Council"/>
    <s v="Leader"/>
    <s v="Leader"/>
  </r>
  <r>
    <x v="11"/>
    <s v="VFM10"/>
    <s v="Having an approved Statement of Accounts "/>
    <s v="Submit Statement of Accounts to Audit Committee by the earlier Statutory Deadline "/>
    <s v="30th November 2020"/>
    <s v="Statutory deadlines have been amended due to Covid-19.  This has been moved from 31st July to 30th November and the Council is currently working towards sign-off in September."/>
    <m/>
    <s v="On Track to be Achieved"/>
    <m/>
    <s v="Audited Accounts agreed by Approval of Statement of Accounts Committee, subject to finalisation of external audit particularly in relation to the Pension Fund Assurance from Staffordshire County Council's auditors."/>
    <m/>
    <m/>
    <s v="On Track to be Achieved"/>
    <m/>
    <s v="Statement of Accounts signed during November following delay due to the audit of the Pension Fund Accounts."/>
    <m/>
    <m/>
    <s v="Fully Achieved"/>
    <m/>
    <m/>
    <m/>
    <s v="Fully Achieved"/>
    <m/>
    <m/>
    <s v="Sal Khan"/>
    <s v="FMU"/>
    <s v="Value for Money Council"/>
    <s v="Leader"/>
    <s v="Leader"/>
  </r>
  <r>
    <x v="12"/>
    <s v="VFM11"/>
    <s v="Prepare for a Corporate ICT refresh"/>
    <s v="Commence Desktop Hardware Renewal"/>
    <s v="June 2020"/>
    <s v="Standard models identified, pilot group to deploy"/>
    <m/>
    <s v="Fully Achieved"/>
    <m/>
    <m/>
    <m/>
    <m/>
    <s v="Fully Achieved"/>
    <m/>
    <m/>
    <m/>
    <m/>
    <s v="Fully Achieved"/>
    <m/>
    <m/>
    <m/>
    <s v="Fully Achieved"/>
    <m/>
    <m/>
    <s v="Sal Khan"/>
    <s v="ICT"/>
    <s v="Value for Money Council"/>
    <s v="Leader"/>
    <s v="Leader"/>
  </r>
  <r>
    <x v="12"/>
    <s v="VFM12"/>
    <s v="Explore opportunities for shared service/income generation"/>
    <s v="Report on ICT income generation"/>
    <s v="June 2020"/>
    <s v="Discussions are ongoing with another District LA regarding how ESBC can provide professional support with their ICT Strategy, ICT architecture and service delivery. However scoping for this piece of work has been impacted by Covid-19 and it is anticipated that it will be finalised before the end of the year."/>
    <m/>
    <s v="Off Target"/>
    <m/>
    <s v="Support is being provided to another organisation regarding their future service delivery options. A report will be provided by the end of Q4."/>
    <m/>
    <m/>
    <s v="Off Target"/>
    <m/>
    <s v="Support is being provided to Oadby and Wigston Borough Council regarding their future service delivery options. A report will be provided by the end of quarter 4."/>
    <m/>
    <m/>
    <s v="Off Target"/>
    <m/>
    <m/>
    <m/>
    <s v="Update not provided"/>
    <m/>
    <m/>
    <s v="Sal Khan"/>
    <s v="ICT"/>
    <s v="Value for Money Council"/>
    <s v="Leader"/>
    <s v="Leader"/>
  </r>
  <r>
    <x v="13"/>
    <s v="VFM13"/>
    <s v="Continuing to digitise SMARTER services"/>
    <s v="Digital Strategy Refreshed and approved"/>
    <s v="October 2020"/>
    <s v="Development of the Strategy is underway and is expected to be approved in October."/>
    <m/>
    <s v="On Track to be Achieved"/>
    <m/>
    <s v="The strategy is expected to be approved by Cabinet in October"/>
    <m/>
    <m/>
    <s v="On Track to be Achieved"/>
    <m/>
    <s v="The Refreshed Digital Strategy was approved by Cabinet in October 2020."/>
    <m/>
    <m/>
    <s v="Fully Achieved"/>
    <m/>
    <m/>
    <m/>
    <s v="Fully Achieved"/>
    <m/>
    <m/>
    <s v="Sal Khan"/>
    <s v="Programmes &amp; Transformation"/>
    <s v="Value for Money Council"/>
    <s v="Leader"/>
    <s v="Leader"/>
  </r>
  <r>
    <x v="13"/>
    <s v="VFM14"/>
    <s v="Continuing to digitise SMARTER services"/>
    <s v="80% of revised Digital Strategy targets achieved "/>
    <s v="March 2021"/>
    <s v="Strategy due to be approved by October"/>
    <m/>
    <s v="Not Yet Due"/>
    <m/>
    <s v="The strategy is due to be approved in October."/>
    <m/>
    <m/>
    <s v="Not yet due"/>
    <m/>
    <s v="Work has commenced on the initiatives described in the strategy including the formation of strategic and operational digital groups."/>
    <m/>
    <m/>
    <s v="On Track to be Achieved"/>
    <m/>
    <m/>
    <m/>
    <s v="Update not provided"/>
    <m/>
    <m/>
    <s v="Sal Khan"/>
    <s v="Programmes &amp; Transformation"/>
    <s v="Value for Money Council"/>
    <s v="Leader"/>
    <s v="Leader"/>
  </r>
  <r>
    <x v="13"/>
    <s v="VFM15"/>
    <s v="Continuing to digitise SMARTER services"/>
    <s v="GeoPlaces Gold Standard in ESBC related categories"/>
    <s v="March 2021"/>
    <s v="Data is currently rated as 'Gold' in 6 out of 10 ESBC related categories, 2 categories are rated silver and 2 are rated as bronze. Due to revised  thresholds introduced every May, it was anticipated that some categories would be rated as bronze or silver, and it is expected that Gold will be achieved by year end in line with the target. "/>
    <m/>
    <s v="On Track to be Achieved"/>
    <m/>
    <s v="We are making progress towards our data being rated as Gold Standard and it is expected that we will achieve Gold by the end of the year in line with the current target. A new LLPG system is due to go live in October which will improve the management of the system."/>
    <m/>
    <m/>
    <s v="On Track to be Achieved"/>
    <m/>
    <s v="A new LLPG system went live in Q3 which is assisting the management of LLPG. Due to a GeoPlace platform upgrade we have not received a recent rating however officers continue to maintain and improve the data."/>
    <m/>
    <m/>
    <s v="On Track to be Achieved"/>
    <m/>
    <m/>
    <m/>
    <s v="Update not provided"/>
    <m/>
    <m/>
    <s v="Sal Khan"/>
    <s v="Programmes &amp; Transformation"/>
    <s v="Value for Money Council"/>
    <s v="Leader"/>
    <s v="Leader"/>
  </r>
  <r>
    <x v="0"/>
    <s v="VFM16"/>
    <s v="Improved Resilience Planning"/>
    <s v="Review of Rest Centres Complete"/>
    <s v="March 2021"/>
    <m/>
    <m/>
    <s v="Not Yet Due"/>
    <m/>
    <s v="Review to commence during Quarter 3 to align to Local Resilience Forum flood planning processes. "/>
    <m/>
    <m/>
    <s v="Not yet due"/>
    <m/>
    <s v="Work has commenced on the review, including considering: rest centre operation in a concurrent incident scenario; rest centre capacities and locations; and how locations overlay with flood risk areas."/>
    <m/>
    <m/>
    <s v="On Track to be Achieved"/>
    <m/>
    <m/>
    <m/>
    <s v="Update not provided"/>
    <m/>
    <m/>
    <s v="Sal Khan"/>
    <s v="Democratic Services &amp; Emergency Planning"/>
    <s v="Value for Money Council"/>
    <s v="Leader"/>
    <s v="Leader"/>
  </r>
  <r>
    <x v="0"/>
    <s v="VFM17"/>
    <s v="LGA Peer Review"/>
    <s v="Work with the LGA to deliver a peer review to another council/s to build up to hosting one in East Staffordshire"/>
    <s v="October 2020"/>
    <s v="It has been indicated to the Council that the Peer Review programme is not proceeding."/>
    <m/>
    <s v="Deleted"/>
    <m/>
    <s v="Target deleted as part of Q1 Review due to ongoing coronavirus situation"/>
    <s v="N/A"/>
    <s v="N/A"/>
    <s v="Deleted"/>
    <m/>
    <m/>
    <m/>
    <m/>
    <s v="Deleted"/>
    <m/>
    <m/>
    <m/>
    <s v="Deleted"/>
    <m/>
    <m/>
    <s v="Andy O'Brien"/>
    <s v="Programmes &amp; Transformation"/>
    <s v="Value for Money Council"/>
    <s v="Leader"/>
    <s v="Leader"/>
  </r>
  <r>
    <x v="14"/>
    <s v="VFM18a"/>
    <s v="Continue to Maximise Income Through Effective Collection Processes (Previously BVPI9) "/>
    <s v="Collection Rates of _x000a_         Council Tax : 98% "/>
    <m/>
    <n v="0.28699999999999998"/>
    <n v="0.98"/>
    <s v="On Track to be Achieved"/>
    <s v="Target is annual. Current collection is 0.9% down on the same period 2019/20. Formal recovery procedures are starting July 2020."/>
    <n v="0.56620000000000004"/>
    <n v="0.56620000000000004"/>
    <n v="0.98"/>
    <s v="In Danger of Falling Behind Target"/>
    <s v="Ctax collection is 0.38% down on our target for September but this is an improvement of 0.22% compared with the end of August."/>
    <n v="0.83979999999999999"/>
    <n v="0.83979999999999999"/>
    <n v="0.98"/>
    <s v="On Track to be Achieved"/>
    <s v="Target is annual."/>
    <m/>
    <m/>
    <s v="Update not provided"/>
    <m/>
    <m/>
    <s v="Sal Khan"/>
    <s v="Revenues, Benefits &amp; Customer Care"/>
    <s v="Value for Money Council"/>
    <s v="Environment &amp; Housing"/>
    <s v="Environment &amp; Housing"/>
  </r>
  <r>
    <x v="14"/>
    <s v="VFM18b"/>
    <s v="Continue to Maximise Income Through Effective Collection Processes (Previously BVPI10) "/>
    <s v="Collection Rates of _x000a_                  NNDR : 99%"/>
    <m/>
    <n v="0.25509999999999999"/>
    <n v="0.99"/>
    <s v="On Track to be Achieved"/>
    <s v="Target is annual. Current collection is 7.51% down on the same period 2019/20. Formal recovery procedures are starting July 2020."/>
    <n v="0.52690000000000003"/>
    <n v="0.52690000000000003"/>
    <n v="0.98"/>
    <s v="On Track to be Achieved"/>
    <s v="NDR collection is 7.31% down on our target for September, but this is an improvement of 1.62% compared with the end of August. Enforcement action will commence in November, as Liability Order hearings are being re-started. Target is annual and therefore we estimate collection to improve during the next few months."/>
    <s v="80.97%_x000a__x000a_Target is annual. Affected by COVID pandemic. However, indications are that performance should be achieved within 5% of the target figure, as current collection is 3.81% down on target figure for 31 December."/>
    <n v="0.80969999999999998"/>
    <n v="0.96"/>
    <s v="In Danger of Falling Behind Target"/>
    <m/>
    <m/>
    <m/>
    <s v="Update not provided"/>
    <m/>
    <m/>
    <s v="Sal Khan"/>
    <s v="Revenues, Benefits &amp; Customer Care"/>
    <s v="Value for Money Council"/>
    <s v="Environment &amp; Housing"/>
    <s v="Environment &amp; Housing"/>
  </r>
  <r>
    <x v="14"/>
    <s v="VFM19a"/>
    <s v="Continue to Maximise Income Through Effective Collection Processes: Reduce Former Years Arrears for Council Tax; NNDR; Sundry Debts"/>
    <s v="Former Years Arrears for Council Tax_x000a_£2,500,000 (net of credits, amounts on arrangement and identified write offs)"/>
    <m/>
    <n v="2220350.39"/>
    <n v="2000000"/>
    <s v="On Track to be Achieved"/>
    <s v="Target is annual. Formal recovery procedures are starting July 2020 following suspension during Covid-19 lockdown."/>
    <n v="2220063.52"/>
    <n v="2220063.52"/>
    <n v="2500000"/>
    <s v="On Track to be Achieved"/>
    <m/>
    <s v="£2,190,835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90835"/>
    <n v="2100000"/>
    <s v="On Track to be Achieved"/>
    <m/>
    <m/>
    <m/>
    <s v="Update not provided"/>
    <m/>
    <m/>
    <s v="Sal Khan"/>
    <s v="Revenues, Benefits &amp; Customer Care"/>
    <s v="Value for Money Council"/>
    <s v="Environment &amp; Housing"/>
    <s v="Environment &amp; Housing"/>
  </r>
  <r>
    <x v="14"/>
    <s v="VFM19b"/>
    <s v="Continue to Maximise Income Through Effective Collection Processes: Reduce Former Years Arrears for Council Tax; NNDR; Sundry Debts"/>
    <s v="Former Years Arrears for NNDR_x000a_£2,000,000 (net of credits, amounts on arrangement and identified write offs)"/>
    <m/>
    <n v="2155042.42"/>
    <n v="2000000"/>
    <s v="On Track to be Achieved"/>
    <s v="Target is annual. Formal recovery procedures are starting July 2020 following suspension during Covid-19 lockdown."/>
    <n v="2434472.23"/>
    <n v="2434472.23"/>
    <n v="2000000"/>
    <s v="On Track to be Achieved"/>
    <s v="Pre April 2020 (previous  years) charges raised since 1 April 2020 (current year) total £1.2m, of which £669k was raised in September. These debits are added to the arrears figures brought forward as at 31 March 2020 and change frequently."/>
    <s v="£2,140,037_x000a__x000a_Target is annual. Corporate target was revised in September due to pandemic. Recovery action at Court commenced November 2020 which has enabled further recovery action procedures to be commenced, resulting in better arrears collection performance that originally anticipated."/>
    <n v="2140037"/>
    <n v="2000000"/>
    <s v="On Track to be Achieved"/>
    <m/>
    <m/>
    <m/>
    <s v="Update not provided"/>
    <m/>
    <m/>
    <s v="Sal Khan"/>
    <s v="Revenues, Benefits &amp; Customer Care"/>
    <s v="Value for Money Council"/>
    <s v="Environment &amp; Housing"/>
    <s v="Environment &amp; Housing"/>
  </r>
  <r>
    <x v="14"/>
    <s v="VFM19c"/>
    <s v="Continue to Maximise Income Through Effective Collection Processes: Reduce Former Years Arrears for Council Tax; NNDR; Sundry Debts"/>
    <s v="Current years arrears for sundry debts (older than 90 days)_x000a_£80,000 (net of credits, amounts on arrangement and identified write offs)"/>
    <m/>
    <n v="0"/>
    <n v="40000"/>
    <s v="On Track to be Achieved"/>
    <s v="Target is annual."/>
    <n v="34598.629999999997"/>
    <n v="34598.629999999997"/>
    <n v="80000"/>
    <s v="On Track to be Achieved"/>
    <m/>
    <s v="£74,606_x000a__x000a_Target is annual. Two invoices amounting to £42.5k remain on hold as per Legal Dept request."/>
    <n v="74606"/>
    <n v="80000"/>
    <s v="On Track to be Achieved"/>
    <m/>
    <m/>
    <m/>
    <s v="Update not provided"/>
    <m/>
    <m/>
    <s v="Sal Khan"/>
    <s v="Revenues, Benefits &amp; Customer Care"/>
    <s v="Value for Money Council"/>
    <s v="Environment &amp; Housing"/>
    <s v="Environment &amp; Housing"/>
  </r>
  <r>
    <x v="14"/>
    <s v="VFM20a"/>
    <s v="Maintaining excellent customer access to services with face-to-face and telephony enquiries"/>
    <s v="99% of CSC and Telephony Team Enquiries Resolved at First Point of Contact"/>
    <m/>
    <s v="None"/>
    <s v="n/a"/>
    <s v="Not Yet Due"/>
    <s v="The CSCs were closed on 23rd March due to lockdown restrictions imposed by Govt. No date has yet been agreed for their re-opening."/>
    <n v="0"/>
    <n v="0"/>
    <n v="0.99"/>
    <s v="On Track to be Achieved"/>
    <s v="Burton and Uttoxeter CSCs remain closed. However, Burton CSC will re-open on a reduced scale during October."/>
    <s v="100%_x000a__x000a_Burton CSC opened between 12 Oct and 5 Nov. Both CSCs remain closed for the time being."/>
    <n v="1"/>
    <n v="1"/>
    <s v="On Track to be Achieved"/>
    <m/>
    <m/>
    <m/>
    <s v="Update not provided"/>
    <m/>
    <m/>
    <s v="Sal Khan"/>
    <s v="Revenues, Benefits &amp; Customer Care"/>
    <s v="Value for Money Council"/>
    <s v="Environment &amp; Housing"/>
    <s v="Environment &amp; Housing"/>
  </r>
  <r>
    <x v="14"/>
    <s v="VFM20b"/>
    <s v="Maintaining excellent customer access to services with face-to-face and telephony enquiries"/>
    <s v="Minimum 75% Telephony Team Calls Answered Within 10 Seconds"/>
    <m/>
    <s v="79%_x000a__x000a_All services are being offered via telephone or online enquiries. High call volumes on Switchboard due to Waste changes (initial suspension of brown bin waste and re-introduction of bulky waste collections). Switchboard staff have now taken over calls from residents who are classified as Covid-19 vulnerable, and are being signposted to the relevant support agencies in partnership with the County Council."/>
    <n v="0.75"/>
    <s v="On Track to be Achieved"/>
    <m/>
    <n v="0.66"/>
    <n v="0.68"/>
    <n v="0.75"/>
    <s v="On Track to be Achieved"/>
    <s v="With the CSCs being closed since March, all services have been offered via telephone or online. Operators are also providing support to residents affected by Covid restrictions and isolation to ensure they can access food and support where necessary. "/>
    <s v="71%_x000a__x000a_Impact of Waste Management's crackdown on contaminated bins caused an increase in calls during Q3. Many of these calls were longer due to the dissatisfaction callers wished to express regarding the service. "/>
    <n v="0.76"/>
    <n v="0.75"/>
    <s v="On Track to be Achieved"/>
    <m/>
    <m/>
    <m/>
    <s v="Update not provided"/>
    <m/>
    <m/>
    <s v="Sal Khan"/>
    <s v="Revenues, Benefits &amp; Customer Care"/>
    <s v="Value for Money Council"/>
    <s v="Environment &amp; Housing"/>
    <s v="Environment &amp; Housing"/>
  </r>
  <r>
    <x v="14"/>
    <s v="VFM21"/>
    <s v="Continue to Improve the Ways We Provide Benefits to Those Most in Need:"/>
    <s v="Time Taken to Process Benefit New Claims and Change Events (Previously NI 181)_x000a_5 days"/>
    <m/>
    <s v="5.12 days_x000a__x000a_Claims processing has improved during June now that claims made as a result of the pandemic have reduced to normal levels. We anticipate the number of claims to increase over the coming months as the Govt's furlough scheme is pared back."/>
    <s v="5 days"/>
    <s v="On Track to be Achieved"/>
    <m/>
    <s v="4.25 days"/>
    <s v="4.76 days"/>
    <s v="5 days"/>
    <s v="On Track to be Achieved"/>
    <m/>
    <s v="4.18 days_x000a__x000a_Full case reviews have started under the DWPs Housing Benefit Accuracy Award initiative. This could impact future performance, depending on the number of cases DWP want us to review."/>
    <s v="4.57 days"/>
    <s v="5 days"/>
    <s v="On Track to be Achieved"/>
    <m/>
    <m/>
    <m/>
    <s v="Update not provided"/>
    <m/>
    <m/>
    <s v="Sal Khan"/>
    <s v="Revenues, Benefits &amp; Customer Care"/>
    <s v="Value for Money Council"/>
    <s v="Environment &amp; Housing"/>
    <s v="Environment &amp; Housing"/>
  </r>
  <r>
    <x v="14"/>
    <s v="VFM22ai"/>
    <s v="Working Towards the Reduction of Claimant Error Housing Benefit Overpayments (HBOPs)"/>
    <s v="% HBOPs recovered during the year; _x000a__x000a_90%"/>
    <m/>
    <n v="1.4525999999999999"/>
    <n v="0.8"/>
    <s v="On Track to be Achieved"/>
    <m/>
    <n v="1.9977"/>
    <n v="1.6981999999999999"/>
    <n v="1"/>
    <s v="On Track to be Achieved"/>
    <m/>
    <s v="142.8%_x000a__x000a_Further recovery action re-started in September following DWP relaxation of restrictions on deductions from ongoing benefits and HMRC providing employer information."/>
    <n v="1.5846"/>
    <n v="1.5"/>
    <s v="On Track to be Achieved"/>
    <m/>
    <m/>
    <m/>
    <s v="Update not provided"/>
    <m/>
    <m/>
    <s v="Sal Khan"/>
    <s v="Revenues, Benefits &amp; Customer Care"/>
    <s v="Value for Money Council"/>
    <s v="Environment &amp; Housing"/>
    <s v="Environment &amp; Housing"/>
  </r>
  <r>
    <x v="14"/>
    <s v="VFM22aii"/>
    <s v="Working Towards the Reduction of Claimant Error Housing Benefit Overpayments (HBOPs)"/>
    <s v=" % in year HBOPs recovered during the year;_x000a__x000a_70%"/>
    <m/>
    <n v="0.69"/>
    <n v="0.7"/>
    <s v="On Track to be Achieved"/>
    <m/>
    <n v="0.74299999999999999"/>
    <n v="0.47799999999999998"/>
    <n v="0.7"/>
    <s v="On Track to be Achieved"/>
    <s v="Direct Earnings Attachment processes have been re-opened by HMRC following lockdown. We await confirmation from DWP that they will resume collection via DWP benefits shortly."/>
    <s v="61.70%_x000a__x000a_Recovery of outstanding overpayments has been paused during this year due to the pandemic. Recovery from ongoing entitlement continued, but attachments to earnings and DDWP benefits were paused by DWP. The suspensions were lifted in November 2020 and we are now seeing increased collection. In December 2020 we collected 83% of the balances outstanding on the invoices raised that month."/>
    <n v="0.53859999999999997"/>
    <n v="0.6"/>
    <s v="In Danger of Falling Behind Target"/>
    <s v="Issue with Capita report not providing figures, which has been escalated as a fault."/>
    <m/>
    <m/>
    <s v="Update not provided"/>
    <m/>
    <m/>
    <s v="Sal Khan"/>
    <s v="Revenues, Benefits &amp; Customer Care"/>
    <s v="Value for Money Council"/>
    <s v="Environment &amp; Housing"/>
    <s v="Environment &amp; Housing"/>
  </r>
  <r>
    <x v="14"/>
    <s v="VFM22b"/>
    <s v="Working Towards the Reduction of Claimant Error Housing Benefit Overpayments (HBOPs)"/>
    <s v="% of HBOPS Processed and on Payment Arrangement; _x000a__x000a_90%"/>
    <m/>
    <n v="0.91"/>
    <n v="0.9"/>
    <s v="On Track to be Achieved"/>
    <m/>
    <n v="0.92400000000000004"/>
    <n v="0.91700000000000004"/>
    <n v="0.9"/>
    <s v="On Track to be Achieved"/>
    <m/>
    <s v="92.5%_x000a__x000a_Further recovery action re-started in September following DWP relaxation of restrictions on deductions from ongoing benefits and HMRC providing employer information."/>
    <n v="0.92"/>
    <n v="0.9"/>
    <s v="On Track to be Achieved"/>
    <m/>
    <m/>
    <m/>
    <s v="Update not provided"/>
    <m/>
    <m/>
    <s v="Sal Khan"/>
    <s v="Revenues, Benefits &amp; Customer Care"/>
    <s v="Value for Money Council"/>
    <s v="Environment &amp; Housing"/>
    <s v="Environment &amp; Housing"/>
  </r>
  <r>
    <x v="14"/>
    <s v="VFM23"/>
    <s v="Implement the new Business Rates Rate Relief policy"/>
    <s v="Revised Policy implemented "/>
    <s v="April 2020"/>
    <s v="Implemented 1st April 2020"/>
    <s v="n/a"/>
    <s v="Fully Achieved"/>
    <m/>
    <m/>
    <m/>
    <m/>
    <s v="Fully Achieved"/>
    <m/>
    <m/>
    <m/>
    <m/>
    <s v="Fully Achieved"/>
    <m/>
    <m/>
    <m/>
    <s v="Fully Achieved"/>
    <m/>
    <m/>
    <s v="Sal Khan"/>
    <s v="Revenues, Benefits &amp; Customer Care"/>
    <s v="Value for Money Council"/>
    <s v="Environment &amp; Housing"/>
    <s v="Environment &amp; Housing"/>
  </r>
  <r>
    <x v="14"/>
    <s v="VFM24"/>
    <s v="Prepare for Universal Credit Managed Migration  "/>
    <s v="Two Member Briefings"/>
    <s v="March 2021"/>
    <s v="Deferred to the next Corporate Plan year, as there is currently no indication that the necessary Government guidance will be received this year. "/>
    <m/>
    <s v="Deferred"/>
    <s v="We await further information from the DWP as to when Managed Migration is likely to be rolled out nationwide."/>
    <s v="Target deferred as part of Q1 Review due to ongoing coronavirus situation"/>
    <s v="N/A"/>
    <s v="N/A"/>
    <s v="Deferred"/>
    <m/>
    <s v="Target deferred as part of Q1 Review due to ongoing coronavirus situation"/>
    <m/>
    <m/>
    <s v="Deferred"/>
    <m/>
    <m/>
    <m/>
    <s v="Deferred"/>
    <m/>
    <m/>
    <s v="Sal Khan"/>
    <s v="Revenues, Benefits &amp; Customer Care"/>
    <s v="Value for Money Council"/>
    <s v="Environment &amp; Housing"/>
    <s v="Environment &amp; Housing"/>
  </r>
  <r>
    <x v="8"/>
    <s v="VFM25"/>
    <s v="Further Development of SMARTER working (Waste Collection)"/>
    <s v="Continue with SMARTER Waste Review Service _x000a_Two Update Reports with next steps"/>
    <s v="March 2021"/>
    <s v="Work is progressing with options for reviewing service delivery."/>
    <m/>
    <s v="On Track to be Achieved"/>
    <m/>
    <s v="Work has continued on the options for service delivery and a report will be submitted to Cabinet in December"/>
    <m/>
    <m/>
    <s v="On Track to be Achieved"/>
    <m/>
    <s v="External consultants appointed to provide an independent assessment of outsourcing, including a financial appraisal. Report now scheduled for Jan-21"/>
    <m/>
    <m/>
    <s v="On Track to be Achieved"/>
    <m/>
    <m/>
    <m/>
    <s v="Update not provided"/>
    <m/>
    <m/>
    <s v="Sal Khan"/>
    <s v="Environment"/>
    <s v="Value for Money Council"/>
    <s v="Environment &amp; Housing"/>
    <s v="Environment &amp; Housing"/>
  </r>
  <r>
    <x v="8"/>
    <s v="VFM26"/>
    <s v="Further Development of SMARTER working  (Street Cleaning)"/>
    <s v="Implement the SMARTER Street Cleaning Programme_x000a__x000a_Update report on IT Management System "/>
    <s v="March 2021"/>
    <m/>
    <m/>
    <s v="Not Yet Due"/>
    <m/>
    <s v="IT system installed and hardware for vehicles delivered to site. The next stage is to input baseline data and cleanse."/>
    <m/>
    <m/>
    <s v="On Track to be Achieved"/>
    <m/>
    <s v="Baseline data continues to be gathered and input into the system."/>
    <m/>
    <m/>
    <s v="On Track to be Achieved"/>
    <m/>
    <m/>
    <m/>
    <s v="Update not provided"/>
    <m/>
    <m/>
    <s v="Sal Khan"/>
    <s v="Environment"/>
    <s v="Value for Money Council"/>
    <s v="Environment &amp; Housing"/>
    <s v="Environment &amp; Housing"/>
  </r>
  <r>
    <x v="8"/>
    <s v="VFM27"/>
    <s v="Essential Procurement Activities"/>
    <s v="Dry Recycling Contract / Garden Waste Contract  Procurement commenced (Options Report)"/>
    <s v="June 2020"/>
    <s v="Options report approved by Cabinet in June 2020."/>
    <m/>
    <s v="Fully Achieved"/>
    <m/>
    <m/>
    <m/>
    <m/>
    <s v="Fully Achieved"/>
    <m/>
    <m/>
    <m/>
    <m/>
    <s v="Fully Achieved"/>
    <m/>
    <m/>
    <m/>
    <s v="Fully Achieved"/>
    <m/>
    <m/>
    <s v="Sal Khan"/>
    <s v="Environment"/>
    <s v="Value for Money Council"/>
    <s v="Environment &amp; Housing"/>
    <s v="Environment &amp; Housing"/>
  </r>
  <r>
    <x v="8"/>
    <s v="VFM28"/>
    <s v="Essential Procurement Activities"/>
    <s v="Vehicle Procurement concluded"/>
    <s v="November 2020"/>
    <s v="Contract documents being prepared for procurement. Timetable in place."/>
    <m/>
    <s v="On Track to be Achieved"/>
    <m/>
    <s v="Short delay to procurement timetable to enable Link Asset Services to undertake detailed appraisal of funding and vehicle options to ensure affordability, continued service delivery and climate change objectives. Cross party Member working group established to consider options and procurement timetable."/>
    <m/>
    <m/>
    <s v="In Danger of Falling Behind Target"/>
    <m/>
    <s v="Procurement concluded in December. Financial appraisal of the procurement options undertaken by external consultants to support decision. Report scheduled for January Cabinet. "/>
    <m/>
    <m/>
    <s v="Off Target"/>
    <m/>
    <m/>
    <m/>
    <s v="Update not provided"/>
    <m/>
    <m/>
    <s v="Sal Khan"/>
    <s v="Environment"/>
    <s v="Value for Money Council"/>
    <s v="Environment &amp; Housing"/>
    <s v="Environment &amp; Housing"/>
  </r>
  <r>
    <x v="8"/>
    <s v="VFM29"/>
    <s v="Minimise The Number Of Missed Bin Collections"/>
    <s v="Number Of Missed Bin Collections: Achieve 99.97% successful bin collections across the Borough "/>
    <s v="March 2021"/>
    <s v="99.97% successfully collected"/>
    <n v="99.97"/>
    <s v="On Track to be Achieved"/>
    <m/>
    <s v="99.97% successfully collected"/>
    <m/>
    <m/>
    <s v="On Track to be Achieved"/>
    <m/>
    <s v="99.97% successfully collected"/>
    <m/>
    <m/>
    <s v="On Track to be Achieved"/>
    <m/>
    <m/>
    <m/>
    <s v="Update not provided"/>
    <m/>
    <m/>
    <s v="Sal Khan"/>
    <s v="Environment"/>
    <s v="Value for Money Council"/>
    <s v="Environment &amp; Housing"/>
    <s v="Environment &amp; Housing"/>
  </r>
  <r>
    <x v="8"/>
    <s v="VFM30"/>
    <s v="Respond to Government Policy Announcements "/>
    <s v="Complete responses to Government consultations in line with consultation deadlines"/>
    <m/>
    <s v="COVID-19 has resulted in a delay in the Government publishing the next stage of consultations for the emerging Environment Bill. A revised timetable is yet to be confirmed."/>
    <m/>
    <s v="Not Yet Due"/>
    <m/>
    <s v="As reported in Q1, COVID-19 has resulted in a delay in the Government publishing the next stage of consultations for the emerging Environment Bill. A revised timetable is yet to be confirmed."/>
    <m/>
    <m/>
    <s v="Not yet due"/>
    <m/>
    <s v="Government has now indicated that the next round of consultations should be published in March/April 2021."/>
    <m/>
    <m/>
    <s v="Not Yet Due"/>
    <m/>
    <m/>
    <m/>
    <s v="Update not provided"/>
    <m/>
    <m/>
    <s v="Sal Khan"/>
    <s v="Environment"/>
    <s v="Value for Money Council"/>
    <s v="Environment &amp; Housing"/>
    <s v="Environment &amp; Housing"/>
  </r>
  <r>
    <x v="0"/>
    <s v="VFM31"/>
    <s v="Maintain Robust Mechanisms for Contract Managing the Leisure Service Arrangements"/>
    <s v="Report on the performance of the Leisure Operator on a quarterly basis"/>
    <m/>
    <s v="Detailed report on the performance of the Leisure Services contractor (Everyone Active) was presented to CMT, LDL, LAG, LOAG, IAAG and the AVFM Scrutiny Committee during May / June 2020."/>
    <m/>
    <s v="On Track to be Achieved"/>
    <m/>
    <s v="Detailed report on the performance of the Leisure Services contractor (Everyone Active) was presented to CMT, LDL, LAG, LOAG, IAAG and the AVFM Scrutiny Committee during August / September 2020."/>
    <m/>
    <m/>
    <s v="On Track to be Achieved"/>
    <m/>
    <s v="Detailed report on the performance of the Leisure Services contractor (Everyone Active) was presented to CMT, LDL, LAG, LOAG, IAAG and the AVFM Scrutiny Committee during November / December 2020."/>
    <m/>
    <m/>
    <s v="On Track to be Achieved"/>
    <m/>
    <m/>
    <m/>
    <s v="Update not provided"/>
    <m/>
    <m/>
    <s v="Mark Rizk"/>
    <s v="Leisure Services Contract"/>
    <s v="Value for Money Council"/>
    <s v="Leisure, Amenities &amp; Tourism"/>
    <s v="Leisure, Culture &amp; Tourism"/>
  </r>
  <r>
    <x v="0"/>
    <s v="VFM32"/>
    <s v="Review Strategic Sport and Leisure Approach in Line with Leisure Services Contract Arrangements"/>
    <s v="Undertake a follow-up benchmarking exercise supporting the delivery of the leisure operating contract "/>
    <s v="February 2021"/>
    <m/>
    <m/>
    <s v="Not Yet Due"/>
    <m/>
    <m/>
    <m/>
    <m/>
    <s v="Not yet due"/>
    <m/>
    <s v="Benchmarking work has commenced and is on track to be finalised in February 2021. Benchmarking work so far includes financial, operational and outcomes based considerations to support the ongoing contract management of the Leisure Services partnership. "/>
    <m/>
    <m/>
    <s v="On Track to be Achieved"/>
    <m/>
    <m/>
    <m/>
    <s v="Update not provided"/>
    <m/>
    <m/>
    <s v="Mark Rizk"/>
    <s v="Leisure Services Contract"/>
    <s v="Value for Money Council"/>
    <s v="Leisure, Amenities &amp; Tourism"/>
    <s v="Leisure, Culture &amp; Tourism"/>
  </r>
  <r>
    <x v="0"/>
    <s v="VFM33"/>
    <s v="Work with Leisure Operator to Continue to Provide High Quality Sports Facilities "/>
    <s v="Replace the Artificial Turf Pitch at Shobnall Leisure Complex"/>
    <s v="November 2020"/>
    <s v="Target deferred to the next Corporate Plan year, as the enforced closure of the facility has prevented the project from proceeding as planned so completion is now anticipated in 2021/22."/>
    <m/>
    <s v="Deferred"/>
    <m/>
    <s v="Target deferred as part of Q1 Review due to ongoing coronavirus situation"/>
    <s v="N/A"/>
    <s v="N/A"/>
    <s v="Deferred"/>
    <m/>
    <s v="Target deferred as part of Q1 Review due to ongoing coronavirus situation"/>
    <m/>
    <m/>
    <s v="Deferred"/>
    <m/>
    <m/>
    <m/>
    <s v="Deferred"/>
    <m/>
    <m/>
    <s v="Mark Rizk"/>
    <s v="Leisure Services Contract"/>
    <s v="Value for Money Council"/>
    <s v="Leisure, Amenities &amp; Tourism"/>
    <s v="Leisure, Culture &amp; Tourism"/>
  </r>
  <r>
    <x v="15"/>
    <s v="VFM34a"/>
    <s v="Improve Awareness of Council Services, Venues and Initiatives"/>
    <s v="Develop and communicate annual marketing plans for each leisure, culture and tourism service "/>
    <s v="April 2020"/>
    <s v="Each service has a specific Marketing Plan for 2020/21, although specific performance targets were unable to be added by the deadline due to COVID 19 uncertainties.  "/>
    <m/>
    <s v="Completed Behind Schedule"/>
    <m/>
    <m/>
    <m/>
    <m/>
    <s v="Completed Behind Schedule"/>
    <m/>
    <m/>
    <m/>
    <m/>
    <s v="Completed Behind Schedule"/>
    <m/>
    <m/>
    <m/>
    <s v="Completion Date Within Reasonable Tolerance"/>
    <m/>
    <m/>
    <s v="Mark Rizk"/>
    <s v="Marketing"/>
    <s v="Value for Money Council"/>
    <s v="Leisure, Amenities &amp; Tourism"/>
    <s v="Leisure, Culture &amp; Tourism"/>
  </r>
  <r>
    <x v="15"/>
    <s v="VFM34b"/>
    <s v="Improve Awareness of Council Services, Venues and Initiatives"/>
    <s v="Achieve 85% of these targets by year end"/>
    <s v="March 2021"/>
    <m/>
    <m/>
    <s v="Not Yet Due"/>
    <m/>
    <s v="A number of campaigns were launched in Q2:                                                Open Spaces 'Carry it in Carry it out'       Market Hall 'Be Your Own Boss'                         Brewhouse Reopening                                      Brewhouse 'At Home' virtual activities"/>
    <m/>
    <m/>
    <s v="Not yet due"/>
    <m/>
    <s v="Currently on target to exceed 85% by the end of the 2020/21 year."/>
    <m/>
    <m/>
    <s v="On Track to be Achieved"/>
    <m/>
    <m/>
    <m/>
    <s v="Update not provided"/>
    <m/>
    <m/>
    <s v="Mark Rizk"/>
    <s v="Marketing"/>
    <s v="Value for Money Council"/>
    <s v="Leisure, Amenities &amp; Tourism"/>
    <s v="Leisure, Culture &amp; Tourism"/>
  </r>
  <r>
    <x v="15"/>
    <s v="VFM35"/>
    <s v="Improve Awareness of Council Services, Venues and Initiatives"/>
    <s v="Attend and deliver a minimum of 5 events/outreach days (including Burton Market Place, Indoor shopping centres and Parks/open spaces etc.) to promote Council services in conjunction with partners."/>
    <s v="March 2021"/>
    <s v="No events or outreach days were organised in quarter 1 due to the Coronavirus outbreak. Due to the current conditions and social distancing, it's unknown if achieving this target will be possible in 2020/21  "/>
    <m/>
    <s v="In Danger of Falling Behind Target"/>
    <m/>
    <s v="No events or outreach days were organised or attended in quarter two due to the ongoing Coronavirus pandemic, although outreach promotions and activities are planned for quarter three."/>
    <m/>
    <m/>
    <s v="Not yet due"/>
    <m/>
    <s v="In quarter 3 we delivered a number of online activities and events to engage cultural audiences. We also engaged local residents and business in the 'StayLocal' campaign.  "/>
    <m/>
    <m/>
    <s v="On Track to be Achieved"/>
    <m/>
    <m/>
    <m/>
    <s v="Update not provided"/>
    <m/>
    <m/>
    <s v="Mark Rizk"/>
    <s v="Marketing"/>
    <s v="Value for Money Council"/>
    <s v="Leisure, Amenities &amp; Tourism"/>
    <s v="Leisure, Culture &amp; Tourism"/>
  </r>
  <r>
    <x v="4"/>
    <s v="VFM36"/>
    <s v="Procurement of Grounds Maintenance Contractor"/>
    <s v="Commence the process for the Grounds Maintenance contract retender"/>
    <s v="March 2021"/>
    <s v="Open Spaces and Procurement Teams have held initial discussions regarding the re-tendering of the contract."/>
    <m/>
    <s v="On Track to be Achieved"/>
    <m/>
    <s v="Procurement process to start from Qtr 3"/>
    <m/>
    <m/>
    <s v="On Track to be Achieved"/>
    <m/>
    <s v="Procurement process to start in quarter 4 with Procurement and Open Spaces Teams refining the specification and documentation in Q3 and early Q4."/>
    <m/>
    <m/>
    <s v="On Track to be Achieved"/>
    <m/>
    <m/>
    <m/>
    <s v="Update not provided"/>
    <m/>
    <m/>
    <s v="Mark Rizk"/>
    <s v="Communities, Open Spaces &amp; Facilities"/>
    <s v="Value for Money Council"/>
    <s v="Leisure, Amenities &amp; Tourism"/>
    <s v="Leisure, Culture &amp; Tourism"/>
  </r>
  <r>
    <x v="4"/>
    <s v="VFM37"/>
    <s v="Improving Energy Efficiency-Facility Developments"/>
    <s v="Review energy usage in Council owned buildings (e.g. Town Hall, Cemetery etc.) and investigate alternative energy sources."/>
    <s v="March 2021"/>
    <m/>
    <m/>
    <s v="Not Yet Due"/>
    <m/>
    <m/>
    <m/>
    <m/>
    <s v="Not yet due"/>
    <m/>
    <s v="Data available on energy usage and research completed on various energy sources. Report with recommendations to be completed in early Q4 in preparation for consideration by Cabinet."/>
    <m/>
    <m/>
    <s v="On Track to be Achieved"/>
    <m/>
    <m/>
    <m/>
    <s v="Update not provided"/>
    <m/>
    <m/>
    <s v="Mark Rizk"/>
    <s v="Communities, Open Spaces &amp; Facilities"/>
    <s v="Value for Money Council"/>
    <s v="Leisure, Amenities &amp; Tourism"/>
    <s v="Leisure, Culture &amp; Tourism"/>
  </r>
  <r>
    <x v="16"/>
    <s v="VFM38"/>
    <s v="Brewhouse, Arts and Town Hall Developments "/>
    <s v="Complete the implementation of a new service delivery model."/>
    <s v="March 2021"/>
    <s v="Awaiting outcome of current situation with COVID-19 and current closure of venues -before reviewing future strategy of service - it will be unlikely that this is known before the end of the year"/>
    <m/>
    <s v="Not Yet Due"/>
    <m/>
    <s v="With the re-opening of venues and COVID-Secure delivery starting to take place, as well as a better understanding of long term impact and funding available as result of COVID-19, work on new service delivery model has begun. In addition, the complimentary plans and proposals provided through the Stronger Towns work will also need to be factored in to the long term service delivery approach."/>
    <m/>
    <m/>
    <s v="Not yet due"/>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16"/>
    <s v="VFM39"/>
    <s v="Brewhouse, Arts and Town Hall Developments"/>
    <s v="New Brewhouse, Arts and Town Hall service strategy document completed"/>
    <s v="October 2020"/>
    <s v="Awaiting outcome of current situation with COVID-19 before reviewing future strategy of service - it will be unlikely that this is known before the end of the year"/>
    <m/>
    <s v="In Danger of Falling Behind Target"/>
    <m/>
    <s v="Draft strategy complete and shared with HoS. The strategy will feed into the new service delivery plans as described in VFM38."/>
    <m/>
    <m/>
    <s v="On Track to be Achieved"/>
    <m/>
    <s v="As per Quarter 2 report, this target has been deferred to allow for the outcome of the Stronger Towns work to be factored in to the long term service delivery approach"/>
    <m/>
    <m/>
    <s v="Deferred"/>
    <m/>
    <m/>
    <m/>
    <s v="Deferred"/>
    <m/>
    <m/>
    <s v="Mark Rizk"/>
    <s v="Brewhouse, Arts &amp; Civic Function Suite"/>
    <s v="Value for Money Council"/>
    <s v="Community &amp; Regulatory Services"/>
    <s v="Leisure, Culture &amp; Tourism"/>
  </r>
  <r>
    <x v="5"/>
    <s v="VFM40"/>
    <s v="Continue to develop SMARTER working practices for Planning"/>
    <s v="Two reports identifying reviews, changes and improvements"/>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1"/>
    <s v="Continue to develop SMARTER working practices for Planning"/>
    <s v="Electronic Document Management System Review and recommendation"/>
    <s v="March 2021"/>
    <m/>
    <m/>
    <s v="Not Yet Due"/>
    <m/>
    <s v="Currently underway "/>
    <m/>
    <m/>
    <s v="On Track to be Achieved"/>
    <m/>
    <m/>
    <m/>
    <m/>
    <s v="On Track to be Achieved"/>
    <m/>
    <m/>
    <m/>
    <s v="Update not provided"/>
    <m/>
    <m/>
    <s v="Sal Khan"/>
    <s v="Planning"/>
    <s v="Value for Money Council"/>
    <s v="Regeneration &amp; Planning Policy"/>
    <s v="Regeneration &amp; Planning Policy"/>
  </r>
  <r>
    <x v="5"/>
    <s v="VFM42"/>
    <s v="Continuing to inform and improve Planning awareness with Members"/>
    <s v="At least 2 briefings delivered to elected members during the year "/>
    <m/>
    <s v="Planning Committee Members have received training at the June 2020 Committee. Full Member training will be delivered on the forthcoming Planning White paper"/>
    <m/>
    <s v="On Track to be Achieved"/>
    <m/>
    <s v="Full Member briefing took place on 12th October. "/>
    <m/>
    <m/>
    <s v="On Track to be Achieved"/>
    <m/>
    <s v="A briefing on the planning white paper was held in October"/>
    <m/>
    <m/>
    <s v="On Track to be Achieved"/>
    <m/>
    <m/>
    <m/>
    <s v="Update not provided"/>
    <m/>
    <m/>
    <s v="Sal Khan"/>
    <s v="Planning"/>
    <s v="Value for Money Council"/>
    <s v="Regeneration &amp; Planning Policy"/>
    <s v="Regeneration &amp; Planning Policy"/>
  </r>
  <r>
    <x v="5"/>
    <s v="VFM43"/>
    <s v="Continuing to inform and improve Planning awareness with Members"/>
    <s v="Targeted Planning Committee Briefings - 10 throughout the year"/>
    <m/>
    <s v="Planning Committee Members have received training at the June 2020 Committee. A full programme of training is scheduled for the year. Viability training took place at June meeting. National Forest are scheduled for July and transport for August."/>
    <m/>
    <s v="On Track to be Achieved"/>
    <m/>
    <s v="6 briefings have taken place in 2020 to date "/>
    <m/>
    <m/>
    <s v="On Track to be Achieved"/>
    <m/>
    <n v="6"/>
    <m/>
    <m/>
    <s v="On Track to be Achieved"/>
    <m/>
    <m/>
    <m/>
    <s v="Update not provided"/>
    <m/>
    <m/>
    <s v="Sal Khan"/>
    <s v="Planning"/>
    <s v="Value for Money Council"/>
    <s v="Regeneration &amp; Planning Policy"/>
    <s v="Regeneration &amp; Planning Policy"/>
  </r>
  <r>
    <x v="5"/>
    <s v="VFM44"/>
    <s v="Monitor Local Plan Performance "/>
    <s v="Authority Monitoring Report  Prepared"/>
    <s v="December 2020"/>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5"/>
    <s v="VFM45"/>
    <s v="Monitor Local Plan Performance "/>
    <s v="Consider review of the Local Plan"/>
    <s v="October 2020"/>
    <s v="In progress. "/>
    <m/>
    <s v="On Track to be Achieved"/>
    <m/>
    <s v="Report going to full council on 19th October "/>
    <m/>
    <m/>
    <s v="On Track to be Achieved"/>
    <m/>
    <s v="Reported to Full Council on 19th October 2020"/>
    <m/>
    <m/>
    <s v="Fully Achieved"/>
    <m/>
    <m/>
    <m/>
    <s v="Fully Achieved"/>
    <m/>
    <m/>
    <s v="Sal Khan"/>
    <s v="Planning"/>
    <s v="Value for Money Council"/>
    <s v="Regeneration &amp; Planning Policy"/>
    <s v="Regeneration &amp; Planning Policy"/>
  </r>
  <r>
    <x v="5"/>
    <s v="VFM46"/>
    <s v="New and Refreshed Planning Policies"/>
    <s v="Prepare and publish Infrastructure Funding Statement "/>
    <s v="January 2021"/>
    <s v="Officers have undertaken collection of data"/>
    <m/>
    <s v="On Track to be Achieved"/>
    <m/>
    <s v="Report currently being prepared "/>
    <m/>
    <m/>
    <s v="On Track to be Achieved"/>
    <m/>
    <s v="Published in December"/>
    <m/>
    <m/>
    <s v="Fully Achieved"/>
    <m/>
    <m/>
    <m/>
    <s v="Fully Achieved"/>
    <m/>
    <m/>
    <s v="Sal Khan"/>
    <s v="Planning"/>
    <s v="Value for Money Council"/>
    <s v="Regeneration &amp; Planning Policy"/>
    <s v="Regeneration &amp; Planning Policy"/>
  </r>
  <r>
    <x v="17"/>
    <s v="VFM47"/>
    <s v="Review of the Council’s CCTV Provision "/>
    <s v="Preparation of tender documentation for the CCTV Contract Renewal Completed"/>
    <s v="January 2021"/>
    <s v="Discussions have begun with the project team and external auditor to facilitate this target"/>
    <m/>
    <s v="On Track to be Achieved"/>
    <m/>
    <s v="Initial meeting held to begin looking at documents but on hold pending report for Council"/>
    <m/>
    <m/>
    <s v="On Track to be Achieved"/>
    <m/>
    <s v="The prep of tender documents is currently delayed due to a review of the CCTV provision"/>
    <m/>
    <m/>
    <s v="In Danger of Falling Behind Target"/>
    <m/>
    <m/>
    <m/>
    <s v="Update not provided"/>
    <m/>
    <m/>
    <s v="Mark Rizk"/>
    <s v="Communities &amp; Open Spaces"/>
    <s v="Value for Money Council"/>
    <s v="Community &amp; Regulatory Services"/>
    <s v="Regulatory &amp; Community Support"/>
  </r>
  <r>
    <x v="17"/>
    <s v="VFM48"/>
    <s v="Review of the Council’s CCTV Provision "/>
    <s v="Develop a Code of Practice for the use of Mobile CCTV Camera"/>
    <s v="September 2020"/>
    <s v="Work has begun on the Code of Practice and a sample will be sent to the external auditor for comment"/>
    <m/>
    <s v="On Track to be Achieved"/>
    <m/>
    <s v="Completed to be attached to CCTV report"/>
    <m/>
    <m/>
    <s v="On Track to be Achieved"/>
    <m/>
    <s v="Code of Practice (working procedure for officers) has been produce and is currently being used"/>
    <m/>
    <m/>
    <s v="Fully Achieved"/>
    <m/>
    <m/>
    <m/>
    <s v="Fully Achieved"/>
    <m/>
    <m/>
    <s v="Mark Rizk"/>
    <s v="Civil Enforcement"/>
    <s v="Value for Money Council"/>
    <s v="Community &amp; Regulatory Services"/>
    <s v="Regulatory &amp; Community Support"/>
  </r>
  <r>
    <x v="17"/>
    <s v="VFM49"/>
    <s v="Improvements for the Hackney Carriage and Private Hire Service"/>
    <s v="Improvement Plan Completed"/>
    <s v="February 2021"/>
    <s v="·         Work has begun on a review of the Hackney Carriage Tariff. A sample tariff has been submitted by the trade. Safeguarding Training has been sourced however is on hold until restrictions are released as we need large volumes of drivers to attend each session in order to keep costs low. Verbal/Oral test has been implemented and applicants are being able to be assessed. Medicals are currently on hold due to the pandemic and our inability for drivers to have medicals with doctors. DBS service implemented and being utilised._x000a_·         Safeguarding training for all Private Hire and Hackney Carriage Drivers_x000a_·         The introduction of a formal Verbal Test for new applicants for a Private Hire and Hackney Carriage Drivers Licence and Operators._x000a_·         Also to propose recommendations for Medicals for Private Hire and Hackney Carriage Drivers and_x000a_·         Introduce the DBS update service for Private Hire and Hackney Carriage Drivers and Operators "/>
    <m/>
    <s v="On Track to be Achieved"/>
    <s v="On target however there will be certain restrictions due to the pandemic"/>
    <s v="• A review of the Hackney Carriage Tariff - report prepared for CMT. Confirmation now received that the meter calibration companies are able to calibrate meters. Awaiting confirmation front testing stations that they are able to test Hackneys on rolling road._x000a_• A review of the Taxi ranks within in the Borough i.e. location and size etc - initial work has begun on where ranks are, what could  be deleted and new ranks implemented subject to consultation with the county council._x000a_• Safeguarding training for all Private Hire and Hackney Carriage Drivers - contact has been made again to begin this process at reduced capacity. Licensing Officers are just awaiting confirmation of costs. _x000a_• The introduction of a formal Verbal Test for new applicants for a Private Hire and Hackney Carriage Drivers Licence as well as Operators.- Implemented_x000a_• Also to propose recommendations for Medicals for Private Hire and Hackney Carriage Drivers and - Implemented we have now confirmed that All Saints Surgery are able to offer driver medicals to applicants. _x000a_• Introduce the Disclosure and Barring Service (DBS) update service for Private Hire and Hackney Carriage Drivers and Operators - Implemented."/>
    <m/>
    <m/>
    <s v="On Track to be Achieved"/>
    <m/>
    <s v="All areas are currently on target to be achieved."/>
    <m/>
    <m/>
    <s v="On Track to be Achieved"/>
    <m/>
    <m/>
    <m/>
    <s v="Update not provided"/>
    <m/>
    <m/>
    <s v="Mark Rizk"/>
    <s v="Licensing"/>
    <s v="Value for Money Council"/>
    <s v="Community &amp; Regulatory Services"/>
    <s v="Regulatory &amp; Community Suppor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C18" firstHeaderRow="1" firstDataRow="1" firstDataCol="0"/>
  <pivotFields count="29">
    <pivotField showAll="0">
      <items count="19">
        <item x="3"/>
        <item x="7"/>
        <item x="10"/>
        <item x="16"/>
        <item x="13"/>
        <item x="12"/>
        <item x="0"/>
        <item x="2"/>
        <item x="11"/>
        <item x="17"/>
        <item x="4"/>
        <item x="5"/>
        <item x="15"/>
        <item x="1"/>
        <item x="8"/>
        <item x="9"/>
        <item x="1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K179"/>
  <sheetViews>
    <sheetView tabSelected="1" zoomScale="80" zoomScaleNormal="80" zoomScaleSheetLayoutView="80" workbookViewId="0">
      <pane xSplit="5" ySplit="2" topLeftCell="F42" activePane="bottomRight" state="frozen"/>
      <selection pane="topRight" activeCell="F1" sqref="F1"/>
      <selection pane="bottomLeft" activeCell="A3" sqref="A3"/>
      <selection pane="bottomRight" activeCell="I136" sqref="I136"/>
    </sheetView>
  </sheetViews>
  <sheetFormatPr defaultColWidth="9.33203125" defaultRowHeight="97.95" customHeight="1"/>
  <cols>
    <col min="1" max="1" width="20.44140625" style="262" customWidth="1"/>
    <col min="2" max="2" width="6.6640625" style="230" customWidth="1"/>
    <col min="3" max="3" width="19.33203125" style="229" customWidth="1"/>
    <col min="4" max="4" width="31.88671875" style="229" customWidth="1"/>
    <col min="5" max="5" width="18.6640625" style="239" bestFit="1" customWidth="1"/>
    <col min="6" max="6" width="73" style="276" customWidth="1"/>
    <col min="7" max="7" width="22.109375" style="276" bestFit="1" customWidth="1"/>
    <col min="8" max="8" width="18.5546875" style="277" customWidth="1"/>
    <col min="9" max="9" width="31.33203125" style="238" customWidth="1"/>
    <col min="10" max="10" width="56.33203125" style="238" hidden="1" customWidth="1"/>
    <col min="11" max="12" width="18.44140625" style="238" hidden="1" customWidth="1"/>
    <col min="13" max="13" width="18.5546875" style="238" hidden="1" customWidth="1"/>
    <col min="14" max="14" width="38.44140625" style="238" hidden="1" customWidth="1"/>
    <col min="15" max="15" width="57.6640625" style="238" hidden="1" customWidth="1"/>
    <col min="16" max="16" width="18.44140625" style="238" hidden="1" customWidth="1"/>
    <col min="17" max="18" width="18.5546875" style="238" hidden="1" customWidth="1"/>
    <col min="19" max="19" width="32.6640625" style="238" hidden="1" customWidth="1"/>
    <col min="20" max="20" width="62.6640625" style="238" hidden="1" customWidth="1"/>
    <col min="21" max="22" width="18.5546875" style="238" hidden="1" customWidth="1"/>
    <col min="23" max="23" width="43" style="238" hidden="1" customWidth="1"/>
    <col min="24" max="24" width="8.33203125" style="230" hidden="1" customWidth="1"/>
    <col min="25" max="25" width="19.5546875" style="229" hidden="1" customWidth="1"/>
    <col min="26" max="27" width="20.44140625" style="262" hidden="1" customWidth="1"/>
    <col min="28" max="28" width="19.5546875" style="229" hidden="1" customWidth="1"/>
    <col min="29" max="35" width="19.5546875" style="238" hidden="1" customWidth="1"/>
    <col min="36" max="36" width="14.6640625" style="277" hidden="1" customWidth="1"/>
    <col min="37" max="37" width="36.6640625" style="295" hidden="1" customWidth="1"/>
    <col min="38" max="16384" width="9.33203125" style="295"/>
  </cols>
  <sheetData>
    <row r="1" spans="1:37" s="290" customFormat="1" ht="33.6" customHeight="1">
      <c r="A1" s="265"/>
      <c r="B1" s="265" t="s">
        <v>399</v>
      </c>
      <c r="C1" s="266"/>
      <c r="D1" s="266"/>
      <c r="E1" s="267"/>
      <c r="F1" s="389" t="s">
        <v>401</v>
      </c>
      <c r="G1" s="389"/>
      <c r="H1" s="389"/>
      <c r="I1" s="389"/>
      <c r="J1" s="390" t="s">
        <v>76</v>
      </c>
      <c r="K1" s="390"/>
      <c r="L1" s="390"/>
      <c r="M1" s="390"/>
      <c r="N1" s="390"/>
      <c r="O1" s="390" t="s">
        <v>78</v>
      </c>
      <c r="P1" s="390"/>
      <c r="Q1" s="390"/>
      <c r="R1" s="390"/>
      <c r="S1" s="390"/>
      <c r="T1" s="390" t="s">
        <v>80</v>
      </c>
      <c r="U1" s="390"/>
      <c r="V1" s="390"/>
      <c r="W1" s="390"/>
      <c r="X1" s="268"/>
      <c r="Y1" s="266"/>
      <c r="Z1" s="269"/>
      <c r="AA1" s="269"/>
      <c r="AB1" s="266"/>
      <c r="AC1" s="391" t="s">
        <v>131</v>
      </c>
      <c r="AD1" s="392"/>
      <c r="AE1" s="393"/>
      <c r="AF1" s="386" t="s">
        <v>131</v>
      </c>
      <c r="AG1" s="387"/>
      <c r="AH1" s="387"/>
      <c r="AI1" s="388"/>
      <c r="AJ1" s="289"/>
      <c r="AK1" s="377"/>
    </row>
    <row r="2" spans="1:37" s="292" customFormat="1" ht="61.95" customHeight="1" thickBot="1">
      <c r="A2" s="260" t="s">
        <v>11</v>
      </c>
      <c r="B2" s="258" t="s">
        <v>93</v>
      </c>
      <c r="C2" s="258" t="s">
        <v>119</v>
      </c>
      <c r="D2" s="258" t="s">
        <v>400</v>
      </c>
      <c r="E2" s="259" t="s">
        <v>12</v>
      </c>
      <c r="F2" s="288" t="s">
        <v>402</v>
      </c>
      <c r="G2" s="288" t="s">
        <v>96</v>
      </c>
      <c r="H2" s="288" t="s">
        <v>13</v>
      </c>
      <c r="I2" s="288" t="s">
        <v>14</v>
      </c>
      <c r="J2" s="271" t="s">
        <v>75</v>
      </c>
      <c r="K2" s="271" t="s">
        <v>97</v>
      </c>
      <c r="L2" s="271" t="s">
        <v>98</v>
      </c>
      <c r="M2" s="271" t="s">
        <v>30</v>
      </c>
      <c r="N2" s="271" t="s">
        <v>31</v>
      </c>
      <c r="O2" s="271" t="s">
        <v>77</v>
      </c>
      <c r="P2" s="271" t="s">
        <v>99</v>
      </c>
      <c r="Q2" s="271" t="s">
        <v>100</v>
      </c>
      <c r="R2" s="271" t="s">
        <v>32</v>
      </c>
      <c r="S2" s="271" t="s">
        <v>33</v>
      </c>
      <c r="T2" s="271" t="s">
        <v>79</v>
      </c>
      <c r="U2" s="271" t="s">
        <v>101</v>
      </c>
      <c r="V2" s="271" t="s">
        <v>73</v>
      </c>
      <c r="W2" s="271" t="s">
        <v>34</v>
      </c>
      <c r="X2" s="231" t="s">
        <v>5</v>
      </c>
      <c r="Y2" s="260" t="s">
        <v>4</v>
      </c>
      <c r="Z2" s="260" t="s">
        <v>10</v>
      </c>
      <c r="AA2" s="260" t="s">
        <v>56</v>
      </c>
      <c r="AB2" s="259" t="s">
        <v>3</v>
      </c>
      <c r="AC2" s="315"/>
      <c r="AD2" s="316" t="s">
        <v>142</v>
      </c>
      <c r="AE2" s="316"/>
      <c r="AF2" s="320" t="s">
        <v>143</v>
      </c>
      <c r="AG2" s="320" t="s">
        <v>141</v>
      </c>
      <c r="AH2" s="320" t="s">
        <v>116</v>
      </c>
      <c r="AI2" s="320" t="s">
        <v>137</v>
      </c>
      <c r="AJ2" s="291" t="s">
        <v>102</v>
      </c>
      <c r="AK2" s="379" t="s">
        <v>520</v>
      </c>
    </row>
    <row r="3" spans="1:37" ht="73.2" hidden="1" customHeight="1" thickTop="1" thickBot="1">
      <c r="A3" s="327" t="s">
        <v>90</v>
      </c>
      <c r="B3" s="321" t="s">
        <v>145</v>
      </c>
      <c r="C3" s="322" t="s">
        <v>146</v>
      </c>
      <c r="D3" s="323" t="s">
        <v>147</v>
      </c>
      <c r="E3" s="329">
        <v>45717</v>
      </c>
      <c r="F3" s="273" t="s">
        <v>443</v>
      </c>
      <c r="G3" s="273"/>
      <c r="H3" s="252" t="s">
        <v>25</v>
      </c>
      <c r="I3" s="236"/>
      <c r="J3" s="243"/>
      <c r="K3" s="243"/>
      <c r="L3" s="244"/>
      <c r="M3" s="252"/>
      <c r="N3" s="236"/>
      <c r="O3" s="293"/>
      <c r="P3" s="293"/>
      <c r="Q3" s="294"/>
      <c r="R3" s="252"/>
      <c r="S3" s="236"/>
      <c r="T3" s="243"/>
      <c r="U3" s="244"/>
      <c r="V3" s="242"/>
      <c r="W3" s="236"/>
      <c r="X3" s="232">
        <v>1</v>
      </c>
      <c r="Y3" s="261" t="s">
        <v>388</v>
      </c>
      <c r="Z3" s="261" t="s">
        <v>428</v>
      </c>
      <c r="AA3" s="261" t="s">
        <v>126</v>
      </c>
      <c r="AB3" s="281" t="s">
        <v>117</v>
      </c>
      <c r="AC3" s="317" t="s">
        <v>116</v>
      </c>
      <c r="AD3" s="317" t="s">
        <v>137</v>
      </c>
      <c r="AE3" s="317"/>
      <c r="AF3" s="319"/>
      <c r="AG3" s="319"/>
      <c r="AH3" s="319" t="s">
        <v>144</v>
      </c>
      <c r="AI3" s="319" t="s">
        <v>144</v>
      </c>
      <c r="AJ3" s="295">
        <v>1</v>
      </c>
      <c r="AK3" s="380"/>
    </row>
    <row r="4" spans="1:37" ht="73.2" hidden="1" customHeight="1" thickTop="1" thickBot="1">
      <c r="A4" s="328" t="s">
        <v>86</v>
      </c>
      <c r="B4" s="321" t="s">
        <v>148</v>
      </c>
      <c r="C4" s="324" t="s">
        <v>149</v>
      </c>
      <c r="D4" s="323" t="s">
        <v>150</v>
      </c>
      <c r="E4" s="329">
        <v>45474</v>
      </c>
      <c r="F4" s="273" t="s">
        <v>451</v>
      </c>
      <c r="G4" s="273"/>
      <c r="H4" s="252" t="s">
        <v>25</v>
      </c>
      <c r="I4" s="236"/>
      <c r="J4" s="243"/>
      <c r="K4" s="243"/>
      <c r="L4" s="244"/>
      <c r="M4" s="252"/>
      <c r="N4" s="236"/>
      <c r="O4" s="293"/>
      <c r="P4" s="293"/>
      <c r="Q4" s="294"/>
      <c r="R4" s="252"/>
      <c r="S4" s="236"/>
      <c r="T4" s="243"/>
      <c r="U4" s="244"/>
      <c r="V4" s="242"/>
      <c r="W4" s="236"/>
      <c r="X4" s="232">
        <v>1</v>
      </c>
      <c r="Y4" s="261" t="s">
        <v>389</v>
      </c>
      <c r="Z4" s="261" t="s">
        <v>419</v>
      </c>
      <c r="AA4" s="261" t="s">
        <v>126</v>
      </c>
      <c r="AB4" s="282" t="s">
        <v>95</v>
      </c>
      <c r="AC4" s="317" t="s">
        <v>137</v>
      </c>
      <c r="AD4" s="317"/>
      <c r="AE4" s="317"/>
      <c r="AF4" s="319"/>
      <c r="AG4" s="319"/>
      <c r="AH4" s="319"/>
      <c r="AI4" s="319" t="s">
        <v>144</v>
      </c>
      <c r="AJ4" s="295">
        <v>2</v>
      </c>
      <c r="AK4" s="380"/>
    </row>
    <row r="5" spans="1:37" ht="73.2" hidden="1" customHeight="1" thickTop="1" thickBot="1">
      <c r="A5" s="327" t="s">
        <v>88</v>
      </c>
      <c r="B5" s="321" t="s">
        <v>151</v>
      </c>
      <c r="C5" s="322" t="s">
        <v>152</v>
      </c>
      <c r="D5" s="323" t="s">
        <v>153</v>
      </c>
      <c r="E5" s="329">
        <v>45413</v>
      </c>
      <c r="F5" s="273" t="s">
        <v>475</v>
      </c>
      <c r="G5" s="273"/>
      <c r="H5" s="252" t="s">
        <v>20</v>
      </c>
      <c r="I5" s="236"/>
      <c r="J5" s="273"/>
      <c r="K5" s="243"/>
      <c r="L5" s="244"/>
      <c r="M5" s="252"/>
      <c r="N5" s="236"/>
      <c r="O5" s="293"/>
      <c r="P5" s="293"/>
      <c r="Q5" s="294"/>
      <c r="R5" s="252"/>
      <c r="S5" s="236"/>
      <c r="T5" s="243"/>
      <c r="U5" s="244"/>
      <c r="V5" s="242"/>
      <c r="W5" s="236"/>
      <c r="X5" s="232">
        <v>1</v>
      </c>
      <c r="Y5" s="261" t="s">
        <v>116</v>
      </c>
      <c r="Z5" s="261" t="s">
        <v>421</v>
      </c>
      <c r="AA5" s="261" t="s">
        <v>126</v>
      </c>
      <c r="AB5" s="282" t="s">
        <v>116</v>
      </c>
      <c r="AC5" s="317" t="s">
        <v>137</v>
      </c>
      <c r="AD5" s="317"/>
      <c r="AE5" s="317"/>
      <c r="AF5" s="319"/>
      <c r="AG5" s="319"/>
      <c r="AH5" s="319"/>
      <c r="AI5" s="319" t="s">
        <v>144</v>
      </c>
      <c r="AJ5" s="295">
        <v>3</v>
      </c>
      <c r="AK5" s="380"/>
    </row>
    <row r="6" spans="1:37" ht="97.2" hidden="1" customHeight="1" thickTop="1" thickBot="1">
      <c r="A6" s="328" t="s">
        <v>381</v>
      </c>
      <c r="B6" s="321" t="s">
        <v>154</v>
      </c>
      <c r="C6" s="322" t="s">
        <v>112</v>
      </c>
      <c r="D6" s="323" t="s">
        <v>113</v>
      </c>
      <c r="E6" s="329">
        <v>45689</v>
      </c>
      <c r="F6" s="273"/>
      <c r="G6" s="273"/>
      <c r="H6" s="252" t="s">
        <v>29</v>
      </c>
      <c r="I6" s="236"/>
      <c r="J6" s="240"/>
      <c r="K6" s="240"/>
      <c r="L6" s="241"/>
      <c r="M6" s="252"/>
      <c r="N6" s="237"/>
      <c r="O6" s="293"/>
      <c r="P6" s="293"/>
      <c r="Q6" s="294"/>
      <c r="R6" s="252"/>
      <c r="S6" s="237"/>
      <c r="T6" s="240"/>
      <c r="U6" s="241"/>
      <c r="V6" s="242"/>
      <c r="W6" s="237"/>
      <c r="X6" s="232">
        <v>1</v>
      </c>
      <c r="Y6" s="261" t="s">
        <v>390</v>
      </c>
      <c r="Z6" s="261" t="s">
        <v>412</v>
      </c>
      <c r="AA6" s="261" t="s">
        <v>126</v>
      </c>
      <c r="AB6" s="282" t="s">
        <v>118</v>
      </c>
      <c r="AC6" s="317" t="s">
        <v>137</v>
      </c>
      <c r="AD6" s="317"/>
      <c r="AE6" s="317"/>
      <c r="AF6" s="319"/>
      <c r="AG6" s="319"/>
      <c r="AH6" s="319"/>
      <c r="AI6" s="319" t="s">
        <v>144</v>
      </c>
      <c r="AJ6" s="295">
        <v>4</v>
      </c>
      <c r="AK6" s="380"/>
    </row>
    <row r="7" spans="1:37" ht="73.2" hidden="1" customHeight="1" thickTop="1" thickBot="1">
      <c r="A7" s="328" t="s">
        <v>381</v>
      </c>
      <c r="B7" s="321" t="s">
        <v>155</v>
      </c>
      <c r="C7" s="322" t="s">
        <v>112</v>
      </c>
      <c r="D7" s="325" t="s">
        <v>114</v>
      </c>
      <c r="E7" s="329">
        <v>45689</v>
      </c>
      <c r="F7" s="273"/>
      <c r="G7" s="273"/>
      <c r="H7" s="252" t="s">
        <v>29</v>
      </c>
      <c r="I7" s="236"/>
      <c r="J7" s="240"/>
      <c r="K7" s="240"/>
      <c r="L7" s="241"/>
      <c r="M7" s="252"/>
      <c r="N7" s="237"/>
      <c r="O7" s="293"/>
      <c r="P7" s="293"/>
      <c r="Q7" s="294"/>
      <c r="R7" s="252"/>
      <c r="S7" s="237"/>
      <c r="T7" s="240"/>
      <c r="U7" s="241"/>
      <c r="V7" s="242"/>
      <c r="W7" s="237"/>
      <c r="X7" s="232">
        <v>1</v>
      </c>
      <c r="Y7" s="261" t="s">
        <v>390</v>
      </c>
      <c r="Z7" s="261" t="s">
        <v>412</v>
      </c>
      <c r="AA7" s="261" t="s">
        <v>126</v>
      </c>
      <c r="AB7" s="282" t="s">
        <v>118</v>
      </c>
      <c r="AC7" s="317" t="s">
        <v>137</v>
      </c>
      <c r="AD7" s="317"/>
      <c r="AE7" s="317"/>
      <c r="AF7" s="319"/>
      <c r="AG7" s="319"/>
      <c r="AH7" s="319"/>
      <c r="AI7" s="319" t="s">
        <v>144</v>
      </c>
      <c r="AJ7" s="295">
        <v>5</v>
      </c>
      <c r="AK7" s="380"/>
    </row>
    <row r="8" spans="1:37" ht="73.2" hidden="1" customHeight="1" thickTop="1" thickBot="1">
      <c r="A8" s="328" t="s">
        <v>381</v>
      </c>
      <c r="B8" s="321" t="s">
        <v>156</v>
      </c>
      <c r="C8" s="322" t="s">
        <v>112</v>
      </c>
      <c r="D8" s="323" t="s">
        <v>157</v>
      </c>
      <c r="E8" s="329">
        <v>45689</v>
      </c>
      <c r="F8" s="273"/>
      <c r="G8" s="382">
        <v>0.5</v>
      </c>
      <c r="H8" s="252" t="s">
        <v>25</v>
      </c>
      <c r="I8" s="236"/>
      <c r="J8" s="240"/>
      <c r="K8" s="243"/>
      <c r="L8" s="244"/>
      <c r="M8" s="252"/>
      <c r="N8" s="237"/>
      <c r="O8" s="293"/>
      <c r="P8" s="293"/>
      <c r="Q8" s="294"/>
      <c r="R8" s="252"/>
      <c r="S8" s="237"/>
      <c r="T8" s="240"/>
      <c r="U8" s="241"/>
      <c r="V8" s="242"/>
      <c r="W8" s="237"/>
      <c r="X8" s="232">
        <v>1</v>
      </c>
      <c r="Y8" s="261" t="s">
        <v>390</v>
      </c>
      <c r="Z8" s="261" t="s">
        <v>412</v>
      </c>
      <c r="AA8" s="261" t="s">
        <v>126</v>
      </c>
      <c r="AB8" s="282" t="s">
        <v>118</v>
      </c>
      <c r="AC8" s="317" t="s">
        <v>137</v>
      </c>
      <c r="AD8" s="317"/>
      <c r="AE8" s="317"/>
      <c r="AF8" s="319"/>
      <c r="AG8" s="319"/>
      <c r="AH8" s="319"/>
      <c r="AI8" s="319" t="s">
        <v>144</v>
      </c>
      <c r="AJ8" s="295">
        <v>6</v>
      </c>
      <c r="AK8" s="380"/>
    </row>
    <row r="9" spans="1:37" ht="73.2" hidden="1" customHeight="1" thickTop="1" thickBot="1">
      <c r="A9" s="328" t="s">
        <v>381</v>
      </c>
      <c r="B9" s="321" t="s">
        <v>158</v>
      </c>
      <c r="C9" s="322" t="s">
        <v>112</v>
      </c>
      <c r="D9" s="323" t="s">
        <v>159</v>
      </c>
      <c r="E9" s="329">
        <v>45717</v>
      </c>
      <c r="F9" s="382">
        <v>0.12</v>
      </c>
      <c r="G9" s="273" t="s">
        <v>516</v>
      </c>
      <c r="H9" s="252" t="s">
        <v>25</v>
      </c>
      <c r="I9" s="236"/>
      <c r="J9" s="248"/>
      <c r="K9" s="243"/>
      <c r="L9" s="244"/>
      <c r="M9" s="252"/>
      <c r="N9" s="236"/>
      <c r="O9" s="293"/>
      <c r="P9" s="293"/>
      <c r="Q9" s="294"/>
      <c r="R9" s="252"/>
      <c r="S9" s="236"/>
      <c r="T9" s="248"/>
      <c r="U9" s="244"/>
      <c r="V9" s="242"/>
      <c r="W9" s="236"/>
      <c r="X9" s="232">
        <v>1</v>
      </c>
      <c r="Y9" s="261" t="s">
        <v>390</v>
      </c>
      <c r="Z9" s="261" t="s">
        <v>412</v>
      </c>
      <c r="AA9" s="261" t="s">
        <v>126</v>
      </c>
      <c r="AB9" s="283" t="s">
        <v>118</v>
      </c>
      <c r="AC9" s="317" t="s">
        <v>141</v>
      </c>
      <c r="AD9" s="317"/>
      <c r="AE9" s="317"/>
      <c r="AF9" s="319"/>
      <c r="AG9" s="319" t="s">
        <v>144</v>
      </c>
      <c r="AH9" s="319"/>
      <c r="AI9" s="319"/>
      <c r="AJ9" s="295">
        <v>7</v>
      </c>
      <c r="AK9" s="380"/>
    </row>
    <row r="10" spans="1:37" ht="73.2" hidden="1" customHeight="1" thickTop="1" thickBot="1">
      <c r="A10" s="328" t="s">
        <v>381</v>
      </c>
      <c r="B10" s="321" t="s">
        <v>160</v>
      </c>
      <c r="C10" s="322" t="s">
        <v>112</v>
      </c>
      <c r="D10" s="323" t="s">
        <v>161</v>
      </c>
      <c r="E10" s="329">
        <v>45717</v>
      </c>
      <c r="F10" s="382">
        <v>0.11</v>
      </c>
      <c r="G10" s="273" t="s">
        <v>517</v>
      </c>
      <c r="H10" s="252" t="s">
        <v>25</v>
      </c>
      <c r="I10" s="244"/>
      <c r="J10" s="243"/>
      <c r="K10" s="244"/>
      <c r="L10" s="244"/>
      <c r="M10" s="252"/>
      <c r="N10" s="236"/>
      <c r="O10" s="293"/>
      <c r="P10" s="293"/>
      <c r="Q10" s="294"/>
      <c r="R10" s="252"/>
      <c r="S10" s="236"/>
      <c r="T10" s="243"/>
      <c r="U10" s="244"/>
      <c r="V10" s="242"/>
      <c r="W10" s="236"/>
      <c r="X10" s="232">
        <v>1</v>
      </c>
      <c r="Y10" s="261" t="s">
        <v>390</v>
      </c>
      <c r="Z10" s="261" t="s">
        <v>412</v>
      </c>
      <c r="AA10" s="261" t="s">
        <v>126</v>
      </c>
      <c r="AB10" s="283" t="s">
        <v>118</v>
      </c>
      <c r="AC10" s="317" t="s">
        <v>141</v>
      </c>
      <c r="AD10" s="317"/>
      <c r="AE10" s="317"/>
      <c r="AF10" s="319"/>
      <c r="AG10" s="319" t="s">
        <v>144</v>
      </c>
      <c r="AH10" s="319"/>
      <c r="AI10" s="319"/>
      <c r="AJ10" s="295">
        <v>8</v>
      </c>
      <c r="AK10" s="380"/>
    </row>
    <row r="11" spans="1:37" ht="73.2" hidden="1" customHeight="1" thickTop="1" thickBot="1">
      <c r="A11" s="328" t="s">
        <v>381</v>
      </c>
      <c r="B11" s="321" t="s">
        <v>162</v>
      </c>
      <c r="C11" s="322" t="s">
        <v>112</v>
      </c>
      <c r="D11" s="323" t="s">
        <v>163</v>
      </c>
      <c r="E11" s="329">
        <v>45717</v>
      </c>
      <c r="F11" s="273"/>
      <c r="G11" s="273"/>
      <c r="H11" s="252" t="s">
        <v>29</v>
      </c>
      <c r="I11" s="236"/>
      <c r="J11" s="241"/>
      <c r="K11" s="240"/>
      <c r="L11" s="241"/>
      <c r="M11" s="252"/>
      <c r="N11" s="237"/>
      <c r="O11" s="293"/>
      <c r="P11" s="293"/>
      <c r="Q11" s="294"/>
      <c r="R11" s="252"/>
      <c r="S11" s="237"/>
      <c r="T11" s="240"/>
      <c r="U11" s="241"/>
      <c r="V11" s="242"/>
      <c r="W11" s="237"/>
      <c r="X11" s="232">
        <v>1</v>
      </c>
      <c r="Y11" s="261" t="s">
        <v>390</v>
      </c>
      <c r="Z11" s="261" t="s">
        <v>412</v>
      </c>
      <c r="AA11" s="261" t="s">
        <v>126</v>
      </c>
      <c r="AB11" s="283" t="s">
        <v>118</v>
      </c>
      <c r="AC11" s="317" t="s">
        <v>141</v>
      </c>
      <c r="AD11" s="317"/>
      <c r="AE11" s="317"/>
      <c r="AF11" s="319"/>
      <c r="AG11" s="319" t="s">
        <v>144</v>
      </c>
      <c r="AH11" s="319"/>
      <c r="AI11" s="319"/>
      <c r="AJ11" s="295">
        <v>9</v>
      </c>
      <c r="AK11" s="380"/>
    </row>
    <row r="12" spans="1:37" ht="96" hidden="1" customHeight="1" thickTop="1" thickBot="1">
      <c r="A12" s="328" t="s">
        <v>381</v>
      </c>
      <c r="B12" s="321" t="s">
        <v>164</v>
      </c>
      <c r="C12" s="322" t="s">
        <v>112</v>
      </c>
      <c r="D12" s="323" t="s">
        <v>165</v>
      </c>
      <c r="E12" s="329">
        <v>45717</v>
      </c>
      <c r="F12" s="273" t="s">
        <v>515</v>
      </c>
      <c r="G12" s="273"/>
      <c r="H12" s="252" t="s">
        <v>27</v>
      </c>
      <c r="I12" s="236"/>
      <c r="J12" s="240"/>
      <c r="K12" s="240"/>
      <c r="L12" s="241"/>
      <c r="M12" s="252"/>
      <c r="N12" s="237"/>
      <c r="O12" s="293"/>
      <c r="P12" s="293"/>
      <c r="Q12" s="294"/>
      <c r="R12" s="252"/>
      <c r="S12" s="237"/>
      <c r="T12" s="240"/>
      <c r="U12" s="241"/>
      <c r="V12" s="242"/>
      <c r="W12" s="237"/>
      <c r="X12" s="232">
        <v>1</v>
      </c>
      <c r="Y12" s="261" t="s">
        <v>390</v>
      </c>
      <c r="Z12" s="261" t="s">
        <v>412</v>
      </c>
      <c r="AA12" s="261" t="s">
        <v>126</v>
      </c>
      <c r="AB12" s="283" t="s">
        <v>118</v>
      </c>
      <c r="AC12" s="317" t="s">
        <v>141</v>
      </c>
      <c r="AD12" s="317" t="s">
        <v>116</v>
      </c>
      <c r="AE12" s="317" t="s">
        <v>137</v>
      </c>
      <c r="AF12" s="319"/>
      <c r="AG12" s="319" t="s">
        <v>144</v>
      </c>
      <c r="AH12" s="319" t="s">
        <v>144</v>
      </c>
      <c r="AI12" s="319"/>
      <c r="AJ12" s="295">
        <v>10</v>
      </c>
      <c r="AK12" s="380"/>
    </row>
    <row r="13" spans="1:37" ht="73.2" hidden="1" customHeight="1" thickTop="1" thickBot="1">
      <c r="A13" s="328" t="s">
        <v>381</v>
      </c>
      <c r="B13" s="321" t="s">
        <v>166</v>
      </c>
      <c r="C13" s="322" t="s">
        <v>112</v>
      </c>
      <c r="D13" s="323" t="s">
        <v>167</v>
      </c>
      <c r="E13" s="329">
        <v>45627</v>
      </c>
      <c r="F13" s="273"/>
      <c r="G13" s="273"/>
      <c r="H13" s="252" t="s">
        <v>29</v>
      </c>
      <c r="I13" s="236"/>
      <c r="J13" s="243"/>
      <c r="K13" s="243"/>
      <c r="L13" s="244"/>
      <c r="M13" s="252"/>
      <c r="N13" s="236"/>
      <c r="O13" s="293"/>
      <c r="P13" s="293"/>
      <c r="Q13" s="294"/>
      <c r="R13" s="252"/>
      <c r="S13" s="236"/>
      <c r="T13" s="243"/>
      <c r="U13" s="244"/>
      <c r="V13" s="242"/>
      <c r="W13" s="236"/>
      <c r="X13" s="232">
        <v>1</v>
      </c>
      <c r="Y13" s="261" t="s">
        <v>390</v>
      </c>
      <c r="Z13" s="261" t="s">
        <v>412</v>
      </c>
      <c r="AA13" s="261" t="s">
        <v>126</v>
      </c>
      <c r="AB13" s="284" t="s">
        <v>118</v>
      </c>
      <c r="AC13" s="317" t="s">
        <v>137</v>
      </c>
      <c r="AD13" s="317" t="s">
        <v>116</v>
      </c>
      <c r="AE13" s="317"/>
      <c r="AF13" s="319"/>
      <c r="AG13" s="319"/>
      <c r="AH13" s="319" t="s">
        <v>144</v>
      </c>
      <c r="AI13" s="319" t="s">
        <v>144</v>
      </c>
      <c r="AJ13" s="295">
        <v>11</v>
      </c>
      <c r="AK13" s="380"/>
    </row>
    <row r="14" spans="1:37" ht="94.2" hidden="1" customHeight="1" thickTop="1" thickBot="1">
      <c r="A14" s="328" t="s">
        <v>381</v>
      </c>
      <c r="B14" s="321" t="s">
        <v>168</v>
      </c>
      <c r="C14" s="322" t="s">
        <v>112</v>
      </c>
      <c r="D14" s="323" t="s">
        <v>169</v>
      </c>
      <c r="E14" s="329">
        <v>45717</v>
      </c>
      <c r="F14" s="273"/>
      <c r="G14" s="273"/>
      <c r="H14" s="252" t="s">
        <v>29</v>
      </c>
      <c r="I14" s="236"/>
      <c r="J14" s="243"/>
      <c r="K14" s="243"/>
      <c r="L14" s="244"/>
      <c r="M14" s="252"/>
      <c r="N14" s="236"/>
      <c r="O14" s="293"/>
      <c r="P14" s="293"/>
      <c r="Q14" s="294"/>
      <c r="R14" s="252"/>
      <c r="S14" s="236"/>
      <c r="T14" s="240"/>
      <c r="U14" s="241"/>
      <c r="V14" s="242"/>
      <c r="W14" s="237"/>
      <c r="X14" s="232">
        <v>1</v>
      </c>
      <c r="Y14" s="261" t="s">
        <v>390</v>
      </c>
      <c r="Z14" s="261" t="s">
        <v>412</v>
      </c>
      <c r="AA14" s="261" t="s">
        <v>126</v>
      </c>
      <c r="AB14" s="284" t="s">
        <v>118</v>
      </c>
      <c r="AC14" s="317" t="s">
        <v>116</v>
      </c>
      <c r="AD14" s="317" t="s">
        <v>137</v>
      </c>
      <c r="AE14" s="317"/>
      <c r="AF14" s="319"/>
      <c r="AG14" s="319"/>
      <c r="AH14" s="319" t="s">
        <v>144</v>
      </c>
      <c r="AI14" s="319"/>
      <c r="AJ14" s="295">
        <v>12</v>
      </c>
      <c r="AK14" s="380"/>
    </row>
    <row r="15" spans="1:37" ht="73.2" customHeight="1" thickTop="1" thickBot="1">
      <c r="A15" s="327" t="s">
        <v>87</v>
      </c>
      <c r="B15" s="321" t="s">
        <v>170</v>
      </c>
      <c r="C15" s="322" t="s">
        <v>171</v>
      </c>
      <c r="D15" s="323" t="s">
        <v>172</v>
      </c>
      <c r="E15" s="329">
        <v>45717</v>
      </c>
      <c r="F15" s="273"/>
      <c r="G15" s="273"/>
      <c r="H15" s="252" t="s">
        <v>29</v>
      </c>
      <c r="I15" s="236"/>
      <c r="J15" s="243"/>
      <c r="K15" s="243"/>
      <c r="L15" s="244"/>
      <c r="M15" s="252"/>
      <c r="N15" s="236"/>
      <c r="O15" s="293"/>
      <c r="P15" s="293"/>
      <c r="Q15" s="294"/>
      <c r="R15" s="252"/>
      <c r="S15" s="236"/>
      <c r="T15" s="240"/>
      <c r="U15" s="241"/>
      <c r="V15" s="242"/>
      <c r="W15" s="237"/>
      <c r="X15" s="232">
        <v>1</v>
      </c>
      <c r="Y15" s="261" t="s">
        <v>389</v>
      </c>
      <c r="Z15" s="261" t="s">
        <v>411</v>
      </c>
      <c r="AA15" s="261" t="s">
        <v>126</v>
      </c>
      <c r="AB15" s="284" t="s">
        <v>129</v>
      </c>
      <c r="AC15" s="317" t="s">
        <v>116</v>
      </c>
      <c r="AD15" s="317"/>
      <c r="AE15" s="317"/>
      <c r="AF15" s="319"/>
      <c r="AG15" s="319"/>
      <c r="AH15" s="319" t="s">
        <v>144</v>
      </c>
      <c r="AI15" s="319"/>
      <c r="AJ15" s="295">
        <v>13</v>
      </c>
      <c r="AK15" s="380"/>
    </row>
    <row r="16" spans="1:37" ht="144" customHeight="1" thickTop="1" thickBot="1">
      <c r="A16" s="327" t="s">
        <v>87</v>
      </c>
      <c r="B16" s="321" t="s">
        <v>173</v>
      </c>
      <c r="C16" s="322" t="s">
        <v>171</v>
      </c>
      <c r="D16" s="323" t="s">
        <v>174</v>
      </c>
      <c r="E16" s="329">
        <v>45717</v>
      </c>
      <c r="F16" s="273" t="s">
        <v>439</v>
      </c>
      <c r="G16" s="273"/>
      <c r="H16" s="252" t="s">
        <v>25</v>
      </c>
      <c r="I16" s="236"/>
      <c r="J16" s="243"/>
      <c r="K16" s="240"/>
      <c r="L16" s="241"/>
      <c r="M16" s="252"/>
      <c r="N16" s="237"/>
      <c r="O16" s="293"/>
      <c r="P16" s="293"/>
      <c r="Q16" s="294"/>
      <c r="R16" s="252"/>
      <c r="S16" s="237"/>
      <c r="T16" s="240"/>
      <c r="U16" s="241"/>
      <c r="V16" s="242"/>
      <c r="W16" s="237"/>
      <c r="X16" s="232">
        <v>1</v>
      </c>
      <c r="Y16" s="261" t="s">
        <v>389</v>
      </c>
      <c r="Z16" s="261" t="s">
        <v>411</v>
      </c>
      <c r="AA16" s="261" t="s">
        <v>126</v>
      </c>
      <c r="AB16" s="281" t="s">
        <v>129</v>
      </c>
      <c r="AC16" s="317" t="s">
        <v>116</v>
      </c>
      <c r="AD16" s="317"/>
      <c r="AE16" s="317"/>
      <c r="AF16" s="319"/>
      <c r="AG16" s="319"/>
      <c r="AH16" s="319" t="s">
        <v>144</v>
      </c>
      <c r="AI16" s="319"/>
      <c r="AJ16" s="295">
        <v>14</v>
      </c>
      <c r="AK16" s="380"/>
    </row>
    <row r="17" spans="1:37" ht="73.2" customHeight="1" thickTop="1" thickBot="1">
      <c r="A17" s="327" t="s">
        <v>87</v>
      </c>
      <c r="B17" s="321" t="s">
        <v>175</v>
      </c>
      <c r="C17" s="322" t="s">
        <v>176</v>
      </c>
      <c r="D17" s="323" t="s">
        <v>177</v>
      </c>
      <c r="E17" s="329">
        <v>45413</v>
      </c>
      <c r="F17" s="273" t="s">
        <v>440</v>
      </c>
      <c r="G17" s="273"/>
      <c r="H17" s="252" t="s">
        <v>16</v>
      </c>
      <c r="I17" s="236"/>
      <c r="J17" s="243"/>
      <c r="K17" s="244"/>
      <c r="L17" s="244"/>
      <c r="M17" s="252"/>
      <c r="N17" s="237"/>
      <c r="O17" s="243"/>
      <c r="P17" s="293"/>
      <c r="Q17" s="294"/>
      <c r="R17" s="252"/>
      <c r="S17" s="236"/>
      <c r="T17" s="243"/>
      <c r="U17" s="244"/>
      <c r="V17" s="242"/>
      <c r="W17" s="236"/>
      <c r="X17" s="232">
        <v>1</v>
      </c>
      <c r="Y17" s="261" t="s">
        <v>389</v>
      </c>
      <c r="Z17" s="261" t="s">
        <v>408</v>
      </c>
      <c r="AA17" s="261" t="s">
        <v>126</v>
      </c>
      <c r="AB17" s="281" t="s">
        <v>129</v>
      </c>
      <c r="AC17" s="317" t="s">
        <v>116</v>
      </c>
      <c r="AD17" s="317"/>
      <c r="AE17" s="317"/>
      <c r="AF17" s="319"/>
      <c r="AG17" s="319"/>
      <c r="AH17" s="319" t="s">
        <v>144</v>
      </c>
      <c r="AI17" s="319"/>
      <c r="AJ17" s="295">
        <v>15</v>
      </c>
      <c r="AK17" s="380"/>
    </row>
    <row r="18" spans="1:37" ht="97.5" customHeight="1" thickTop="1" thickBot="1">
      <c r="A18" s="327" t="s">
        <v>87</v>
      </c>
      <c r="B18" s="321" t="s">
        <v>178</v>
      </c>
      <c r="C18" s="322" t="s">
        <v>176</v>
      </c>
      <c r="D18" s="323" t="s">
        <v>179</v>
      </c>
      <c r="E18" s="329">
        <v>45658</v>
      </c>
      <c r="F18" s="273" t="s">
        <v>441</v>
      </c>
      <c r="G18" s="273"/>
      <c r="H18" s="252" t="s">
        <v>25</v>
      </c>
      <c r="I18" s="236"/>
      <c r="J18" s="296"/>
      <c r="K18" s="297"/>
      <c r="L18" s="296"/>
      <c r="M18" s="252"/>
      <c r="N18" s="237"/>
      <c r="O18" s="293"/>
      <c r="P18" s="293"/>
      <c r="Q18" s="294"/>
      <c r="R18" s="252"/>
      <c r="S18" s="237"/>
      <c r="T18" s="240"/>
      <c r="U18" s="241"/>
      <c r="V18" s="242"/>
      <c r="W18" s="237"/>
      <c r="X18" s="232">
        <v>1</v>
      </c>
      <c r="Y18" s="261" t="s">
        <v>389</v>
      </c>
      <c r="Z18" s="261" t="s">
        <v>408</v>
      </c>
      <c r="AA18" s="261" t="s">
        <v>126</v>
      </c>
      <c r="AB18" s="281" t="s">
        <v>129</v>
      </c>
      <c r="AC18" s="317" t="s">
        <v>116</v>
      </c>
      <c r="AD18" s="317"/>
      <c r="AE18" s="317"/>
      <c r="AF18" s="319"/>
      <c r="AG18" s="319"/>
      <c r="AH18" s="319" t="s">
        <v>144</v>
      </c>
      <c r="AI18" s="319"/>
      <c r="AJ18" s="295">
        <v>16</v>
      </c>
      <c r="AK18" s="380"/>
    </row>
    <row r="19" spans="1:37" ht="123.75" hidden="1" customHeight="1" thickTop="1" thickBot="1">
      <c r="A19" s="327" t="s">
        <v>382</v>
      </c>
      <c r="B19" s="321" t="s">
        <v>183</v>
      </c>
      <c r="C19" s="322" t="s">
        <v>184</v>
      </c>
      <c r="D19" s="323" t="s">
        <v>185</v>
      </c>
      <c r="E19" s="329">
        <v>45717</v>
      </c>
      <c r="F19" s="273"/>
      <c r="G19" s="273"/>
      <c r="H19" s="252" t="s">
        <v>25</v>
      </c>
      <c r="I19" s="236" t="s">
        <v>434</v>
      </c>
      <c r="J19" s="270"/>
      <c r="K19" s="243"/>
      <c r="L19" s="244"/>
      <c r="M19" s="252"/>
      <c r="N19" s="236"/>
      <c r="O19" s="293"/>
      <c r="P19" s="293"/>
      <c r="Q19" s="294"/>
      <c r="R19" s="252"/>
      <c r="S19" s="236"/>
      <c r="T19" s="240"/>
      <c r="U19" s="270"/>
      <c r="V19" s="242"/>
      <c r="W19" s="236"/>
      <c r="X19" s="232">
        <v>1</v>
      </c>
      <c r="Y19" s="286" t="s">
        <v>389</v>
      </c>
      <c r="Z19" s="286" t="s">
        <v>407</v>
      </c>
      <c r="AA19" s="261" t="s">
        <v>126</v>
      </c>
      <c r="AB19" s="376" t="s">
        <v>129</v>
      </c>
      <c r="AC19" s="317" t="s">
        <v>138</v>
      </c>
      <c r="AD19" s="317" t="s">
        <v>141</v>
      </c>
      <c r="AE19" s="317"/>
      <c r="AF19" s="319" t="s">
        <v>144</v>
      </c>
      <c r="AG19" s="319" t="s">
        <v>144</v>
      </c>
      <c r="AH19" s="319"/>
      <c r="AI19" s="319"/>
      <c r="AJ19" s="295">
        <v>18</v>
      </c>
      <c r="AK19" s="380"/>
    </row>
    <row r="20" spans="1:37" ht="73.2" hidden="1" customHeight="1" thickTop="1" thickBot="1">
      <c r="A20" s="327" t="s">
        <v>382</v>
      </c>
      <c r="B20" s="321" t="s">
        <v>186</v>
      </c>
      <c r="C20" s="322" t="s">
        <v>184</v>
      </c>
      <c r="D20" s="323" t="s">
        <v>187</v>
      </c>
      <c r="E20" s="329">
        <v>45566</v>
      </c>
      <c r="F20" s="273" t="s">
        <v>490</v>
      </c>
      <c r="G20" s="273"/>
      <c r="H20" s="252" t="s">
        <v>25</v>
      </c>
      <c r="I20" s="236"/>
      <c r="J20" s="244"/>
      <c r="K20" s="243"/>
      <c r="L20" s="244"/>
      <c r="M20" s="252"/>
      <c r="N20" s="236"/>
      <c r="O20" s="294"/>
      <c r="P20" s="293"/>
      <c r="Q20" s="294"/>
      <c r="R20" s="252"/>
      <c r="S20" s="236"/>
      <c r="T20" s="243"/>
      <c r="U20" s="244"/>
      <c r="V20" s="242"/>
      <c r="W20" s="236"/>
      <c r="X20" s="232">
        <v>1</v>
      </c>
      <c r="Y20" s="261" t="s">
        <v>389</v>
      </c>
      <c r="Z20" s="261" t="s">
        <v>407</v>
      </c>
      <c r="AA20" s="261" t="s">
        <v>126</v>
      </c>
      <c r="AB20" s="283" t="s">
        <v>129</v>
      </c>
      <c r="AC20" s="317" t="s">
        <v>138</v>
      </c>
      <c r="AD20" s="317" t="s">
        <v>137</v>
      </c>
      <c r="AE20" s="317" t="s">
        <v>141</v>
      </c>
      <c r="AF20" s="319" t="s">
        <v>144</v>
      </c>
      <c r="AG20" s="319" t="s">
        <v>144</v>
      </c>
      <c r="AH20" s="319"/>
      <c r="AI20" s="319" t="s">
        <v>144</v>
      </c>
      <c r="AJ20" s="295">
        <v>19</v>
      </c>
      <c r="AK20" s="380"/>
    </row>
    <row r="21" spans="1:37" ht="122.4" customHeight="1" thickTop="1" thickBot="1">
      <c r="A21" s="327" t="s">
        <v>87</v>
      </c>
      <c r="B21" s="321" t="s">
        <v>180</v>
      </c>
      <c r="C21" s="322" t="s">
        <v>181</v>
      </c>
      <c r="D21" s="323" t="s">
        <v>182</v>
      </c>
      <c r="E21" s="329">
        <v>45413</v>
      </c>
      <c r="F21" s="273" t="s">
        <v>442</v>
      </c>
      <c r="G21" s="273"/>
      <c r="H21" s="252" t="s">
        <v>16</v>
      </c>
      <c r="I21" s="236"/>
      <c r="J21" s="244"/>
      <c r="K21" s="243"/>
      <c r="L21" s="244"/>
      <c r="M21" s="252"/>
      <c r="N21" s="236"/>
      <c r="O21" s="244"/>
      <c r="P21" s="293"/>
      <c r="Q21" s="294"/>
      <c r="R21" s="252"/>
      <c r="S21" s="236"/>
      <c r="T21" s="243"/>
      <c r="U21" s="244"/>
      <c r="V21" s="242"/>
      <c r="W21" s="236"/>
      <c r="X21" s="232">
        <v>1</v>
      </c>
      <c r="Y21" s="261" t="s">
        <v>389</v>
      </c>
      <c r="Z21" s="261" t="s">
        <v>409</v>
      </c>
      <c r="AA21" s="261" t="s">
        <v>126</v>
      </c>
      <c r="AB21" s="282" t="s">
        <v>129</v>
      </c>
      <c r="AC21" s="317" t="s">
        <v>116</v>
      </c>
      <c r="AD21" s="317"/>
      <c r="AE21" s="317"/>
      <c r="AF21" s="319"/>
      <c r="AG21" s="319"/>
      <c r="AH21" s="319" t="s">
        <v>144</v>
      </c>
      <c r="AI21" s="319"/>
      <c r="AJ21" s="295">
        <v>17</v>
      </c>
      <c r="AK21" s="380"/>
    </row>
    <row r="22" spans="1:37" ht="150" hidden="1" customHeight="1" thickTop="1" thickBot="1">
      <c r="A22" s="328" t="s">
        <v>86</v>
      </c>
      <c r="B22" s="321" t="s">
        <v>188</v>
      </c>
      <c r="C22" s="324" t="s">
        <v>149</v>
      </c>
      <c r="D22" s="323" t="s">
        <v>189</v>
      </c>
      <c r="E22" s="329">
        <v>45566</v>
      </c>
      <c r="F22" s="273"/>
      <c r="G22" s="273"/>
      <c r="H22" s="252" t="s">
        <v>29</v>
      </c>
      <c r="I22" s="236" t="s">
        <v>452</v>
      </c>
      <c r="J22" s="244"/>
      <c r="K22" s="243"/>
      <c r="L22" s="244"/>
      <c r="M22" s="252"/>
      <c r="N22" s="236"/>
      <c r="O22" s="294"/>
      <c r="P22" s="293"/>
      <c r="Q22" s="294"/>
      <c r="R22" s="252"/>
      <c r="S22" s="236"/>
      <c r="T22" s="243"/>
      <c r="U22" s="244"/>
      <c r="V22" s="242"/>
      <c r="W22" s="236"/>
      <c r="X22" s="232">
        <v>1</v>
      </c>
      <c r="Y22" s="261" t="s">
        <v>389</v>
      </c>
      <c r="Z22" s="261" t="s">
        <v>419</v>
      </c>
      <c r="AA22" s="261" t="s">
        <v>392</v>
      </c>
      <c r="AB22" s="283" t="s">
        <v>95</v>
      </c>
      <c r="AC22" s="317" t="s">
        <v>138</v>
      </c>
      <c r="AD22" s="317" t="s">
        <v>141</v>
      </c>
      <c r="AE22" s="317"/>
      <c r="AF22" s="319" t="s">
        <v>144</v>
      </c>
      <c r="AG22" s="319" t="s">
        <v>144</v>
      </c>
      <c r="AH22" s="319"/>
      <c r="AI22" s="319"/>
      <c r="AJ22" s="295">
        <v>20</v>
      </c>
      <c r="AK22" s="380"/>
    </row>
    <row r="23" spans="1:37" ht="73.2" hidden="1" customHeight="1" thickTop="1" thickBot="1">
      <c r="A23" s="327" t="s">
        <v>86</v>
      </c>
      <c r="B23" s="321" t="s">
        <v>190</v>
      </c>
      <c r="C23" s="322" t="s">
        <v>149</v>
      </c>
      <c r="D23" s="323" t="s">
        <v>191</v>
      </c>
      <c r="E23" s="329">
        <v>45689</v>
      </c>
      <c r="F23" s="273"/>
      <c r="G23" s="273"/>
      <c r="H23" s="252" t="s">
        <v>29</v>
      </c>
      <c r="I23" s="236"/>
      <c r="J23" s="243"/>
      <c r="K23" s="243"/>
      <c r="L23" s="244"/>
      <c r="M23" s="252"/>
      <c r="N23" s="236"/>
      <c r="O23" s="293"/>
      <c r="P23" s="293"/>
      <c r="Q23" s="294"/>
      <c r="R23" s="252"/>
      <c r="S23" s="236"/>
      <c r="T23" s="243"/>
      <c r="U23" s="244"/>
      <c r="V23" s="242"/>
      <c r="W23" s="236"/>
      <c r="X23" s="232">
        <v>1</v>
      </c>
      <c r="Y23" s="261" t="s">
        <v>389</v>
      </c>
      <c r="Z23" s="261" t="s">
        <v>419</v>
      </c>
      <c r="AA23" s="261" t="s">
        <v>392</v>
      </c>
      <c r="AB23" s="280" t="s">
        <v>95</v>
      </c>
      <c r="AC23" s="317" t="s">
        <v>138</v>
      </c>
      <c r="AD23" s="317"/>
      <c r="AE23" s="317"/>
      <c r="AF23" s="319" t="s">
        <v>144</v>
      </c>
      <c r="AG23" s="319"/>
      <c r="AH23" s="319"/>
      <c r="AI23" s="319"/>
      <c r="AJ23" s="295">
        <v>21</v>
      </c>
      <c r="AK23" s="380"/>
    </row>
    <row r="24" spans="1:37" ht="73.2" hidden="1" customHeight="1" thickTop="1" thickBot="1">
      <c r="A24" s="328" t="s">
        <v>86</v>
      </c>
      <c r="B24" s="321" t="s">
        <v>192</v>
      </c>
      <c r="C24" s="322" t="s">
        <v>193</v>
      </c>
      <c r="D24" s="323" t="s">
        <v>194</v>
      </c>
      <c r="E24" s="329">
        <v>45658</v>
      </c>
      <c r="F24" s="273"/>
      <c r="G24" s="273"/>
      <c r="H24" s="252" t="s">
        <v>25</v>
      </c>
      <c r="I24" s="236" t="s">
        <v>451</v>
      </c>
      <c r="J24" s="244"/>
      <c r="K24" s="243"/>
      <c r="L24" s="244"/>
      <c r="M24" s="252"/>
      <c r="N24" s="236"/>
      <c r="O24" s="294"/>
      <c r="P24" s="293"/>
      <c r="Q24" s="294"/>
      <c r="R24" s="252"/>
      <c r="S24" s="236"/>
      <c r="T24" s="243"/>
      <c r="U24" s="244"/>
      <c r="V24" s="242"/>
      <c r="W24" s="236"/>
      <c r="X24" s="232">
        <v>1</v>
      </c>
      <c r="Y24" s="261" t="s">
        <v>389</v>
      </c>
      <c r="Z24" s="261" t="s">
        <v>420</v>
      </c>
      <c r="AA24" s="261" t="s">
        <v>392</v>
      </c>
      <c r="AB24" s="280" t="s">
        <v>94</v>
      </c>
      <c r="AC24" s="317" t="s">
        <v>138</v>
      </c>
      <c r="AD24" s="317"/>
      <c r="AE24" s="317"/>
      <c r="AF24" s="319" t="s">
        <v>144</v>
      </c>
      <c r="AG24" s="319"/>
      <c r="AH24" s="319"/>
      <c r="AI24" s="319"/>
      <c r="AJ24" s="295">
        <v>22</v>
      </c>
      <c r="AK24" s="380"/>
    </row>
    <row r="25" spans="1:37" ht="73.2" hidden="1" customHeight="1" thickTop="1" thickBot="1">
      <c r="A25" s="327" t="s">
        <v>139</v>
      </c>
      <c r="B25" s="321" t="s">
        <v>195</v>
      </c>
      <c r="C25" s="322" t="s">
        <v>81</v>
      </c>
      <c r="D25" s="323" t="s">
        <v>196</v>
      </c>
      <c r="E25" s="329">
        <v>45717</v>
      </c>
      <c r="F25" s="273" t="s">
        <v>458</v>
      </c>
      <c r="G25" s="273"/>
      <c r="H25" s="252" t="s">
        <v>25</v>
      </c>
      <c r="I25" s="236"/>
      <c r="J25" s="243"/>
      <c r="K25" s="243"/>
      <c r="L25" s="244"/>
      <c r="M25" s="252"/>
      <c r="N25" s="236"/>
      <c r="O25" s="293"/>
      <c r="P25" s="293"/>
      <c r="Q25" s="294"/>
      <c r="R25" s="252"/>
      <c r="S25" s="236"/>
      <c r="T25" s="243"/>
      <c r="U25" s="244"/>
      <c r="V25" s="242"/>
      <c r="W25" s="236"/>
      <c r="X25" s="232">
        <v>1</v>
      </c>
      <c r="Y25" s="261" t="s">
        <v>116</v>
      </c>
      <c r="Z25" s="261" t="s">
        <v>423</v>
      </c>
      <c r="AA25" s="261" t="s">
        <v>392</v>
      </c>
      <c r="AB25" s="280" t="s">
        <v>94</v>
      </c>
      <c r="AC25" s="317" t="s">
        <v>138</v>
      </c>
      <c r="AD25" s="317"/>
      <c r="AE25" s="317"/>
      <c r="AF25" s="319" t="s">
        <v>144</v>
      </c>
      <c r="AG25" s="319"/>
      <c r="AH25" s="319"/>
      <c r="AI25" s="319"/>
      <c r="AJ25" s="295">
        <v>23</v>
      </c>
      <c r="AK25" s="380"/>
    </row>
    <row r="26" spans="1:37" ht="73.2" hidden="1" customHeight="1" thickTop="1" thickBot="1">
      <c r="A26" s="327" t="s">
        <v>139</v>
      </c>
      <c r="B26" s="321" t="s">
        <v>197</v>
      </c>
      <c r="C26" s="322" t="s">
        <v>81</v>
      </c>
      <c r="D26" s="323" t="s">
        <v>198</v>
      </c>
      <c r="E26" s="329">
        <v>45717</v>
      </c>
      <c r="F26" s="273" t="s">
        <v>459</v>
      </c>
      <c r="G26" s="273"/>
      <c r="H26" s="252" t="s">
        <v>25</v>
      </c>
      <c r="I26" s="236"/>
      <c r="J26" s="243"/>
      <c r="K26" s="243"/>
      <c r="L26" s="244"/>
      <c r="M26" s="252"/>
      <c r="N26" s="236"/>
      <c r="O26" s="243"/>
      <c r="P26" s="293"/>
      <c r="Q26" s="294"/>
      <c r="R26" s="252"/>
      <c r="S26" s="236"/>
      <c r="T26" s="243"/>
      <c r="U26" s="244"/>
      <c r="V26" s="242"/>
      <c r="W26" s="236"/>
      <c r="X26" s="232">
        <v>1</v>
      </c>
      <c r="Y26" s="261" t="s">
        <v>116</v>
      </c>
      <c r="Z26" s="261" t="s">
        <v>423</v>
      </c>
      <c r="AA26" s="261" t="s">
        <v>392</v>
      </c>
      <c r="AB26" s="280" t="s">
        <v>94</v>
      </c>
      <c r="AC26" s="317" t="s">
        <v>138</v>
      </c>
      <c r="AD26" s="317" t="s">
        <v>116</v>
      </c>
      <c r="AE26" s="317"/>
      <c r="AF26" s="319" t="s">
        <v>144</v>
      </c>
      <c r="AG26" s="319"/>
      <c r="AH26" s="319" t="s">
        <v>144</v>
      </c>
      <c r="AI26" s="319"/>
      <c r="AJ26" s="295">
        <v>24</v>
      </c>
      <c r="AK26" s="380"/>
    </row>
    <row r="27" spans="1:37" ht="79.2" hidden="1" customHeight="1" thickTop="1" thickBot="1">
      <c r="A27" s="327" t="s">
        <v>139</v>
      </c>
      <c r="B27" s="321" t="s">
        <v>199</v>
      </c>
      <c r="C27" s="322" t="s">
        <v>81</v>
      </c>
      <c r="D27" s="323" t="s">
        <v>200</v>
      </c>
      <c r="E27" s="329">
        <v>45717</v>
      </c>
      <c r="F27" s="273" t="s">
        <v>460</v>
      </c>
      <c r="G27" s="273"/>
      <c r="H27" s="252" t="s">
        <v>25</v>
      </c>
      <c r="I27" s="236"/>
      <c r="J27" s="245"/>
      <c r="K27" s="243"/>
      <c r="L27" s="244"/>
      <c r="M27" s="252"/>
      <c r="N27" s="236"/>
      <c r="O27" s="293"/>
      <c r="P27" s="293"/>
      <c r="Q27" s="294"/>
      <c r="R27" s="252"/>
      <c r="S27" s="236"/>
      <c r="T27" s="293"/>
      <c r="U27" s="244"/>
      <c r="V27" s="242"/>
      <c r="W27" s="236"/>
      <c r="X27" s="232">
        <v>1</v>
      </c>
      <c r="Y27" s="261" t="s">
        <v>116</v>
      </c>
      <c r="Z27" s="261" t="s">
        <v>423</v>
      </c>
      <c r="AA27" s="261" t="s">
        <v>392</v>
      </c>
      <c r="AB27" s="280" t="s">
        <v>94</v>
      </c>
      <c r="AC27" s="317" t="s">
        <v>138</v>
      </c>
      <c r="AD27" s="317"/>
      <c r="AE27" s="317"/>
      <c r="AF27" s="319" t="s">
        <v>144</v>
      </c>
      <c r="AG27" s="319"/>
      <c r="AH27" s="319"/>
      <c r="AI27" s="319"/>
      <c r="AJ27" s="295">
        <v>25</v>
      </c>
      <c r="AK27" s="380"/>
    </row>
    <row r="28" spans="1:37" ht="73.2" hidden="1" customHeight="1" thickTop="1" thickBot="1">
      <c r="A28" s="327" t="s">
        <v>139</v>
      </c>
      <c r="B28" s="321" t="s">
        <v>201</v>
      </c>
      <c r="C28" s="322" t="s">
        <v>202</v>
      </c>
      <c r="D28" s="323" t="s">
        <v>203</v>
      </c>
      <c r="E28" s="329">
        <v>45717</v>
      </c>
      <c r="F28" s="273" t="s">
        <v>461</v>
      </c>
      <c r="G28" s="273"/>
      <c r="H28" s="252" t="s">
        <v>25</v>
      </c>
      <c r="I28" s="236"/>
      <c r="J28" s="243"/>
      <c r="K28" s="243"/>
      <c r="L28" s="244"/>
      <c r="M28" s="252"/>
      <c r="N28" s="236"/>
      <c r="O28" s="293"/>
      <c r="P28" s="293"/>
      <c r="Q28" s="294"/>
      <c r="R28" s="252"/>
      <c r="S28" s="236"/>
      <c r="T28" s="243"/>
      <c r="U28" s="244"/>
      <c r="V28" s="242"/>
      <c r="W28" s="236"/>
      <c r="X28" s="232">
        <v>1</v>
      </c>
      <c r="Y28" s="261" t="s">
        <v>116</v>
      </c>
      <c r="Z28" s="261" t="s">
        <v>423</v>
      </c>
      <c r="AA28" s="261" t="s">
        <v>392</v>
      </c>
      <c r="AB28" s="280" t="s">
        <v>94</v>
      </c>
      <c r="AC28" s="317" t="s">
        <v>138</v>
      </c>
      <c r="AD28" s="317"/>
      <c r="AE28" s="317"/>
      <c r="AF28" s="319" t="s">
        <v>144</v>
      </c>
      <c r="AG28" s="319"/>
      <c r="AH28" s="319"/>
      <c r="AI28" s="319"/>
      <c r="AJ28" s="295">
        <v>26</v>
      </c>
      <c r="AK28" s="380"/>
    </row>
    <row r="29" spans="1:37" ht="93.6" hidden="1" customHeight="1" thickTop="1" thickBot="1">
      <c r="A29" s="327" t="s">
        <v>139</v>
      </c>
      <c r="B29" s="321" t="s">
        <v>204</v>
      </c>
      <c r="C29" s="322" t="s">
        <v>202</v>
      </c>
      <c r="D29" s="323" t="s">
        <v>205</v>
      </c>
      <c r="E29" s="329">
        <v>45627</v>
      </c>
      <c r="F29" s="273" t="s">
        <v>462</v>
      </c>
      <c r="G29" s="273"/>
      <c r="H29" s="252" t="s">
        <v>25</v>
      </c>
      <c r="I29" s="236"/>
      <c r="J29" s="244"/>
      <c r="K29" s="243"/>
      <c r="L29" s="298"/>
      <c r="M29" s="252"/>
      <c r="N29" s="236"/>
      <c r="O29" s="293"/>
      <c r="P29" s="293"/>
      <c r="Q29" s="294"/>
      <c r="R29" s="252"/>
      <c r="S29" s="236"/>
      <c r="T29" s="243"/>
      <c r="U29" s="244"/>
      <c r="V29" s="242"/>
      <c r="W29" s="236"/>
      <c r="X29" s="232">
        <v>1</v>
      </c>
      <c r="Y29" s="261" t="s">
        <v>116</v>
      </c>
      <c r="Z29" s="261" t="s">
        <v>423</v>
      </c>
      <c r="AA29" s="261" t="s">
        <v>392</v>
      </c>
      <c r="AB29" s="280" t="s">
        <v>94</v>
      </c>
      <c r="AC29" s="317" t="s">
        <v>138</v>
      </c>
      <c r="AD29" s="317"/>
      <c r="AE29" s="317"/>
      <c r="AF29" s="319" t="s">
        <v>144</v>
      </c>
      <c r="AG29" s="319"/>
      <c r="AH29" s="319"/>
      <c r="AI29" s="319"/>
      <c r="AJ29" s="295">
        <v>27</v>
      </c>
      <c r="AK29" s="380"/>
    </row>
    <row r="30" spans="1:37" ht="172.95" hidden="1" customHeight="1" thickTop="1" thickBot="1">
      <c r="A30" s="327" t="s">
        <v>140</v>
      </c>
      <c r="B30" s="321" t="s">
        <v>206</v>
      </c>
      <c r="C30" s="322" t="s">
        <v>207</v>
      </c>
      <c r="D30" s="323" t="s">
        <v>208</v>
      </c>
      <c r="E30" s="329">
        <v>45627</v>
      </c>
      <c r="F30" s="273" t="s">
        <v>479</v>
      </c>
      <c r="G30" s="273"/>
      <c r="H30" s="252" t="s">
        <v>25</v>
      </c>
      <c r="I30" s="236"/>
      <c r="J30" s="244"/>
      <c r="K30" s="243"/>
      <c r="L30" s="244"/>
      <c r="M30" s="252"/>
      <c r="N30" s="236"/>
      <c r="O30" s="293"/>
      <c r="P30" s="293"/>
      <c r="Q30" s="294"/>
      <c r="R30" s="252"/>
      <c r="S30" s="236"/>
      <c r="T30" s="243"/>
      <c r="U30" s="244"/>
      <c r="V30" s="242"/>
      <c r="W30" s="236"/>
      <c r="X30" s="232">
        <v>1</v>
      </c>
      <c r="Y30" s="261" t="s">
        <v>116</v>
      </c>
      <c r="Z30" s="261" t="s">
        <v>424</v>
      </c>
      <c r="AA30" s="261" t="s">
        <v>392</v>
      </c>
      <c r="AB30" s="280" t="s">
        <v>94</v>
      </c>
      <c r="AC30" s="317" t="s">
        <v>138</v>
      </c>
      <c r="AD30" s="317"/>
      <c r="AE30" s="317"/>
      <c r="AF30" s="319" t="s">
        <v>144</v>
      </c>
      <c r="AG30" s="319"/>
      <c r="AH30" s="319"/>
      <c r="AI30" s="319"/>
      <c r="AJ30" s="295">
        <v>28</v>
      </c>
      <c r="AK30" s="380"/>
    </row>
    <row r="31" spans="1:37" ht="73.2" hidden="1" customHeight="1" thickTop="1" thickBot="1">
      <c r="A31" s="327" t="s">
        <v>115</v>
      </c>
      <c r="B31" s="321" t="s">
        <v>209</v>
      </c>
      <c r="C31" s="322" t="s">
        <v>104</v>
      </c>
      <c r="D31" s="323" t="s">
        <v>210</v>
      </c>
      <c r="E31" s="329">
        <v>45474</v>
      </c>
      <c r="F31" s="236" t="s">
        <v>519</v>
      </c>
      <c r="G31" s="273"/>
      <c r="H31" s="252" t="s">
        <v>26</v>
      </c>
      <c r="J31" s="246"/>
      <c r="K31" s="243"/>
      <c r="L31" s="244"/>
      <c r="M31" s="252"/>
      <c r="N31" s="236"/>
      <c r="O31" s="240"/>
      <c r="P31" s="293"/>
      <c r="Q31" s="294"/>
      <c r="R31" s="252"/>
      <c r="S31" s="236"/>
      <c r="T31" s="243"/>
      <c r="U31" s="244"/>
      <c r="V31" s="242"/>
      <c r="W31" s="236"/>
      <c r="X31" s="232">
        <v>1</v>
      </c>
      <c r="Y31" s="261" t="s">
        <v>116</v>
      </c>
      <c r="Z31" s="261" t="s">
        <v>415</v>
      </c>
      <c r="AA31" s="261" t="s">
        <v>392</v>
      </c>
      <c r="AB31" s="284" t="s">
        <v>116</v>
      </c>
      <c r="AC31" s="317" t="s">
        <v>116</v>
      </c>
      <c r="AD31" s="317"/>
      <c r="AE31" s="317"/>
      <c r="AF31" s="319"/>
      <c r="AG31" s="319"/>
      <c r="AH31" s="319" t="s">
        <v>144</v>
      </c>
      <c r="AI31" s="319"/>
      <c r="AJ31" s="295">
        <v>29</v>
      </c>
      <c r="AK31" s="380"/>
    </row>
    <row r="32" spans="1:37" ht="93" hidden="1" customHeight="1" thickTop="1" thickBot="1">
      <c r="A32" s="327" t="s">
        <v>115</v>
      </c>
      <c r="B32" s="321" t="s">
        <v>211</v>
      </c>
      <c r="C32" s="322" t="s">
        <v>104</v>
      </c>
      <c r="D32" s="323" t="s">
        <v>212</v>
      </c>
      <c r="E32" s="329">
        <v>45658</v>
      </c>
      <c r="F32" s="236" t="s">
        <v>431</v>
      </c>
      <c r="G32" s="273"/>
      <c r="H32" s="252" t="s">
        <v>25</v>
      </c>
      <c r="J32" s="270"/>
      <c r="K32" s="240"/>
      <c r="L32" s="241"/>
      <c r="M32" s="252"/>
      <c r="N32" s="237"/>
      <c r="O32" s="241"/>
      <c r="P32" s="293"/>
      <c r="Q32" s="294"/>
      <c r="R32" s="252"/>
      <c r="S32" s="237"/>
      <c r="T32" s="257"/>
      <c r="U32" s="241"/>
      <c r="V32" s="242"/>
      <c r="W32" s="237"/>
      <c r="X32" s="232">
        <v>1</v>
      </c>
      <c r="Y32" s="261" t="s">
        <v>116</v>
      </c>
      <c r="Z32" s="261" t="s">
        <v>415</v>
      </c>
      <c r="AA32" s="261" t="s">
        <v>392</v>
      </c>
      <c r="AB32" s="284" t="s">
        <v>116</v>
      </c>
      <c r="AC32" s="317" t="s">
        <v>116</v>
      </c>
      <c r="AD32" s="317"/>
      <c r="AE32" s="317"/>
      <c r="AF32" s="319"/>
      <c r="AG32" s="319"/>
      <c r="AH32" s="319" t="s">
        <v>144</v>
      </c>
      <c r="AI32" s="319"/>
      <c r="AJ32" s="295">
        <v>30</v>
      </c>
      <c r="AK32" s="380"/>
    </row>
    <row r="33" spans="1:37" ht="73.2" hidden="1" customHeight="1" thickTop="1" thickBot="1">
      <c r="A33" s="327" t="s">
        <v>115</v>
      </c>
      <c r="B33" s="321" t="s">
        <v>213</v>
      </c>
      <c r="C33" s="322" t="s">
        <v>104</v>
      </c>
      <c r="D33" s="323" t="s">
        <v>214</v>
      </c>
      <c r="E33" s="329">
        <v>45689</v>
      </c>
      <c r="F33" s="276" t="s">
        <v>466</v>
      </c>
      <c r="G33" s="273"/>
      <c r="H33" s="252" t="s">
        <v>25</v>
      </c>
      <c r="J33" s="240"/>
      <c r="K33" s="240"/>
      <c r="L33" s="241"/>
      <c r="M33" s="252"/>
      <c r="N33" s="237"/>
      <c r="O33" s="293"/>
      <c r="P33" s="293"/>
      <c r="Q33" s="294"/>
      <c r="R33" s="252"/>
      <c r="S33" s="237"/>
      <c r="T33" s="240"/>
      <c r="U33" s="241"/>
      <c r="V33" s="242"/>
      <c r="W33" s="237"/>
      <c r="X33" s="232">
        <v>1</v>
      </c>
      <c r="Y33" s="261" t="s">
        <v>116</v>
      </c>
      <c r="Z33" s="261" t="s">
        <v>415</v>
      </c>
      <c r="AA33" s="261" t="s">
        <v>392</v>
      </c>
      <c r="AB33" s="284" t="s">
        <v>116</v>
      </c>
      <c r="AC33" s="317" t="s">
        <v>116</v>
      </c>
      <c r="AD33" s="317"/>
      <c r="AE33" s="317"/>
      <c r="AF33" s="319"/>
      <c r="AG33" s="319"/>
      <c r="AH33" s="319" t="s">
        <v>144</v>
      </c>
      <c r="AI33" s="319"/>
      <c r="AJ33" s="295">
        <v>31</v>
      </c>
      <c r="AK33" s="380"/>
    </row>
    <row r="34" spans="1:37" ht="94.2" hidden="1" customHeight="1" thickTop="1" thickBot="1">
      <c r="A34" s="327" t="s">
        <v>115</v>
      </c>
      <c r="B34" s="321" t="s">
        <v>215</v>
      </c>
      <c r="C34" s="322" t="s">
        <v>83</v>
      </c>
      <c r="D34" s="323" t="s">
        <v>216</v>
      </c>
      <c r="E34" s="329">
        <v>45717</v>
      </c>
      <c r="F34" s="236" t="s">
        <v>453</v>
      </c>
      <c r="G34" s="273"/>
      <c r="H34" s="252" t="s">
        <v>25</v>
      </c>
      <c r="J34" s="244"/>
      <c r="K34" s="243"/>
      <c r="L34" s="244"/>
      <c r="M34" s="252"/>
      <c r="N34" s="236"/>
      <c r="O34" s="293"/>
      <c r="P34" s="293"/>
      <c r="Q34" s="294"/>
      <c r="R34" s="252"/>
      <c r="S34" s="236"/>
      <c r="T34" s="243"/>
      <c r="U34" s="244"/>
      <c r="V34" s="242"/>
      <c r="W34" s="247"/>
      <c r="X34" s="232">
        <v>1</v>
      </c>
      <c r="Y34" s="261" t="s">
        <v>116</v>
      </c>
      <c r="Z34" s="261" t="s">
        <v>416</v>
      </c>
      <c r="AA34" s="261" t="s">
        <v>392</v>
      </c>
      <c r="AB34" s="281" t="s">
        <v>116</v>
      </c>
      <c r="AC34" s="317" t="s">
        <v>116</v>
      </c>
      <c r="AD34" s="317"/>
      <c r="AE34" s="317"/>
      <c r="AF34" s="319"/>
      <c r="AG34" s="319"/>
      <c r="AH34" s="319" t="s">
        <v>144</v>
      </c>
      <c r="AI34" s="319"/>
      <c r="AJ34" s="295">
        <v>32</v>
      </c>
      <c r="AK34" s="380"/>
    </row>
    <row r="35" spans="1:37" ht="109.2" hidden="1" customHeight="1" thickTop="1" thickBot="1">
      <c r="A35" s="327" t="s">
        <v>88</v>
      </c>
      <c r="B35" s="321" t="s">
        <v>217</v>
      </c>
      <c r="C35" s="322" t="s">
        <v>218</v>
      </c>
      <c r="D35" s="323" t="s">
        <v>219</v>
      </c>
      <c r="E35" s="329" t="s">
        <v>385</v>
      </c>
      <c r="F35" s="236" t="s">
        <v>474</v>
      </c>
      <c r="G35" s="273"/>
      <c r="H35" s="252" t="s">
        <v>25</v>
      </c>
      <c r="J35" s="243"/>
      <c r="K35" s="243"/>
      <c r="L35" s="244"/>
      <c r="M35" s="252"/>
      <c r="N35" s="236"/>
      <c r="O35" s="293"/>
      <c r="P35" s="293"/>
      <c r="Q35" s="294"/>
      <c r="R35" s="252"/>
      <c r="S35" s="236"/>
      <c r="T35" s="243"/>
      <c r="U35" s="244"/>
      <c r="V35" s="242"/>
      <c r="W35" s="236"/>
      <c r="X35" s="232">
        <v>1</v>
      </c>
      <c r="Y35" s="261" t="s">
        <v>116</v>
      </c>
      <c r="Z35" s="261" t="s">
        <v>421</v>
      </c>
      <c r="AA35" s="261" t="s">
        <v>392</v>
      </c>
      <c r="AB35" s="282" t="s">
        <v>116</v>
      </c>
      <c r="AC35" s="317" t="s">
        <v>116</v>
      </c>
      <c r="AD35" s="317"/>
      <c r="AE35" s="317"/>
      <c r="AF35" s="319"/>
      <c r="AG35" s="319" t="s">
        <v>144</v>
      </c>
      <c r="AH35" s="319"/>
      <c r="AI35" s="319"/>
      <c r="AJ35" s="295">
        <v>33</v>
      </c>
      <c r="AK35" s="380"/>
    </row>
    <row r="36" spans="1:37" ht="94.2" hidden="1" customHeight="1" thickTop="1" thickBot="1">
      <c r="A36" s="327" t="s">
        <v>88</v>
      </c>
      <c r="B36" s="321" t="s">
        <v>220</v>
      </c>
      <c r="C36" s="322" t="s">
        <v>218</v>
      </c>
      <c r="D36" s="323" t="s">
        <v>221</v>
      </c>
      <c r="E36" s="329" t="s">
        <v>385</v>
      </c>
      <c r="F36" s="236" t="s">
        <v>473</v>
      </c>
      <c r="G36" s="273"/>
      <c r="H36" s="252" t="s">
        <v>25</v>
      </c>
      <c r="J36" s="244"/>
      <c r="K36" s="243"/>
      <c r="L36" s="244"/>
      <c r="M36" s="252"/>
      <c r="N36" s="236"/>
      <c r="O36" s="293"/>
      <c r="P36" s="293"/>
      <c r="Q36" s="294"/>
      <c r="R36" s="252"/>
      <c r="S36" s="236"/>
      <c r="T36" s="243"/>
      <c r="U36" s="244"/>
      <c r="V36" s="242"/>
      <c r="W36" s="236"/>
      <c r="X36" s="232">
        <v>1</v>
      </c>
      <c r="Y36" s="261" t="s">
        <v>116</v>
      </c>
      <c r="Z36" s="261" t="s">
        <v>421</v>
      </c>
      <c r="AA36" s="261" t="s">
        <v>392</v>
      </c>
      <c r="AB36" s="283" t="s">
        <v>116</v>
      </c>
      <c r="AC36" s="317" t="s">
        <v>141</v>
      </c>
      <c r="AD36" s="317"/>
      <c r="AE36" s="317"/>
      <c r="AF36" s="319"/>
      <c r="AG36" s="319" t="s">
        <v>144</v>
      </c>
      <c r="AH36" s="319"/>
      <c r="AI36" s="319"/>
      <c r="AJ36" s="295">
        <v>34</v>
      </c>
      <c r="AK36" s="380"/>
    </row>
    <row r="37" spans="1:37" ht="73.2" hidden="1" customHeight="1" thickTop="1" thickBot="1">
      <c r="A37" s="327" t="s">
        <v>88</v>
      </c>
      <c r="B37" s="321" t="s">
        <v>222</v>
      </c>
      <c r="C37" s="322" t="s">
        <v>152</v>
      </c>
      <c r="D37" s="323" t="s">
        <v>223</v>
      </c>
      <c r="E37" s="329">
        <v>45413</v>
      </c>
      <c r="F37" s="236"/>
      <c r="G37" s="273"/>
      <c r="H37" s="252" t="s">
        <v>16</v>
      </c>
      <c r="I37" s="238" t="s">
        <v>472</v>
      </c>
      <c r="J37" s="245"/>
      <c r="K37" s="243"/>
      <c r="L37" s="244"/>
      <c r="M37" s="252"/>
      <c r="N37" s="236"/>
      <c r="O37" s="293"/>
      <c r="P37" s="293"/>
      <c r="Q37" s="294"/>
      <c r="R37" s="252"/>
      <c r="S37" s="236"/>
      <c r="T37" s="243"/>
      <c r="U37" s="244"/>
      <c r="V37" s="242"/>
      <c r="W37" s="236"/>
      <c r="X37" s="232">
        <v>1</v>
      </c>
      <c r="Y37" s="261" t="s">
        <v>116</v>
      </c>
      <c r="Z37" s="261" t="s">
        <v>421</v>
      </c>
      <c r="AA37" s="261" t="s">
        <v>392</v>
      </c>
      <c r="AB37" s="283" t="s">
        <v>116</v>
      </c>
      <c r="AC37" s="317" t="s">
        <v>141</v>
      </c>
      <c r="AD37" s="317"/>
      <c r="AE37" s="317"/>
      <c r="AF37" s="319"/>
      <c r="AG37" s="319" t="s">
        <v>144</v>
      </c>
      <c r="AH37" s="319"/>
      <c r="AI37" s="319"/>
      <c r="AJ37" s="295">
        <v>35</v>
      </c>
      <c r="AK37" s="380"/>
    </row>
    <row r="38" spans="1:37" ht="73.2" hidden="1" customHeight="1" thickTop="1" thickBot="1">
      <c r="A38" s="327" t="s">
        <v>88</v>
      </c>
      <c r="B38" s="321" t="s">
        <v>224</v>
      </c>
      <c r="C38" s="322" t="s">
        <v>152</v>
      </c>
      <c r="D38" s="323" t="s">
        <v>121</v>
      </c>
      <c r="E38" s="329">
        <v>45566</v>
      </c>
      <c r="F38" s="247"/>
      <c r="G38" s="273"/>
      <c r="H38" s="252" t="s">
        <v>29</v>
      </c>
      <c r="J38" s="244"/>
      <c r="K38" s="243"/>
      <c r="L38" s="244"/>
      <c r="M38" s="252"/>
      <c r="N38" s="236"/>
      <c r="O38" s="293"/>
      <c r="P38" s="293"/>
      <c r="Q38" s="294"/>
      <c r="R38" s="252"/>
      <c r="S38" s="236"/>
      <c r="T38" s="243"/>
      <c r="U38" s="244"/>
      <c r="V38" s="242"/>
      <c r="W38" s="236"/>
      <c r="X38" s="232">
        <v>1</v>
      </c>
      <c r="Y38" s="261" t="s">
        <v>116</v>
      </c>
      <c r="Z38" s="261" t="s">
        <v>422</v>
      </c>
      <c r="AA38" s="261" t="s">
        <v>392</v>
      </c>
      <c r="AB38" s="283" t="s">
        <v>116</v>
      </c>
      <c r="AC38" s="317" t="s">
        <v>141</v>
      </c>
      <c r="AD38" s="317"/>
      <c r="AE38" s="317"/>
      <c r="AF38" s="319"/>
      <c r="AG38" s="319" t="s">
        <v>144</v>
      </c>
      <c r="AH38" s="319"/>
      <c r="AI38" s="319"/>
      <c r="AJ38" s="295">
        <v>36</v>
      </c>
      <c r="AK38" s="380"/>
    </row>
    <row r="39" spans="1:37" ht="73.2" customHeight="1" thickTop="1" thickBot="1">
      <c r="A39" s="327" t="s">
        <v>87</v>
      </c>
      <c r="B39" s="321" t="s">
        <v>225</v>
      </c>
      <c r="C39" s="322" t="s">
        <v>109</v>
      </c>
      <c r="D39" s="326" t="s">
        <v>226</v>
      </c>
      <c r="E39" s="329">
        <v>45717</v>
      </c>
      <c r="F39" s="236" t="s">
        <v>488</v>
      </c>
      <c r="G39" s="273" t="s">
        <v>489</v>
      </c>
      <c r="H39" s="252" t="s">
        <v>25</v>
      </c>
      <c r="J39" s="243"/>
      <c r="K39" s="243"/>
      <c r="L39" s="244"/>
      <c r="M39" s="252"/>
      <c r="N39" s="237"/>
      <c r="O39" s="293"/>
      <c r="P39" s="293"/>
      <c r="Q39" s="294"/>
      <c r="R39" s="252"/>
      <c r="S39" s="236"/>
      <c r="T39" s="243"/>
      <c r="U39" s="244"/>
      <c r="V39" s="242"/>
      <c r="W39" s="236"/>
      <c r="X39" s="232">
        <v>1</v>
      </c>
      <c r="Y39" s="261" t="s">
        <v>389</v>
      </c>
      <c r="Z39" s="286" t="s">
        <v>409</v>
      </c>
      <c r="AA39" s="261" t="s">
        <v>392</v>
      </c>
      <c r="AB39" s="283" t="s">
        <v>129</v>
      </c>
      <c r="AC39" s="317" t="s">
        <v>138</v>
      </c>
      <c r="AD39" s="317"/>
      <c r="AE39" s="317"/>
      <c r="AF39" s="319" t="s">
        <v>144</v>
      </c>
      <c r="AG39" s="319"/>
      <c r="AH39" s="319"/>
      <c r="AI39" s="319"/>
      <c r="AJ39" s="295">
        <v>37</v>
      </c>
      <c r="AK39" s="380"/>
    </row>
    <row r="40" spans="1:37" ht="73.2" customHeight="1" thickTop="1" thickBot="1">
      <c r="A40" s="327" t="s">
        <v>87</v>
      </c>
      <c r="B40" s="321" t="s">
        <v>227</v>
      </c>
      <c r="C40" s="322" t="s">
        <v>109</v>
      </c>
      <c r="D40" s="323" t="s">
        <v>228</v>
      </c>
      <c r="E40" s="329">
        <v>45536</v>
      </c>
      <c r="F40" s="236"/>
      <c r="G40" s="273"/>
      <c r="H40" s="252" t="s">
        <v>29</v>
      </c>
      <c r="J40" s="243"/>
      <c r="K40" s="243"/>
      <c r="L40" s="244"/>
      <c r="M40" s="252"/>
      <c r="N40" s="236"/>
      <c r="O40" s="293"/>
      <c r="P40" s="293"/>
      <c r="Q40" s="294"/>
      <c r="R40" s="252"/>
      <c r="S40" s="236"/>
      <c r="T40" s="243"/>
      <c r="U40" s="244"/>
      <c r="V40" s="242"/>
      <c r="W40" s="236"/>
      <c r="X40" s="232">
        <v>1</v>
      </c>
      <c r="Y40" s="261" t="s">
        <v>389</v>
      </c>
      <c r="Z40" s="286" t="s">
        <v>409</v>
      </c>
      <c r="AA40" s="261" t="s">
        <v>392</v>
      </c>
      <c r="AB40" s="282" t="s">
        <v>129</v>
      </c>
      <c r="AC40" s="317" t="s">
        <v>141</v>
      </c>
      <c r="AD40" s="317"/>
      <c r="AE40" s="317"/>
      <c r="AF40" s="319"/>
      <c r="AG40" s="319" t="s">
        <v>144</v>
      </c>
      <c r="AH40" s="319"/>
      <c r="AI40" s="319"/>
      <c r="AJ40" s="295">
        <v>38</v>
      </c>
      <c r="AK40" s="380"/>
    </row>
    <row r="41" spans="1:37" ht="73.2" hidden="1" customHeight="1" thickTop="1" thickBot="1">
      <c r="A41" s="328" t="s">
        <v>383</v>
      </c>
      <c r="B41" s="321" t="s">
        <v>229</v>
      </c>
      <c r="C41" s="322" t="s">
        <v>111</v>
      </c>
      <c r="D41" s="323" t="s">
        <v>230</v>
      </c>
      <c r="E41" s="329">
        <v>45627</v>
      </c>
      <c r="F41" s="236" t="s">
        <v>476</v>
      </c>
      <c r="G41" s="273"/>
      <c r="H41" s="252" t="s">
        <v>25</v>
      </c>
      <c r="J41" s="243"/>
      <c r="K41" s="243"/>
      <c r="L41" s="244"/>
      <c r="M41" s="252"/>
      <c r="N41" s="236"/>
      <c r="O41" s="293"/>
      <c r="P41" s="293"/>
      <c r="Q41" s="294"/>
      <c r="R41" s="252"/>
      <c r="S41" s="236"/>
      <c r="T41" s="243"/>
      <c r="U41" s="244"/>
      <c r="V41" s="242"/>
      <c r="W41" s="236"/>
      <c r="X41" s="232">
        <v>1</v>
      </c>
      <c r="Y41" s="261" t="s">
        <v>388</v>
      </c>
      <c r="Z41" s="261" t="s">
        <v>414</v>
      </c>
      <c r="AA41" s="261" t="s">
        <v>392</v>
      </c>
      <c r="AB41" s="283" t="s">
        <v>129</v>
      </c>
      <c r="AC41" s="317" t="s">
        <v>137</v>
      </c>
      <c r="AD41" s="317"/>
      <c r="AE41" s="317"/>
      <c r="AF41" s="319"/>
      <c r="AG41" s="319"/>
      <c r="AH41" s="319"/>
      <c r="AI41" s="319" t="s">
        <v>144</v>
      </c>
      <c r="AJ41" s="295">
        <v>39</v>
      </c>
      <c r="AK41" s="380"/>
    </row>
    <row r="42" spans="1:37" ht="73.2" customHeight="1" thickTop="1" thickBot="1">
      <c r="A42" s="327" t="s">
        <v>87</v>
      </c>
      <c r="B42" s="321" t="s">
        <v>231</v>
      </c>
      <c r="C42" s="322" t="s">
        <v>181</v>
      </c>
      <c r="D42" s="323" t="s">
        <v>232</v>
      </c>
      <c r="E42" s="329">
        <v>45474</v>
      </c>
      <c r="F42" s="236" t="s">
        <v>491</v>
      </c>
      <c r="G42" s="273"/>
      <c r="H42" s="252" t="s">
        <v>25</v>
      </c>
      <c r="J42" s="243"/>
      <c r="K42" s="243"/>
      <c r="L42" s="244"/>
      <c r="M42" s="252"/>
      <c r="N42" s="236"/>
      <c r="O42" s="293"/>
      <c r="P42" s="293"/>
      <c r="Q42" s="294"/>
      <c r="R42" s="252"/>
      <c r="S42" s="236"/>
      <c r="T42" s="243"/>
      <c r="U42" s="244"/>
      <c r="V42" s="242"/>
      <c r="W42" s="236"/>
      <c r="X42" s="232">
        <v>1</v>
      </c>
      <c r="Y42" s="261" t="s">
        <v>389</v>
      </c>
      <c r="Z42" s="286" t="s">
        <v>409</v>
      </c>
      <c r="AA42" s="261" t="s">
        <v>392</v>
      </c>
      <c r="AB42" s="283" t="s">
        <v>129</v>
      </c>
      <c r="AC42" s="317" t="s">
        <v>138</v>
      </c>
      <c r="AD42" s="317" t="s">
        <v>141</v>
      </c>
      <c r="AE42" s="317"/>
      <c r="AF42" s="319" t="s">
        <v>144</v>
      </c>
      <c r="AG42" s="319" t="s">
        <v>144</v>
      </c>
      <c r="AH42" s="319"/>
      <c r="AI42" s="319"/>
      <c r="AJ42" s="295">
        <v>40</v>
      </c>
      <c r="AK42" s="380"/>
    </row>
    <row r="43" spans="1:37" ht="73.2" hidden="1" customHeight="1" thickTop="1" thickBot="1">
      <c r="A43" s="327" t="s">
        <v>383</v>
      </c>
      <c r="B43" s="321" t="s">
        <v>233</v>
      </c>
      <c r="C43" s="322" t="s">
        <v>234</v>
      </c>
      <c r="D43" s="323" t="s">
        <v>235</v>
      </c>
      <c r="E43" s="329">
        <v>45717</v>
      </c>
      <c r="F43" s="236" t="s">
        <v>477</v>
      </c>
      <c r="G43" s="273"/>
      <c r="H43" s="252" t="s">
        <v>25</v>
      </c>
      <c r="J43" s="243"/>
      <c r="K43" s="243"/>
      <c r="L43" s="244"/>
      <c r="M43" s="252"/>
      <c r="N43" s="236"/>
      <c r="O43" s="293"/>
      <c r="P43" s="293"/>
      <c r="Q43" s="294"/>
      <c r="R43" s="252"/>
      <c r="S43" s="236"/>
      <c r="T43" s="243"/>
      <c r="U43" s="244"/>
      <c r="V43" s="242"/>
      <c r="W43" s="236"/>
      <c r="X43" s="232">
        <v>1</v>
      </c>
      <c r="Y43" s="261" t="s">
        <v>388</v>
      </c>
      <c r="Z43" s="261" t="s">
        <v>413</v>
      </c>
      <c r="AA43" s="261" t="s">
        <v>392</v>
      </c>
      <c r="AB43" s="283" t="s">
        <v>129</v>
      </c>
      <c r="AC43" s="318" t="s">
        <v>116</v>
      </c>
      <c r="AD43" s="317"/>
      <c r="AE43" s="317"/>
      <c r="AF43" s="319"/>
      <c r="AG43" s="319"/>
      <c r="AH43" s="319" t="s">
        <v>144</v>
      </c>
      <c r="AI43" s="319"/>
      <c r="AJ43" s="295">
        <v>41</v>
      </c>
      <c r="AK43" s="380"/>
    </row>
    <row r="44" spans="1:37" ht="73.2" hidden="1" customHeight="1" thickTop="1" thickBot="1">
      <c r="A44" s="328" t="s">
        <v>89</v>
      </c>
      <c r="B44" s="321" t="s">
        <v>236</v>
      </c>
      <c r="C44" s="322" t="s">
        <v>120</v>
      </c>
      <c r="D44" s="323" t="s">
        <v>237</v>
      </c>
      <c r="E44" s="329">
        <v>45658</v>
      </c>
      <c r="F44" s="236" t="s">
        <v>498</v>
      </c>
      <c r="G44" s="273" t="s">
        <v>429</v>
      </c>
      <c r="H44" s="252" t="s">
        <v>25</v>
      </c>
      <c r="J44" s="243"/>
      <c r="K44" s="243"/>
      <c r="L44" s="244"/>
      <c r="M44" s="252"/>
      <c r="N44" s="236"/>
      <c r="O44" s="293"/>
      <c r="P44" s="293"/>
      <c r="Q44" s="294"/>
      <c r="R44" s="252"/>
      <c r="S44" s="236"/>
      <c r="T44" s="243"/>
      <c r="U44" s="244"/>
      <c r="V44" s="242"/>
      <c r="W44" s="236"/>
      <c r="X44" s="232">
        <v>1</v>
      </c>
      <c r="Y44" s="261" t="s">
        <v>388</v>
      </c>
      <c r="Z44" s="261" t="s">
        <v>418</v>
      </c>
      <c r="AA44" s="261" t="s">
        <v>123</v>
      </c>
      <c r="AB44" s="283" t="s">
        <v>117</v>
      </c>
      <c r="AC44" s="317" t="s">
        <v>116</v>
      </c>
      <c r="AD44" s="317"/>
      <c r="AE44" s="317"/>
      <c r="AF44" s="319"/>
      <c r="AG44" s="319"/>
      <c r="AH44" s="319" t="s">
        <v>144</v>
      </c>
      <c r="AI44" s="319"/>
      <c r="AJ44" s="295">
        <v>42</v>
      </c>
      <c r="AK44" s="380"/>
    </row>
    <row r="45" spans="1:37" ht="109.2" hidden="1" customHeight="1" thickTop="1" thickBot="1">
      <c r="A45" s="327" t="s">
        <v>89</v>
      </c>
      <c r="B45" s="321" t="s">
        <v>238</v>
      </c>
      <c r="C45" s="322" t="s">
        <v>120</v>
      </c>
      <c r="D45" s="323" t="s">
        <v>239</v>
      </c>
      <c r="E45" s="329">
        <v>45627</v>
      </c>
      <c r="F45" s="236" t="s">
        <v>478</v>
      </c>
      <c r="G45" s="274"/>
      <c r="H45" s="252" t="s">
        <v>29</v>
      </c>
      <c r="J45" s="299"/>
      <c r="K45" s="244"/>
      <c r="L45" s="244"/>
      <c r="M45" s="252"/>
      <c r="N45" s="247"/>
      <c r="O45" s="293"/>
      <c r="P45" s="293"/>
      <c r="Q45" s="273"/>
      <c r="R45" s="252"/>
      <c r="S45" s="236"/>
      <c r="T45" s="250"/>
      <c r="U45" s="253"/>
      <c r="V45" s="242"/>
      <c r="W45" s="247"/>
      <c r="X45" s="232">
        <v>1</v>
      </c>
      <c r="Y45" s="261" t="s">
        <v>389</v>
      </c>
      <c r="Z45" s="261" t="s">
        <v>417</v>
      </c>
      <c r="AA45" s="261" t="s">
        <v>123</v>
      </c>
      <c r="AB45" s="283" t="s">
        <v>117</v>
      </c>
      <c r="AC45" s="317" t="s">
        <v>116</v>
      </c>
      <c r="AD45" s="317"/>
      <c r="AE45" s="317"/>
      <c r="AF45" s="319"/>
      <c r="AG45" s="319"/>
      <c r="AH45" s="319" t="s">
        <v>144</v>
      </c>
      <c r="AI45" s="319"/>
      <c r="AJ45" s="295">
        <v>43</v>
      </c>
      <c r="AK45" s="380"/>
    </row>
    <row r="46" spans="1:37" ht="96" hidden="1" customHeight="1" thickTop="1" thickBot="1">
      <c r="A46" s="327" t="s">
        <v>86</v>
      </c>
      <c r="B46" s="321" t="s">
        <v>240</v>
      </c>
      <c r="C46" s="322" t="s">
        <v>241</v>
      </c>
      <c r="D46" s="323" t="s">
        <v>242</v>
      </c>
      <c r="E46" s="329">
        <v>45566</v>
      </c>
      <c r="F46" s="236" t="s">
        <v>444</v>
      </c>
      <c r="G46" s="273"/>
      <c r="H46" s="252" t="s">
        <v>29</v>
      </c>
      <c r="J46" s="300"/>
      <c r="K46" s="301"/>
      <c r="L46" s="301"/>
      <c r="M46" s="252"/>
      <c r="N46" s="236"/>
      <c r="O46" s="300"/>
      <c r="P46" s="302"/>
      <c r="Q46" s="301"/>
      <c r="R46" s="252"/>
      <c r="S46" s="236"/>
      <c r="T46" s="249"/>
      <c r="U46" s="251"/>
      <c r="V46" s="242"/>
      <c r="W46" s="247"/>
      <c r="X46" s="232">
        <v>1</v>
      </c>
      <c r="Y46" s="261" t="s">
        <v>389</v>
      </c>
      <c r="Z46" s="261" t="s">
        <v>419</v>
      </c>
      <c r="AA46" s="261" t="s">
        <v>123</v>
      </c>
      <c r="AB46" s="283" t="s">
        <v>95</v>
      </c>
      <c r="AC46" s="317" t="s">
        <v>141</v>
      </c>
      <c r="AD46" s="317"/>
      <c r="AE46" s="317"/>
      <c r="AF46" s="319"/>
      <c r="AG46" s="319" t="s">
        <v>144</v>
      </c>
      <c r="AH46" s="319"/>
      <c r="AI46" s="319"/>
      <c r="AJ46" s="295">
        <v>44</v>
      </c>
      <c r="AK46" s="380"/>
    </row>
    <row r="47" spans="1:37" ht="73.2" hidden="1" customHeight="1" thickTop="1" thickBot="1">
      <c r="A47" s="327" t="s">
        <v>86</v>
      </c>
      <c r="B47" s="321" t="s">
        <v>243</v>
      </c>
      <c r="C47" s="322" t="s">
        <v>241</v>
      </c>
      <c r="D47" s="323" t="s">
        <v>244</v>
      </c>
      <c r="E47" s="329">
        <v>45566</v>
      </c>
      <c r="F47" s="236" t="s">
        <v>445</v>
      </c>
      <c r="G47" s="273"/>
      <c r="H47" s="252" t="s">
        <v>29</v>
      </c>
      <c r="J47" s="303"/>
      <c r="K47" s="301"/>
      <c r="L47" s="301"/>
      <c r="M47" s="252"/>
      <c r="N47" s="236"/>
      <c r="O47" s="300"/>
      <c r="P47" s="312"/>
      <c r="Q47" s="313"/>
      <c r="R47" s="252"/>
      <c r="S47" s="236"/>
      <c r="T47" s="249"/>
      <c r="U47" s="251"/>
      <c r="V47" s="242"/>
      <c r="W47" s="247"/>
      <c r="X47" s="232">
        <v>1</v>
      </c>
      <c r="Y47" s="261" t="s">
        <v>389</v>
      </c>
      <c r="Z47" s="261" t="s">
        <v>419</v>
      </c>
      <c r="AA47" s="261" t="s">
        <v>123</v>
      </c>
      <c r="AB47" s="283" t="s">
        <v>95</v>
      </c>
      <c r="AC47" s="317" t="s">
        <v>116</v>
      </c>
      <c r="AD47" s="317" t="s">
        <v>141</v>
      </c>
      <c r="AE47" s="317"/>
      <c r="AF47" s="319"/>
      <c r="AG47" s="319" t="s">
        <v>144</v>
      </c>
      <c r="AH47" s="319" t="s">
        <v>144</v>
      </c>
      <c r="AI47" s="319"/>
      <c r="AJ47" s="295">
        <v>45</v>
      </c>
      <c r="AK47" s="380"/>
    </row>
    <row r="48" spans="1:37" ht="73.2" hidden="1" customHeight="1" thickTop="1" thickBot="1">
      <c r="A48" s="327" t="s">
        <v>86</v>
      </c>
      <c r="B48" s="321" t="s">
        <v>245</v>
      </c>
      <c r="C48" s="322" t="s">
        <v>246</v>
      </c>
      <c r="D48" s="323" t="s">
        <v>247</v>
      </c>
      <c r="E48" s="329">
        <v>45566</v>
      </c>
      <c r="F48" s="236" t="s">
        <v>456</v>
      </c>
      <c r="G48" s="273"/>
      <c r="H48" s="252" t="s">
        <v>29</v>
      </c>
      <c r="J48" s="300"/>
      <c r="K48" s="301"/>
      <c r="L48" s="301"/>
      <c r="M48" s="252"/>
      <c r="N48" s="236"/>
      <c r="O48" s="304"/>
      <c r="P48" s="302"/>
      <c r="Q48" s="301"/>
      <c r="R48" s="252"/>
      <c r="S48" s="237"/>
      <c r="T48" s="249"/>
      <c r="U48" s="251"/>
      <c r="V48" s="242"/>
      <c r="W48" s="237"/>
      <c r="X48" s="232">
        <v>1</v>
      </c>
      <c r="Y48" s="261" t="s">
        <v>389</v>
      </c>
      <c r="Z48" s="261" t="s">
        <v>419</v>
      </c>
      <c r="AA48" s="261" t="s">
        <v>123</v>
      </c>
      <c r="AB48" s="283" t="s">
        <v>95</v>
      </c>
      <c r="AC48" s="318" t="s">
        <v>137</v>
      </c>
      <c r="AD48" s="317" t="s">
        <v>116</v>
      </c>
      <c r="AE48" s="317"/>
      <c r="AF48" s="319"/>
      <c r="AG48" s="319"/>
      <c r="AH48" s="319" t="s">
        <v>144</v>
      </c>
      <c r="AI48" s="319" t="s">
        <v>144</v>
      </c>
      <c r="AJ48" s="295">
        <v>46</v>
      </c>
      <c r="AK48" s="380"/>
    </row>
    <row r="49" spans="1:37" ht="73.2" hidden="1" customHeight="1" thickTop="1" thickBot="1">
      <c r="A49" s="328" t="s">
        <v>86</v>
      </c>
      <c r="B49" s="321" t="s">
        <v>248</v>
      </c>
      <c r="C49" s="322" t="s">
        <v>249</v>
      </c>
      <c r="D49" s="323" t="s">
        <v>250</v>
      </c>
      <c r="E49" s="329">
        <v>45627</v>
      </c>
      <c r="F49" s="236"/>
      <c r="G49" s="273"/>
      <c r="H49" s="252" t="s">
        <v>29</v>
      </c>
      <c r="J49" s="246"/>
      <c r="K49" s="298"/>
      <c r="L49" s="298"/>
      <c r="M49" s="252"/>
      <c r="N49" s="236"/>
      <c r="O49" s="305"/>
      <c r="P49" s="293"/>
      <c r="Q49" s="294"/>
      <c r="R49" s="252"/>
      <c r="S49" s="236"/>
      <c r="T49" s="256"/>
      <c r="U49" s="254"/>
      <c r="V49" s="242"/>
      <c r="W49" s="236"/>
      <c r="X49" s="232">
        <v>1</v>
      </c>
      <c r="Y49" s="261" t="s">
        <v>389</v>
      </c>
      <c r="Z49" s="261" t="s">
        <v>419</v>
      </c>
      <c r="AA49" s="261" t="s">
        <v>123</v>
      </c>
      <c r="AB49" s="283" t="s">
        <v>95</v>
      </c>
      <c r="AC49" s="317" t="s">
        <v>116</v>
      </c>
      <c r="AD49" s="317" t="s">
        <v>137</v>
      </c>
      <c r="AE49" s="317"/>
      <c r="AF49" s="319"/>
      <c r="AG49" s="319"/>
      <c r="AH49" s="319" t="s">
        <v>144</v>
      </c>
      <c r="AI49" s="319" t="s">
        <v>144</v>
      </c>
      <c r="AJ49" s="295">
        <v>47</v>
      </c>
      <c r="AK49" s="380"/>
    </row>
    <row r="50" spans="1:37" ht="85.2" hidden="1" customHeight="1" thickTop="1" thickBot="1">
      <c r="A50" s="327" t="s">
        <v>86</v>
      </c>
      <c r="B50" s="321" t="s">
        <v>251</v>
      </c>
      <c r="C50" s="322" t="s">
        <v>252</v>
      </c>
      <c r="D50" s="323" t="s">
        <v>253</v>
      </c>
      <c r="E50" s="329">
        <v>45597</v>
      </c>
      <c r="F50" s="236"/>
      <c r="G50" s="273"/>
      <c r="H50" s="252" t="s">
        <v>29</v>
      </c>
      <c r="J50" s="243"/>
      <c r="K50" s="243"/>
      <c r="L50" s="244"/>
      <c r="M50" s="252"/>
      <c r="N50" s="236"/>
      <c r="O50" s="293"/>
      <c r="P50" s="293"/>
      <c r="Q50" s="294"/>
      <c r="R50" s="252"/>
      <c r="S50" s="236"/>
      <c r="T50" s="243"/>
      <c r="U50" s="244"/>
      <c r="V50" s="242"/>
      <c r="W50" s="236"/>
      <c r="X50" s="232">
        <v>1</v>
      </c>
      <c r="Y50" s="261" t="s">
        <v>389</v>
      </c>
      <c r="Z50" s="261" t="s">
        <v>419</v>
      </c>
      <c r="AA50" s="261" t="s">
        <v>123</v>
      </c>
      <c r="AB50" s="283" t="s">
        <v>95</v>
      </c>
      <c r="AC50" s="317" t="s">
        <v>141</v>
      </c>
      <c r="AD50" s="317" t="s">
        <v>137</v>
      </c>
      <c r="AE50" s="317"/>
      <c r="AF50" s="319"/>
      <c r="AG50" s="319" t="s">
        <v>144</v>
      </c>
      <c r="AH50" s="319"/>
      <c r="AI50" s="319" t="s">
        <v>144</v>
      </c>
      <c r="AJ50" s="295">
        <v>48</v>
      </c>
      <c r="AK50" s="380"/>
    </row>
    <row r="51" spans="1:37" ht="132" hidden="1" customHeight="1" thickTop="1" thickBot="1">
      <c r="A51" s="327" t="s">
        <v>86</v>
      </c>
      <c r="B51" s="321" t="s">
        <v>254</v>
      </c>
      <c r="C51" s="322" t="s">
        <v>252</v>
      </c>
      <c r="D51" s="323" t="s">
        <v>255</v>
      </c>
      <c r="E51" s="329">
        <v>45717</v>
      </c>
      <c r="F51" s="236" t="s">
        <v>457</v>
      </c>
      <c r="G51" s="273"/>
      <c r="H51" s="252" t="s">
        <v>25</v>
      </c>
      <c r="J51" s="243"/>
      <c r="K51" s="244"/>
      <c r="L51" s="244"/>
      <c r="M51" s="252"/>
      <c r="N51" s="236"/>
      <c r="O51" s="293"/>
      <c r="P51" s="293"/>
      <c r="Q51" s="294"/>
      <c r="R51" s="252"/>
      <c r="S51" s="236"/>
      <c r="T51" s="243"/>
      <c r="U51" s="244"/>
      <c r="V51" s="242"/>
      <c r="W51" s="236"/>
      <c r="X51" s="232">
        <v>1</v>
      </c>
      <c r="Y51" s="261" t="s">
        <v>389</v>
      </c>
      <c r="Z51" s="261" t="s">
        <v>419</v>
      </c>
      <c r="AA51" s="261" t="s">
        <v>123</v>
      </c>
      <c r="AB51" s="283" t="s">
        <v>95</v>
      </c>
      <c r="AC51" s="317" t="s">
        <v>141</v>
      </c>
      <c r="AD51" s="317" t="s">
        <v>137</v>
      </c>
      <c r="AE51" s="317"/>
      <c r="AF51" s="319"/>
      <c r="AG51" s="319" t="s">
        <v>144</v>
      </c>
      <c r="AH51" s="319"/>
      <c r="AI51" s="319" t="s">
        <v>144</v>
      </c>
      <c r="AJ51" s="295">
        <v>49</v>
      </c>
      <c r="AK51" s="380"/>
    </row>
    <row r="52" spans="1:37" ht="67.95" hidden="1" customHeight="1" thickTop="1" thickBot="1">
      <c r="A52" s="328" t="s">
        <v>86</v>
      </c>
      <c r="B52" s="321" t="s">
        <v>256</v>
      </c>
      <c r="C52" s="322" t="s">
        <v>252</v>
      </c>
      <c r="D52" s="323" t="s">
        <v>257</v>
      </c>
      <c r="E52" s="329">
        <v>45597</v>
      </c>
      <c r="F52" s="275" t="s">
        <v>446</v>
      </c>
      <c r="G52" s="273"/>
      <c r="H52" s="252" t="s">
        <v>25</v>
      </c>
      <c r="J52" s="243"/>
      <c r="K52" s="243"/>
      <c r="L52" s="244"/>
      <c r="M52" s="252"/>
      <c r="N52" s="236"/>
      <c r="O52" s="293"/>
      <c r="P52" s="293"/>
      <c r="Q52" s="294"/>
      <c r="R52" s="252"/>
      <c r="S52" s="236"/>
      <c r="T52" s="243"/>
      <c r="U52" s="244"/>
      <c r="V52" s="242"/>
      <c r="W52" s="236"/>
      <c r="X52" s="232">
        <v>1</v>
      </c>
      <c r="Y52" s="261" t="s">
        <v>389</v>
      </c>
      <c r="Z52" s="261" t="s">
        <v>419</v>
      </c>
      <c r="AA52" s="261" t="s">
        <v>123</v>
      </c>
      <c r="AB52" s="283" t="s">
        <v>95</v>
      </c>
      <c r="AC52" s="317" t="s">
        <v>141</v>
      </c>
      <c r="AD52" s="317" t="s">
        <v>137</v>
      </c>
      <c r="AE52" s="317"/>
      <c r="AF52" s="319"/>
      <c r="AG52" s="319" t="s">
        <v>144</v>
      </c>
      <c r="AH52" s="319"/>
      <c r="AI52" s="319" t="s">
        <v>144</v>
      </c>
      <c r="AJ52" s="295">
        <v>50</v>
      </c>
      <c r="AK52" s="380"/>
    </row>
    <row r="53" spans="1:37" ht="73.2" hidden="1" customHeight="1" thickTop="1" thickBot="1">
      <c r="A53" s="327" t="s">
        <v>91</v>
      </c>
      <c r="B53" s="321" t="s">
        <v>258</v>
      </c>
      <c r="C53" s="322" t="s">
        <v>120</v>
      </c>
      <c r="D53" s="323" t="s">
        <v>259</v>
      </c>
      <c r="E53" s="329">
        <v>45536</v>
      </c>
      <c r="F53" s="236" t="s">
        <v>435</v>
      </c>
      <c r="G53" s="273"/>
      <c r="H53" s="252" t="s">
        <v>25</v>
      </c>
      <c r="J53" s="243"/>
      <c r="K53" s="243"/>
      <c r="L53" s="244"/>
      <c r="M53" s="252"/>
      <c r="N53" s="236"/>
      <c r="O53" s="306"/>
      <c r="P53" s="293"/>
      <c r="Q53" s="294"/>
      <c r="R53" s="252"/>
      <c r="S53" s="236"/>
      <c r="T53" s="243"/>
      <c r="U53" s="244"/>
      <c r="V53" s="242"/>
      <c r="W53" s="236"/>
      <c r="X53" s="232">
        <v>1</v>
      </c>
      <c r="Y53" s="261" t="s">
        <v>389</v>
      </c>
      <c r="Z53" s="261" t="s">
        <v>425</v>
      </c>
      <c r="AA53" s="261" t="s">
        <v>123</v>
      </c>
      <c r="AB53" s="280" t="s">
        <v>95</v>
      </c>
      <c r="AC53" s="317" t="s">
        <v>138</v>
      </c>
      <c r="AD53" s="317"/>
      <c r="AE53" s="317"/>
      <c r="AF53" s="319" t="s">
        <v>144</v>
      </c>
      <c r="AG53" s="319"/>
      <c r="AH53" s="319"/>
      <c r="AI53" s="319"/>
      <c r="AJ53" s="295">
        <v>51</v>
      </c>
      <c r="AK53" s="380"/>
    </row>
    <row r="54" spans="1:37" ht="73.2" hidden="1" customHeight="1" thickTop="1" thickBot="1">
      <c r="A54" s="327" t="s">
        <v>91</v>
      </c>
      <c r="B54" s="321" t="s">
        <v>260</v>
      </c>
      <c r="C54" s="322" t="s">
        <v>120</v>
      </c>
      <c r="D54" s="323" t="s">
        <v>261</v>
      </c>
      <c r="E54" s="329">
        <v>45717</v>
      </c>
      <c r="F54" s="236" t="s">
        <v>435</v>
      </c>
      <c r="G54" s="273"/>
      <c r="H54" s="252" t="s">
        <v>25</v>
      </c>
      <c r="I54" s="238" t="s">
        <v>505</v>
      </c>
      <c r="J54" s="243"/>
      <c r="K54" s="243"/>
      <c r="L54" s="244"/>
      <c r="M54" s="252"/>
      <c r="N54" s="236"/>
      <c r="O54" s="293"/>
      <c r="P54" s="293"/>
      <c r="Q54" s="294"/>
      <c r="R54" s="252"/>
      <c r="S54" s="236"/>
      <c r="T54" s="243"/>
      <c r="U54" s="244"/>
      <c r="V54" s="242"/>
      <c r="W54" s="236"/>
      <c r="X54" s="232">
        <v>1</v>
      </c>
      <c r="Y54" s="261" t="s">
        <v>389</v>
      </c>
      <c r="Z54" s="261" t="s">
        <v>425</v>
      </c>
      <c r="AA54" s="261" t="s">
        <v>123</v>
      </c>
      <c r="AB54" s="280" t="s">
        <v>95</v>
      </c>
      <c r="AC54" s="317" t="s">
        <v>138</v>
      </c>
      <c r="AD54" s="317"/>
      <c r="AE54" s="317"/>
      <c r="AF54" s="319" t="s">
        <v>144</v>
      </c>
      <c r="AG54" s="319"/>
      <c r="AH54" s="319"/>
      <c r="AI54" s="319"/>
      <c r="AJ54" s="295">
        <v>52</v>
      </c>
      <c r="AK54" s="380"/>
    </row>
    <row r="55" spans="1:37" ht="73.2" hidden="1" customHeight="1" thickTop="1" thickBot="1">
      <c r="A55" s="327" t="s">
        <v>91</v>
      </c>
      <c r="B55" s="321" t="s">
        <v>262</v>
      </c>
      <c r="C55" s="322" t="s">
        <v>263</v>
      </c>
      <c r="D55" s="323" t="s">
        <v>264</v>
      </c>
      <c r="E55" s="329">
        <v>45717</v>
      </c>
      <c r="F55" s="275" t="s">
        <v>501</v>
      </c>
      <c r="G55" s="273"/>
      <c r="H55" s="252" t="s">
        <v>29</v>
      </c>
      <c r="J55" s="246"/>
      <c r="K55" s="243"/>
      <c r="L55" s="244"/>
      <c r="M55" s="252"/>
      <c r="N55" s="236"/>
      <c r="O55" s="240"/>
      <c r="P55" s="293"/>
      <c r="Q55" s="294"/>
      <c r="R55" s="252"/>
      <c r="S55" s="236"/>
      <c r="T55" s="243"/>
      <c r="U55" s="244"/>
      <c r="V55" s="242"/>
      <c r="W55" s="236"/>
      <c r="X55" s="232">
        <v>1</v>
      </c>
      <c r="Y55" s="261" t="s">
        <v>389</v>
      </c>
      <c r="Z55" s="261" t="s">
        <v>426</v>
      </c>
      <c r="AA55" s="261" t="s">
        <v>123</v>
      </c>
      <c r="AB55" s="280" t="s">
        <v>95</v>
      </c>
      <c r="AC55" s="317" t="s">
        <v>138</v>
      </c>
      <c r="AD55" s="317"/>
      <c r="AE55" s="317"/>
      <c r="AF55" s="319" t="s">
        <v>144</v>
      </c>
      <c r="AG55" s="319"/>
      <c r="AH55" s="319"/>
      <c r="AI55" s="319"/>
      <c r="AJ55" s="295">
        <v>53</v>
      </c>
      <c r="AK55" s="380"/>
    </row>
    <row r="56" spans="1:37" ht="102" hidden="1" customHeight="1" thickTop="1" thickBot="1">
      <c r="A56" s="327" t="s">
        <v>91</v>
      </c>
      <c r="B56" s="321" t="s">
        <v>265</v>
      </c>
      <c r="C56" s="322" t="s">
        <v>266</v>
      </c>
      <c r="D56" s="323" t="s">
        <v>267</v>
      </c>
      <c r="E56" s="329">
        <v>45717</v>
      </c>
      <c r="F56" s="384">
        <v>0.99970000000000003</v>
      </c>
      <c r="G56" s="273"/>
      <c r="H56" s="252" t="s">
        <v>25</v>
      </c>
      <c r="J56" s="241"/>
      <c r="K56" s="240"/>
      <c r="L56" s="241"/>
      <c r="M56" s="252"/>
      <c r="N56" s="237"/>
      <c r="O56" s="293"/>
      <c r="P56" s="293"/>
      <c r="Q56" s="294"/>
      <c r="R56" s="252"/>
      <c r="S56" s="237"/>
      <c r="T56" s="240"/>
      <c r="U56" s="241"/>
      <c r="V56" s="242"/>
      <c r="W56" s="237"/>
      <c r="X56" s="232">
        <v>1</v>
      </c>
      <c r="Y56" s="261" t="s">
        <v>389</v>
      </c>
      <c r="Z56" s="261" t="s">
        <v>427</v>
      </c>
      <c r="AA56" s="261" t="s">
        <v>123</v>
      </c>
      <c r="AB56" s="280" t="s">
        <v>95</v>
      </c>
      <c r="AC56" s="317" t="s">
        <v>138</v>
      </c>
      <c r="AD56" s="317"/>
      <c r="AE56" s="317"/>
      <c r="AF56" s="319" t="s">
        <v>144</v>
      </c>
      <c r="AG56" s="319"/>
      <c r="AH56" s="319"/>
      <c r="AI56" s="319"/>
      <c r="AJ56" s="295">
        <v>54</v>
      </c>
      <c r="AK56" s="380"/>
    </row>
    <row r="57" spans="1:37" ht="73.2" hidden="1" customHeight="1" thickTop="1" thickBot="1">
      <c r="A57" s="328" t="s">
        <v>91</v>
      </c>
      <c r="B57" s="321" t="s">
        <v>268</v>
      </c>
      <c r="C57" s="322" t="s">
        <v>269</v>
      </c>
      <c r="D57" s="323" t="s">
        <v>270</v>
      </c>
      <c r="E57" s="329">
        <v>45717</v>
      </c>
      <c r="F57" s="236" t="s">
        <v>437</v>
      </c>
      <c r="G57" s="273"/>
      <c r="H57" s="252" t="s">
        <v>29</v>
      </c>
      <c r="J57" s="241"/>
      <c r="K57" s="240"/>
      <c r="L57" s="241"/>
      <c r="M57" s="252"/>
      <c r="N57" s="237"/>
      <c r="O57" s="293"/>
      <c r="P57" s="293"/>
      <c r="Q57" s="294"/>
      <c r="R57" s="252"/>
      <c r="S57" s="237"/>
      <c r="T57" s="240"/>
      <c r="U57" s="241"/>
      <c r="V57" s="242"/>
      <c r="W57" s="237"/>
      <c r="X57" s="232">
        <v>1</v>
      </c>
      <c r="Y57" s="261" t="s">
        <v>389</v>
      </c>
      <c r="Z57" s="261" t="s">
        <v>427</v>
      </c>
      <c r="AA57" s="261" t="s">
        <v>123</v>
      </c>
      <c r="AB57" s="280" t="s">
        <v>95</v>
      </c>
      <c r="AC57" s="317" t="s">
        <v>138</v>
      </c>
      <c r="AD57" s="317"/>
      <c r="AE57" s="317"/>
      <c r="AF57" s="319" t="s">
        <v>144</v>
      </c>
      <c r="AG57" s="319"/>
      <c r="AH57" s="319"/>
      <c r="AI57" s="319"/>
      <c r="AJ57" s="295">
        <v>55</v>
      </c>
      <c r="AK57" s="380"/>
    </row>
    <row r="58" spans="1:37" ht="73.2" hidden="1" customHeight="1" thickTop="1" thickBot="1">
      <c r="A58" s="328" t="s">
        <v>91</v>
      </c>
      <c r="B58" s="321" t="s">
        <v>271</v>
      </c>
      <c r="C58" s="322" t="s">
        <v>272</v>
      </c>
      <c r="D58" s="323" t="s">
        <v>273</v>
      </c>
      <c r="E58" s="329">
        <v>45536</v>
      </c>
      <c r="F58" s="236" t="s">
        <v>438</v>
      </c>
      <c r="G58" s="273"/>
      <c r="H58" s="252" t="s">
        <v>25</v>
      </c>
      <c r="J58" s="240"/>
      <c r="K58" s="240"/>
      <c r="L58" s="241"/>
      <c r="M58" s="252"/>
      <c r="N58" s="237"/>
      <c r="O58" s="240"/>
      <c r="P58" s="293"/>
      <c r="Q58" s="294"/>
      <c r="R58" s="252"/>
      <c r="S58" s="237"/>
      <c r="T58" s="240"/>
      <c r="U58" s="241"/>
      <c r="V58" s="242"/>
      <c r="W58" s="237"/>
      <c r="X58" s="232">
        <v>1</v>
      </c>
      <c r="Y58" s="261" t="s">
        <v>389</v>
      </c>
      <c r="Z58" s="261" t="s">
        <v>427</v>
      </c>
      <c r="AA58" s="261" t="s">
        <v>123</v>
      </c>
      <c r="AB58" s="280" t="s">
        <v>95</v>
      </c>
      <c r="AC58" s="317" t="s">
        <v>138</v>
      </c>
      <c r="AD58" s="317" t="s">
        <v>116</v>
      </c>
      <c r="AE58" s="317"/>
      <c r="AF58" s="319" t="s">
        <v>144</v>
      </c>
      <c r="AG58" s="319"/>
      <c r="AH58" s="319" t="s">
        <v>144</v>
      </c>
      <c r="AI58" s="319"/>
      <c r="AJ58" s="295">
        <v>56</v>
      </c>
      <c r="AK58" s="380"/>
    </row>
    <row r="59" spans="1:37" ht="73.2" hidden="1" customHeight="1" thickTop="1" thickBot="1">
      <c r="A59" s="327" t="s">
        <v>90</v>
      </c>
      <c r="B59" s="321" t="s">
        <v>274</v>
      </c>
      <c r="C59" s="322" t="s">
        <v>275</v>
      </c>
      <c r="D59" s="323" t="s">
        <v>276</v>
      </c>
      <c r="E59" s="329">
        <v>45536</v>
      </c>
      <c r="F59" s="236" t="s">
        <v>508</v>
      </c>
      <c r="G59" s="273"/>
      <c r="H59" s="252" t="s">
        <v>25</v>
      </c>
      <c r="J59" s="246"/>
      <c r="K59" s="243"/>
      <c r="L59" s="244"/>
      <c r="M59" s="252"/>
      <c r="N59" s="237"/>
      <c r="O59" s="293"/>
      <c r="P59" s="293"/>
      <c r="Q59" s="294"/>
      <c r="R59" s="252"/>
      <c r="S59" s="237"/>
      <c r="T59" s="240"/>
      <c r="U59" s="241"/>
      <c r="V59" s="242"/>
      <c r="W59" s="237"/>
      <c r="X59" s="232">
        <v>1</v>
      </c>
      <c r="Y59" s="261" t="s">
        <v>388</v>
      </c>
      <c r="Z59" s="261" t="s">
        <v>428</v>
      </c>
      <c r="AA59" s="261" t="s">
        <v>123</v>
      </c>
      <c r="AB59" s="280" t="s">
        <v>95</v>
      </c>
      <c r="AC59" s="317" t="s">
        <v>138</v>
      </c>
      <c r="AD59" s="317" t="s">
        <v>116</v>
      </c>
      <c r="AE59" s="317"/>
      <c r="AF59" s="319" t="s">
        <v>144</v>
      </c>
      <c r="AG59" s="319"/>
      <c r="AH59" s="319" t="s">
        <v>144</v>
      </c>
      <c r="AI59" s="319"/>
      <c r="AJ59" s="295">
        <v>57</v>
      </c>
      <c r="AK59" s="380"/>
    </row>
    <row r="60" spans="1:37" ht="73.2" hidden="1" customHeight="1" thickTop="1" thickBot="1">
      <c r="A60" s="327" t="s">
        <v>90</v>
      </c>
      <c r="B60" s="321" t="s">
        <v>277</v>
      </c>
      <c r="C60" s="322" t="s">
        <v>275</v>
      </c>
      <c r="D60" s="323" t="s">
        <v>278</v>
      </c>
      <c r="E60" s="329">
        <v>45536</v>
      </c>
      <c r="F60" s="236" t="s">
        <v>509</v>
      </c>
      <c r="G60" s="273"/>
      <c r="H60" s="252" t="s">
        <v>25</v>
      </c>
      <c r="J60" s="240"/>
      <c r="K60" s="240"/>
      <c r="L60" s="241"/>
      <c r="M60" s="252"/>
      <c r="N60" s="237"/>
      <c r="O60" s="293"/>
      <c r="P60" s="293"/>
      <c r="Q60" s="294"/>
      <c r="R60" s="252"/>
      <c r="S60" s="237"/>
      <c r="T60" s="245"/>
      <c r="U60" s="241"/>
      <c r="V60" s="242"/>
      <c r="W60" s="237"/>
      <c r="X60" s="232">
        <v>1</v>
      </c>
      <c r="Y60" s="261" t="s">
        <v>388</v>
      </c>
      <c r="Z60" s="261" t="s">
        <v>428</v>
      </c>
      <c r="AA60" s="261" t="s">
        <v>123</v>
      </c>
      <c r="AB60" s="280" t="s">
        <v>95</v>
      </c>
      <c r="AC60" s="317" t="s">
        <v>138</v>
      </c>
      <c r="AD60" s="317"/>
      <c r="AE60" s="317"/>
      <c r="AF60" s="319" t="s">
        <v>144</v>
      </c>
      <c r="AG60" s="319"/>
      <c r="AH60" s="319"/>
      <c r="AI60" s="319"/>
      <c r="AJ60" s="295">
        <v>58</v>
      </c>
      <c r="AK60" s="380"/>
    </row>
    <row r="61" spans="1:37" ht="73.2" hidden="1" customHeight="1" thickTop="1" thickBot="1">
      <c r="A61" s="328" t="s">
        <v>90</v>
      </c>
      <c r="B61" s="321" t="s">
        <v>279</v>
      </c>
      <c r="C61" s="322" t="s">
        <v>275</v>
      </c>
      <c r="D61" s="323" t="s">
        <v>280</v>
      </c>
      <c r="E61" s="329">
        <v>45536</v>
      </c>
      <c r="F61" s="236" t="s">
        <v>510</v>
      </c>
      <c r="G61" s="273"/>
      <c r="H61" s="252" t="s">
        <v>25</v>
      </c>
      <c r="J61" s="240"/>
      <c r="K61" s="240"/>
      <c r="L61" s="241"/>
      <c r="M61" s="252"/>
      <c r="N61" s="237"/>
      <c r="O61" s="293"/>
      <c r="P61" s="293"/>
      <c r="Q61" s="294"/>
      <c r="R61" s="252"/>
      <c r="S61" s="237"/>
      <c r="T61" s="240"/>
      <c r="U61" s="241"/>
      <c r="V61" s="242"/>
      <c r="W61" s="237"/>
      <c r="X61" s="232">
        <v>1</v>
      </c>
      <c r="Y61" s="261" t="s">
        <v>388</v>
      </c>
      <c r="Z61" s="261" t="s">
        <v>428</v>
      </c>
      <c r="AA61" s="261" t="s">
        <v>123</v>
      </c>
      <c r="AB61" s="280" t="s">
        <v>95</v>
      </c>
      <c r="AC61" s="317" t="s">
        <v>138</v>
      </c>
      <c r="AD61" s="317"/>
      <c r="AE61" s="317"/>
      <c r="AF61" s="319" t="s">
        <v>144</v>
      </c>
      <c r="AG61" s="319"/>
      <c r="AH61" s="319"/>
      <c r="AI61" s="319"/>
      <c r="AJ61" s="295">
        <v>59</v>
      </c>
      <c r="AK61" s="380"/>
    </row>
    <row r="62" spans="1:37" ht="73.2" hidden="1" customHeight="1" thickTop="1" thickBot="1">
      <c r="A62" s="328" t="s">
        <v>90</v>
      </c>
      <c r="B62" s="321" t="s">
        <v>281</v>
      </c>
      <c r="C62" s="322" t="s">
        <v>275</v>
      </c>
      <c r="D62" s="323" t="s">
        <v>282</v>
      </c>
      <c r="E62" s="329">
        <v>45627</v>
      </c>
      <c r="F62" s="236" t="s">
        <v>511</v>
      </c>
      <c r="G62" s="273"/>
      <c r="H62" s="252" t="s">
        <v>25</v>
      </c>
      <c r="J62" s="240"/>
      <c r="K62" s="240"/>
      <c r="L62" s="241"/>
      <c r="M62" s="252"/>
      <c r="N62" s="237"/>
      <c r="O62" s="293"/>
      <c r="P62" s="293"/>
      <c r="Q62" s="294"/>
      <c r="R62" s="252"/>
      <c r="S62" s="237"/>
      <c r="T62" s="240"/>
      <c r="U62" s="241"/>
      <c r="V62" s="242"/>
      <c r="W62" s="237"/>
      <c r="X62" s="232">
        <v>1</v>
      </c>
      <c r="Y62" s="261" t="s">
        <v>388</v>
      </c>
      <c r="Z62" s="261" t="s">
        <v>428</v>
      </c>
      <c r="AA62" s="261" t="s">
        <v>123</v>
      </c>
      <c r="AB62" s="280" t="s">
        <v>95</v>
      </c>
      <c r="AC62" s="317" t="s">
        <v>138</v>
      </c>
      <c r="AD62" s="317"/>
      <c r="AE62" s="317"/>
      <c r="AF62" s="319" t="s">
        <v>144</v>
      </c>
      <c r="AG62" s="319"/>
      <c r="AH62" s="319"/>
      <c r="AI62" s="319"/>
      <c r="AJ62" s="295">
        <v>60</v>
      </c>
      <c r="AK62" s="380"/>
    </row>
    <row r="63" spans="1:37" ht="73.2" hidden="1" customHeight="1" thickTop="1" thickBot="1">
      <c r="A63" s="327" t="s">
        <v>90</v>
      </c>
      <c r="B63" s="321" t="s">
        <v>283</v>
      </c>
      <c r="C63" s="322" t="s">
        <v>275</v>
      </c>
      <c r="D63" s="323" t="s">
        <v>284</v>
      </c>
      <c r="E63" s="329">
        <v>45627</v>
      </c>
      <c r="F63" s="236" t="s">
        <v>512</v>
      </c>
      <c r="G63" s="273"/>
      <c r="H63" s="252" t="s">
        <v>25</v>
      </c>
      <c r="J63" s="240"/>
      <c r="K63" s="240"/>
      <c r="L63" s="241"/>
      <c r="M63" s="252"/>
      <c r="N63" s="307"/>
      <c r="O63" s="293"/>
      <c r="P63" s="293"/>
      <c r="Q63" s="294"/>
      <c r="R63" s="252"/>
      <c r="S63" s="237"/>
      <c r="T63" s="245"/>
      <c r="U63" s="241"/>
      <c r="V63" s="242"/>
      <c r="W63" s="237"/>
      <c r="X63" s="232">
        <v>1</v>
      </c>
      <c r="Y63" s="261" t="s">
        <v>388</v>
      </c>
      <c r="Z63" s="261" t="s">
        <v>428</v>
      </c>
      <c r="AA63" s="261" t="s">
        <v>123</v>
      </c>
      <c r="AB63" s="280" t="s">
        <v>95</v>
      </c>
      <c r="AC63" s="317" t="s">
        <v>138</v>
      </c>
      <c r="AD63" s="317" t="s">
        <v>141</v>
      </c>
      <c r="AE63" s="317"/>
      <c r="AF63" s="319" t="s">
        <v>144</v>
      </c>
      <c r="AG63" s="319" t="s">
        <v>144</v>
      </c>
      <c r="AH63" s="319"/>
      <c r="AI63" s="319"/>
      <c r="AJ63" s="295">
        <v>61</v>
      </c>
      <c r="AK63" s="380"/>
    </row>
    <row r="64" spans="1:37" ht="151.19999999999999" hidden="1" thickTop="1" thickBot="1">
      <c r="A64" s="327" t="s">
        <v>139</v>
      </c>
      <c r="B64" s="321" t="s">
        <v>285</v>
      </c>
      <c r="C64" s="322" t="s">
        <v>81</v>
      </c>
      <c r="D64" s="323" t="s">
        <v>286</v>
      </c>
      <c r="E64" s="329">
        <v>45444</v>
      </c>
      <c r="F64" s="236" t="s">
        <v>497</v>
      </c>
      <c r="G64" s="273"/>
      <c r="H64" s="252" t="s">
        <v>16</v>
      </c>
      <c r="J64" s="243"/>
      <c r="K64" s="255"/>
      <c r="L64" s="298"/>
      <c r="M64" s="252"/>
      <c r="N64" s="236"/>
      <c r="O64" s="243"/>
      <c r="P64" s="293"/>
      <c r="Q64" s="294"/>
      <c r="R64" s="252"/>
      <c r="S64" s="236"/>
      <c r="T64" s="255"/>
      <c r="U64" s="254"/>
      <c r="V64" s="242"/>
      <c r="W64" s="236"/>
      <c r="X64" s="232">
        <v>1</v>
      </c>
      <c r="Y64" s="261" t="s">
        <v>116</v>
      </c>
      <c r="Z64" s="261" t="s">
        <v>423</v>
      </c>
      <c r="AA64" s="261" t="s">
        <v>123</v>
      </c>
      <c r="AB64" s="280" t="s">
        <v>94</v>
      </c>
      <c r="AC64" s="317" t="s">
        <v>137</v>
      </c>
      <c r="AD64" s="317" t="s">
        <v>138</v>
      </c>
      <c r="AE64" s="317"/>
      <c r="AF64" s="319" t="s">
        <v>144</v>
      </c>
      <c r="AG64" s="319"/>
      <c r="AH64" s="319"/>
      <c r="AI64" s="319" t="s">
        <v>144</v>
      </c>
      <c r="AJ64" s="295">
        <v>62</v>
      </c>
      <c r="AK64" s="380"/>
    </row>
    <row r="65" spans="1:37" ht="69" hidden="1" customHeight="1" thickTop="1" thickBot="1">
      <c r="A65" s="327" t="s">
        <v>115</v>
      </c>
      <c r="B65" s="321" t="s">
        <v>287</v>
      </c>
      <c r="C65" s="322" t="s">
        <v>82</v>
      </c>
      <c r="D65" s="323" t="s">
        <v>288</v>
      </c>
      <c r="E65" s="329">
        <v>45597</v>
      </c>
      <c r="F65" s="236" t="s">
        <v>432</v>
      </c>
      <c r="G65" s="273"/>
      <c r="H65" s="252" t="s">
        <v>25</v>
      </c>
      <c r="J65" s="243"/>
      <c r="K65" s="240"/>
      <c r="L65" s="241"/>
      <c r="M65" s="252"/>
      <c r="N65" s="237"/>
      <c r="O65" s="293"/>
      <c r="P65" s="293"/>
      <c r="Q65" s="294"/>
      <c r="R65" s="252"/>
      <c r="S65" s="237"/>
      <c r="T65" s="240"/>
      <c r="U65" s="241"/>
      <c r="V65" s="242"/>
      <c r="W65" s="237"/>
      <c r="X65" s="232">
        <v>1</v>
      </c>
      <c r="Y65" s="261" t="s">
        <v>116</v>
      </c>
      <c r="Z65" s="261" t="s">
        <v>415</v>
      </c>
      <c r="AA65" s="261" t="s">
        <v>123</v>
      </c>
      <c r="AB65" s="280" t="s">
        <v>116</v>
      </c>
      <c r="AC65" s="317" t="s">
        <v>138</v>
      </c>
      <c r="AD65" s="317"/>
      <c r="AE65" s="317"/>
      <c r="AF65" s="319" t="s">
        <v>144</v>
      </c>
      <c r="AG65" s="319"/>
      <c r="AH65" s="319"/>
      <c r="AI65" s="319"/>
      <c r="AJ65" s="295">
        <v>63</v>
      </c>
      <c r="AK65" s="380"/>
    </row>
    <row r="66" spans="1:37" ht="69" hidden="1" customHeight="1" thickTop="1" thickBot="1">
      <c r="A66" s="327" t="s">
        <v>115</v>
      </c>
      <c r="B66" s="321" t="s">
        <v>289</v>
      </c>
      <c r="C66" s="322" t="s">
        <v>82</v>
      </c>
      <c r="D66" s="323" t="s">
        <v>290</v>
      </c>
      <c r="E66" s="329">
        <v>45566</v>
      </c>
      <c r="F66" s="236" t="s">
        <v>513</v>
      </c>
      <c r="G66" s="273"/>
      <c r="H66" s="252" t="s">
        <v>25</v>
      </c>
      <c r="J66" s="243"/>
      <c r="K66" s="240"/>
      <c r="L66" s="241"/>
      <c r="M66" s="252"/>
      <c r="N66" s="237"/>
      <c r="O66" s="293"/>
      <c r="P66" s="293"/>
      <c r="Q66" s="294"/>
      <c r="R66" s="252"/>
      <c r="S66" s="237"/>
      <c r="T66" s="240"/>
      <c r="U66" s="241"/>
      <c r="V66" s="242"/>
      <c r="W66" s="237"/>
      <c r="X66" s="232">
        <v>1</v>
      </c>
      <c r="Y66" s="261" t="s">
        <v>116</v>
      </c>
      <c r="Z66" s="261" t="s">
        <v>415</v>
      </c>
      <c r="AA66" s="261" t="s">
        <v>123</v>
      </c>
      <c r="AB66" s="280" t="s">
        <v>116</v>
      </c>
      <c r="AC66" s="317" t="s">
        <v>138</v>
      </c>
      <c r="AD66" s="317"/>
      <c r="AE66" s="317"/>
      <c r="AF66" s="319" t="s">
        <v>144</v>
      </c>
      <c r="AG66" s="319"/>
      <c r="AH66" s="319"/>
      <c r="AI66" s="319"/>
      <c r="AJ66" s="295">
        <v>64</v>
      </c>
      <c r="AK66" s="380"/>
    </row>
    <row r="67" spans="1:37" ht="69" hidden="1" customHeight="1" thickTop="1" thickBot="1">
      <c r="A67" s="327" t="s">
        <v>89</v>
      </c>
      <c r="B67" s="321" t="s">
        <v>291</v>
      </c>
      <c r="C67" s="322" t="s">
        <v>292</v>
      </c>
      <c r="D67" s="323" t="s">
        <v>293</v>
      </c>
      <c r="E67" s="329">
        <v>45717</v>
      </c>
      <c r="F67" s="236" t="s">
        <v>499</v>
      </c>
      <c r="G67" s="273" t="s">
        <v>429</v>
      </c>
      <c r="H67" s="252" t="s">
        <v>25</v>
      </c>
      <c r="J67" s="243"/>
      <c r="K67" s="240"/>
      <c r="L67" s="241"/>
      <c r="M67" s="252"/>
      <c r="N67" s="237"/>
      <c r="O67" s="293"/>
      <c r="P67" s="293"/>
      <c r="Q67" s="294"/>
      <c r="R67" s="252"/>
      <c r="S67" s="237"/>
      <c r="T67" s="240"/>
      <c r="U67" s="241"/>
      <c r="V67" s="242"/>
      <c r="W67" s="237"/>
      <c r="X67" s="232">
        <v>1</v>
      </c>
      <c r="Y67" s="261" t="s">
        <v>388</v>
      </c>
      <c r="Z67" s="261" t="s">
        <v>417</v>
      </c>
      <c r="AA67" s="261" t="s">
        <v>393</v>
      </c>
      <c r="AB67" s="280" t="s">
        <v>117</v>
      </c>
      <c r="AC67" s="317" t="s">
        <v>138</v>
      </c>
      <c r="AD67" s="317"/>
      <c r="AE67" s="317"/>
      <c r="AF67" s="319" t="s">
        <v>144</v>
      </c>
      <c r="AG67" s="319"/>
      <c r="AH67" s="319"/>
      <c r="AI67" s="319"/>
      <c r="AJ67" s="295">
        <v>65</v>
      </c>
      <c r="AK67" s="380"/>
    </row>
    <row r="68" spans="1:37" ht="96.6" hidden="1" customHeight="1" thickTop="1" thickBot="1">
      <c r="A68" s="327" t="s">
        <v>86</v>
      </c>
      <c r="B68" s="321" t="s">
        <v>294</v>
      </c>
      <c r="C68" s="322" t="s">
        <v>295</v>
      </c>
      <c r="D68" s="323" t="s">
        <v>296</v>
      </c>
      <c r="E68" s="329">
        <v>45566</v>
      </c>
      <c r="F68" s="236" t="s">
        <v>447</v>
      </c>
      <c r="G68" s="273"/>
      <c r="H68" s="252" t="s">
        <v>25</v>
      </c>
      <c r="J68" s="243"/>
      <c r="K68" s="240"/>
      <c r="L68" s="241"/>
      <c r="M68" s="252"/>
      <c r="N68" s="237"/>
      <c r="O68" s="293"/>
      <c r="P68" s="293"/>
      <c r="Q68" s="294"/>
      <c r="R68" s="252"/>
      <c r="S68" s="237"/>
      <c r="T68" s="240"/>
      <c r="U68" s="241"/>
      <c r="V68" s="242"/>
      <c r="W68" s="237"/>
      <c r="X68" s="232">
        <v>1</v>
      </c>
      <c r="Y68" s="261" t="s">
        <v>389</v>
      </c>
      <c r="Z68" s="261" t="s">
        <v>419</v>
      </c>
      <c r="AA68" s="261" t="s">
        <v>393</v>
      </c>
      <c r="AB68" s="280" t="s">
        <v>95</v>
      </c>
      <c r="AC68" s="317" t="s">
        <v>138</v>
      </c>
      <c r="AD68" s="317"/>
      <c r="AE68" s="317"/>
      <c r="AF68" s="319" t="s">
        <v>144</v>
      </c>
      <c r="AG68" s="319"/>
      <c r="AH68" s="319"/>
      <c r="AI68" s="319"/>
      <c r="AJ68" s="295">
        <v>66</v>
      </c>
      <c r="AK68" s="380"/>
    </row>
    <row r="69" spans="1:37" ht="102" hidden="1" customHeight="1" thickTop="1" thickBot="1">
      <c r="A69" s="327" t="s">
        <v>86</v>
      </c>
      <c r="B69" s="321" t="s">
        <v>297</v>
      </c>
      <c r="C69" s="322" t="s">
        <v>298</v>
      </c>
      <c r="D69" s="323" t="s">
        <v>299</v>
      </c>
      <c r="E69" s="329">
        <v>45717</v>
      </c>
      <c r="F69" s="236" t="s">
        <v>454</v>
      </c>
      <c r="G69" s="310"/>
      <c r="H69" s="252" t="s">
        <v>25</v>
      </c>
      <c r="J69" s="243"/>
      <c r="K69" s="240"/>
      <c r="L69" s="241"/>
      <c r="M69" s="252"/>
      <c r="N69" s="237"/>
      <c r="O69" s="293"/>
      <c r="P69" s="293"/>
      <c r="Q69" s="294"/>
      <c r="R69" s="252"/>
      <c r="S69" s="237"/>
      <c r="T69" s="240"/>
      <c r="U69" s="241"/>
      <c r="V69" s="242"/>
      <c r="W69" s="237"/>
      <c r="X69" s="232">
        <v>1</v>
      </c>
      <c r="Y69" s="261" t="s">
        <v>389</v>
      </c>
      <c r="Z69" s="261" t="s">
        <v>420</v>
      </c>
      <c r="AA69" s="261" t="s">
        <v>393</v>
      </c>
      <c r="AB69" s="280" t="s">
        <v>94</v>
      </c>
      <c r="AC69" s="317" t="s">
        <v>137</v>
      </c>
      <c r="AD69" s="317"/>
      <c r="AE69" s="317"/>
      <c r="AF69" s="319"/>
      <c r="AG69" s="319"/>
      <c r="AH69" s="319"/>
      <c r="AI69" s="319" t="s">
        <v>144</v>
      </c>
      <c r="AJ69" s="295">
        <v>67</v>
      </c>
      <c r="AK69" s="380"/>
    </row>
    <row r="70" spans="1:37" ht="73.2" hidden="1" customHeight="1" thickTop="1" thickBot="1">
      <c r="A70" s="328" t="s">
        <v>86</v>
      </c>
      <c r="B70" s="321" t="s">
        <v>300</v>
      </c>
      <c r="C70" s="322" t="s">
        <v>298</v>
      </c>
      <c r="D70" s="323" t="s">
        <v>301</v>
      </c>
      <c r="E70" s="329" t="s">
        <v>386</v>
      </c>
      <c r="F70" s="236" t="s">
        <v>448</v>
      </c>
      <c r="G70" s="273"/>
      <c r="H70" s="252" t="s">
        <v>25</v>
      </c>
      <c r="J70" s="243"/>
      <c r="K70" s="240"/>
      <c r="L70" s="241"/>
      <c r="M70" s="252"/>
      <c r="N70" s="237"/>
      <c r="O70" s="293"/>
      <c r="P70" s="293"/>
      <c r="Q70" s="294"/>
      <c r="R70" s="252"/>
      <c r="S70" s="237"/>
      <c r="T70" s="245"/>
      <c r="U70" s="241"/>
      <c r="V70" s="242"/>
      <c r="W70" s="237"/>
      <c r="X70" s="232">
        <v>1</v>
      </c>
      <c r="Y70" s="261" t="s">
        <v>389</v>
      </c>
      <c r="Z70" s="261" t="s">
        <v>420</v>
      </c>
      <c r="AA70" s="261" t="s">
        <v>393</v>
      </c>
      <c r="AB70" s="280" t="s">
        <v>94</v>
      </c>
      <c r="AC70" s="317" t="s">
        <v>137</v>
      </c>
      <c r="AD70" s="317"/>
      <c r="AE70" s="317"/>
      <c r="AF70" s="319"/>
      <c r="AG70" s="319"/>
      <c r="AH70" s="319"/>
      <c r="AI70" s="319" t="s">
        <v>144</v>
      </c>
      <c r="AJ70" s="295">
        <v>68</v>
      </c>
      <c r="AK70" s="380"/>
    </row>
    <row r="71" spans="1:37" ht="73.2" hidden="1" customHeight="1" thickTop="1" thickBot="1">
      <c r="A71" s="327" t="s">
        <v>140</v>
      </c>
      <c r="B71" s="321" t="s">
        <v>302</v>
      </c>
      <c r="C71" s="322" t="s">
        <v>303</v>
      </c>
      <c r="D71" s="323" t="s">
        <v>304</v>
      </c>
      <c r="E71" s="329">
        <v>45536</v>
      </c>
      <c r="F71" s="236" t="s">
        <v>480</v>
      </c>
      <c r="G71" s="273"/>
      <c r="H71" s="252" t="s">
        <v>20</v>
      </c>
      <c r="J71" s="243"/>
      <c r="K71" s="243"/>
      <c r="L71" s="244"/>
      <c r="M71" s="252"/>
      <c r="N71" s="236"/>
      <c r="O71" s="293"/>
      <c r="P71" s="293"/>
      <c r="Q71" s="294"/>
      <c r="R71" s="252"/>
      <c r="S71" s="236"/>
      <c r="T71" s="243"/>
      <c r="U71" s="244"/>
      <c r="V71" s="242"/>
      <c r="W71" s="236"/>
      <c r="X71" s="232">
        <v>1</v>
      </c>
      <c r="Y71" s="261" t="s">
        <v>116</v>
      </c>
      <c r="Z71" s="261" t="s">
        <v>424</v>
      </c>
      <c r="AA71" s="261" t="s">
        <v>393</v>
      </c>
      <c r="AB71" s="280" t="s">
        <v>94</v>
      </c>
      <c r="AC71" s="317" t="s">
        <v>137</v>
      </c>
      <c r="AD71" s="317"/>
      <c r="AE71" s="317"/>
      <c r="AF71" s="319"/>
      <c r="AG71" s="319"/>
      <c r="AH71" s="319"/>
      <c r="AI71" s="319" t="s">
        <v>144</v>
      </c>
      <c r="AJ71" s="295">
        <v>69</v>
      </c>
      <c r="AK71" s="380"/>
    </row>
    <row r="72" spans="1:37" ht="73.2" hidden="1" customHeight="1" thickTop="1" thickBot="1">
      <c r="A72" s="328" t="s">
        <v>115</v>
      </c>
      <c r="B72" s="321" t="s">
        <v>305</v>
      </c>
      <c r="C72" s="322" t="s">
        <v>103</v>
      </c>
      <c r="D72" s="323" t="s">
        <v>306</v>
      </c>
      <c r="E72" s="329">
        <v>45474</v>
      </c>
      <c r="F72" s="236" t="s">
        <v>430</v>
      </c>
      <c r="G72" s="273"/>
      <c r="H72" s="252" t="s">
        <v>25</v>
      </c>
      <c r="J72" s="243"/>
      <c r="K72" s="244"/>
      <c r="L72" s="244"/>
      <c r="M72" s="252"/>
      <c r="N72" s="236"/>
      <c r="O72" s="293"/>
      <c r="P72" s="293"/>
      <c r="Q72" s="293"/>
      <c r="R72" s="252"/>
      <c r="S72" s="236"/>
      <c r="T72" s="293"/>
      <c r="U72" s="244"/>
      <c r="V72" s="242"/>
      <c r="W72" s="236"/>
      <c r="X72" s="232">
        <v>1</v>
      </c>
      <c r="Y72" s="261" t="s">
        <v>116</v>
      </c>
      <c r="Z72" s="261" t="s">
        <v>415</v>
      </c>
      <c r="AA72" s="261" t="s">
        <v>393</v>
      </c>
      <c r="AB72" s="280" t="s">
        <v>116</v>
      </c>
      <c r="AC72" s="317" t="s">
        <v>138</v>
      </c>
      <c r="AD72" s="317" t="s">
        <v>137</v>
      </c>
      <c r="AE72" s="317"/>
      <c r="AF72" s="319" t="s">
        <v>144</v>
      </c>
      <c r="AG72" s="319"/>
      <c r="AH72" s="319"/>
      <c r="AI72" s="319" t="s">
        <v>144</v>
      </c>
      <c r="AJ72" s="295">
        <v>70</v>
      </c>
      <c r="AK72" s="380"/>
    </row>
    <row r="73" spans="1:37" ht="73.2" hidden="1" customHeight="1" thickTop="1" thickBot="1">
      <c r="A73" s="327" t="s">
        <v>115</v>
      </c>
      <c r="B73" s="321" t="s">
        <v>307</v>
      </c>
      <c r="C73" s="322" t="s">
        <v>103</v>
      </c>
      <c r="D73" s="323" t="s">
        <v>308</v>
      </c>
      <c r="E73" s="329">
        <v>45536</v>
      </c>
      <c r="F73" s="236" t="s">
        <v>433</v>
      </c>
      <c r="G73" s="273"/>
      <c r="H73" s="252" t="s">
        <v>25</v>
      </c>
      <c r="J73" s="243"/>
      <c r="K73" s="243"/>
      <c r="L73" s="244"/>
      <c r="M73" s="252"/>
      <c r="N73" s="236"/>
      <c r="O73" s="293"/>
      <c r="P73" s="293"/>
      <c r="Q73" s="294"/>
      <c r="R73" s="252"/>
      <c r="S73" s="236"/>
      <c r="T73" s="243"/>
      <c r="U73" s="244"/>
      <c r="V73" s="242"/>
      <c r="W73" s="236"/>
      <c r="X73" s="232">
        <v>1</v>
      </c>
      <c r="Y73" s="261" t="s">
        <v>116</v>
      </c>
      <c r="Z73" s="261" t="s">
        <v>415</v>
      </c>
      <c r="AA73" s="261" t="s">
        <v>393</v>
      </c>
      <c r="AB73" s="280" t="s">
        <v>116</v>
      </c>
      <c r="AC73" s="317" t="s">
        <v>137</v>
      </c>
      <c r="AD73" s="317"/>
      <c r="AE73" s="317"/>
      <c r="AF73" s="319"/>
      <c r="AG73" s="319"/>
      <c r="AH73" s="319"/>
      <c r="AI73" s="319" t="s">
        <v>144</v>
      </c>
      <c r="AJ73" s="295">
        <v>71</v>
      </c>
      <c r="AK73" s="380"/>
    </row>
    <row r="74" spans="1:37" ht="73.2" hidden="1" customHeight="1" thickTop="1" thickBot="1">
      <c r="A74" s="328" t="s">
        <v>115</v>
      </c>
      <c r="B74" s="321" t="s">
        <v>309</v>
      </c>
      <c r="C74" s="322" t="s">
        <v>103</v>
      </c>
      <c r="D74" s="323" t="s">
        <v>310</v>
      </c>
      <c r="E74" s="329">
        <v>45566</v>
      </c>
      <c r="F74" s="236" t="s">
        <v>514</v>
      </c>
      <c r="G74" s="273"/>
      <c r="H74" s="252" t="s">
        <v>25</v>
      </c>
      <c r="J74" s="245"/>
      <c r="K74" s="243"/>
      <c r="L74" s="244"/>
      <c r="M74" s="252"/>
      <c r="N74" s="236"/>
      <c r="O74" s="293"/>
      <c r="P74" s="293"/>
      <c r="Q74" s="294"/>
      <c r="R74" s="252"/>
      <c r="S74" s="236"/>
      <c r="T74" s="293"/>
      <c r="U74" s="244"/>
      <c r="V74" s="242"/>
      <c r="W74" s="236"/>
      <c r="X74" s="232">
        <v>1</v>
      </c>
      <c r="Y74" s="261" t="s">
        <v>116</v>
      </c>
      <c r="Z74" s="261" t="s">
        <v>415</v>
      </c>
      <c r="AA74" s="261" t="s">
        <v>393</v>
      </c>
      <c r="AB74" s="280" t="s">
        <v>116</v>
      </c>
      <c r="AC74" s="317" t="s">
        <v>138</v>
      </c>
      <c r="AD74" s="317"/>
      <c r="AE74" s="317"/>
      <c r="AF74" s="319" t="s">
        <v>144</v>
      </c>
      <c r="AG74" s="319"/>
      <c r="AH74" s="319"/>
      <c r="AI74" s="319"/>
      <c r="AJ74" s="295">
        <v>72</v>
      </c>
      <c r="AK74" s="380"/>
    </row>
    <row r="75" spans="1:37" ht="105" hidden="1" customHeight="1" thickTop="1" thickBot="1">
      <c r="A75" s="328" t="s">
        <v>115</v>
      </c>
      <c r="B75" s="321" t="s">
        <v>311</v>
      </c>
      <c r="C75" s="322" t="s">
        <v>103</v>
      </c>
      <c r="D75" s="323" t="s">
        <v>312</v>
      </c>
      <c r="E75" s="329">
        <v>45717</v>
      </c>
      <c r="F75" s="236" t="s">
        <v>471</v>
      </c>
      <c r="G75" s="273"/>
      <c r="H75" s="252" t="s">
        <v>25</v>
      </c>
      <c r="J75" s="243"/>
      <c r="K75" s="243"/>
      <c r="L75" s="244"/>
      <c r="M75" s="252"/>
      <c r="N75" s="236"/>
      <c r="O75" s="293"/>
      <c r="P75" s="293"/>
      <c r="Q75" s="294"/>
      <c r="R75" s="252"/>
      <c r="S75" s="236"/>
      <c r="T75" s="243"/>
      <c r="U75" s="244"/>
      <c r="V75" s="242"/>
      <c r="W75" s="236"/>
      <c r="X75" s="232">
        <v>1</v>
      </c>
      <c r="Y75" s="261" t="s">
        <v>116</v>
      </c>
      <c r="Z75" s="261" t="s">
        <v>415</v>
      </c>
      <c r="AA75" s="261" t="s">
        <v>393</v>
      </c>
      <c r="AB75" s="280" t="s">
        <v>116</v>
      </c>
      <c r="AC75" s="317" t="s">
        <v>138</v>
      </c>
      <c r="AD75" s="317"/>
      <c r="AE75" s="317"/>
      <c r="AF75" s="319" t="s">
        <v>144</v>
      </c>
      <c r="AG75" s="319"/>
      <c r="AH75" s="319"/>
      <c r="AI75" s="319"/>
      <c r="AJ75" s="295">
        <v>73</v>
      </c>
      <c r="AK75" s="380"/>
    </row>
    <row r="76" spans="1:37" ht="73.2" hidden="1" customHeight="1" thickTop="1" thickBot="1">
      <c r="A76" s="327" t="s">
        <v>115</v>
      </c>
      <c r="B76" s="321" t="s">
        <v>313</v>
      </c>
      <c r="C76" s="322" t="s">
        <v>103</v>
      </c>
      <c r="D76" s="323" t="s">
        <v>314</v>
      </c>
      <c r="E76" s="329">
        <v>45536</v>
      </c>
      <c r="F76" s="236" t="s">
        <v>463</v>
      </c>
      <c r="G76" s="273"/>
      <c r="H76" s="252" t="s">
        <v>25</v>
      </c>
      <c r="J76" s="243"/>
      <c r="K76" s="244"/>
      <c r="L76" s="244"/>
      <c r="M76" s="252"/>
      <c r="N76" s="236"/>
      <c r="O76" s="293"/>
      <c r="P76" s="293"/>
      <c r="Q76" s="294"/>
      <c r="R76" s="252"/>
      <c r="S76" s="236"/>
      <c r="T76" s="243"/>
      <c r="U76" s="244"/>
      <c r="V76" s="242"/>
      <c r="W76" s="236"/>
      <c r="X76" s="232">
        <v>1</v>
      </c>
      <c r="Y76" s="261" t="s">
        <v>116</v>
      </c>
      <c r="Z76" s="261" t="s">
        <v>415</v>
      </c>
      <c r="AA76" s="261" t="s">
        <v>393</v>
      </c>
      <c r="AB76" s="280" t="s">
        <v>116</v>
      </c>
      <c r="AC76" s="317" t="s">
        <v>138</v>
      </c>
      <c r="AD76" s="317"/>
      <c r="AE76" s="317"/>
      <c r="AF76" s="319" t="s">
        <v>144</v>
      </c>
      <c r="AG76" s="319"/>
      <c r="AH76" s="319"/>
      <c r="AI76" s="319"/>
      <c r="AJ76" s="295">
        <v>74</v>
      </c>
      <c r="AK76" s="380"/>
    </row>
    <row r="77" spans="1:37" ht="73.2" hidden="1" customHeight="1" thickTop="1" thickBot="1">
      <c r="A77" s="328" t="s">
        <v>86</v>
      </c>
      <c r="B77" s="321" t="s">
        <v>315</v>
      </c>
      <c r="C77" s="322" t="s">
        <v>316</v>
      </c>
      <c r="D77" s="323" t="s">
        <v>317</v>
      </c>
      <c r="E77" s="329">
        <v>45566</v>
      </c>
      <c r="F77" s="236"/>
      <c r="G77" s="273"/>
      <c r="H77" s="252" t="s">
        <v>29</v>
      </c>
      <c r="J77" s="243"/>
      <c r="K77" s="243"/>
      <c r="L77" s="244"/>
      <c r="M77" s="252"/>
      <c r="N77" s="236"/>
      <c r="O77" s="293"/>
      <c r="P77" s="293"/>
      <c r="Q77" s="294"/>
      <c r="R77" s="252"/>
      <c r="S77" s="236"/>
      <c r="T77" s="243"/>
      <c r="U77" s="252"/>
      <c r="V77" s="242"/>
      <c r="W77" s="236"/>
      <c r="X77" s="232">
        <v>1</v>
      </c>
      <c r="Y77" s="261" t="s">
        <v>389</v>
      </c>
      <c r="Z77" s="261" t="s">
        <v>420</v>
      </c>
      <c r="AA77" s="261" t="s">
        <v>125</v>
      </c>
      <c r="AB77" s="280" t="s">
        <v>117</v>
      </c>
      <c r="AC77" s="317" t="s">
        <v>137</v>
      </c>
      <c r="AD77" s="317" t="s">
        <v>138</v>
      </c>
      <c r="AE77" s="317"/>
      <c r="AF77" s="319" t="s">
        <v>144</v>
      </c>
      <c r="AG77" s="319"/>
      <c r="AH77" s="319"/>
      <c r="AI77" s="319" t="s">
        <v>144</v>
      </c>
      <c r="AJ77" s="295">
        <v>75</v>
      </c>
      <c r="AK77" s="380"/>
    </row>
    <row r="78" spans="1:37" ht="73.2" hidden="1" customHeight="1" thickTop="1" thickBot="1">
      <c r="A78" s="327" t="s">
        <v>86</v>
      </c>
      <c r="B78" s="321" t="s">
        <v>318</v>
      </c>
      <c r="C78" s="322" t="s">
        <v>316</v>
      </c>
      <c r="D78" s="323" t="s">
        <v>319</v>
      </c>
      <c r="E78" s="329">
        <v>45717</v>
      </c>
      <c r="F78" s="236" t="s">
        <v>450</v>
      </c>
      <c r="G78" s="273"/>
      <c r="H78" s="252" t="s">
        <v>25</v>
      </c>
      <c r="J78" s="243"/>
      <c r="K78" s="243"/>
      <c r="L78" s="244"/>
      <c r="M78" s="252"/>
      <c r="N78" s="236"/>
      <c r="O78" s="293"/>
      <c r="P78" s="293"/>
      <c r="Q78" s="294"/>
      <c r="R78" s="252"/>
      <c r="S78" s="236"/>
      <c r="T78" s="243"/>
      <c r="U78" s="244"/>
      <c r="V78" s="242"/>
      <c r="W78" s="236"/>
      <c r="X78" s="232">
        <v>1</v>
      </c>
      <c r="Y78" s="261" t="s">
        <v>389</v>
      </c>
      <c r="Z78" s="261" t="s">
        <v>419</v>
      </c>
      <c r="AA78" s="261" t="s">
        <v>125</v>
      </c>
      <c r="AB78" s="280" t="s">
        <v>117</v>
      </c>
      <c r="AC78" s="317" t="s">
        <v>137</v>
      </c>
      <c r="AD78" s="317"/>
      <c r="AE78" s="317"/>
      <c r="AF78" s="319"/>
      <c r="AG78" s="319"/>
      <c r="AH78" s="319"/>
      <c r="AI78" s="319" t="s">
        <v>144</v>
      </c>
      <c r="AJ78" s="295">
        <v>76</v>
      </c>
      <c r="AK78" s="380"/>
    </row>
    <row r="79" spans="1:37" ht="73.2" hidden="1" customHeight="1" thickTop="1" thickBot="1">
      <c r="A79" s="327" t="s">
        <v>86</v>
      </c>
      <c r="B79" s="321" t="s">
        <v>320</v>
      </c>
      <c r="C79" s="322" t="s">
        <v>316</v>
      </c>
      <c r="D79" s="323" t="s">
        <v>321</v>
      </c>
      <c r="E79" s="329">
        <v>45717</v>
      </c>
      <c r="F79" s="275" t="s">
        <v>449</v>
      </c>
      <c r="G79" s="273"/>
      <c r="H79" s="252" t="s">
        <v>25</v>
      </c>
      <c r="J79" s="245"/>
      <c r="K79" s="243"/>
      <c r="L79" s="244"/>
      <c r="M79" s="252"/>
      <c r="N79" s="236"/>
      <c r="O79" s="245"/>
      <c r="P79" s="293"/>
      <c r="Q79" s="294"/>
      <c r="R79" s="252"/>
      <c r="S79" s="236"/>
      <c r="T79" s="245"/>
      <c r="U79" s="244"/>
      <c r="V79" s="242"/>
      <c r="W79" s="236"/>
      <c r="X79" s="232">
        <v>1</v>
      </c>
      <c r="Y79" s="261" t="s">
        <v>389</v>
      </c>
      <c r="Z79" s="261" t="s">
        <v>419</v>
      </c>
      <c r="AA79" s="261" t="s">
        <v>125</v>
      </c>
      <c r="AB79" s="284" t="s">
        <v>117</v>
      </c>
      <c r="AC79" s="317" t="s">
        <v>137</v>
      </c>
      <c r="AD79" s="317"/>
      <c r="AE79" s="317"/>
      <c r="AF79" s="319"/>
      <c r="AG79" s="319"/>
      <c r="AH79" s="319"/>
      <c r="AI79" s="319" t="s">
        <v>144</v>
      </c>
      <c r="AJ79" s="295">
        <v>77</v>
      </c>
      <c r="AK79" s="380"/>
    </row>
    <row r="80" spans="1:37" ht="73.2" hidden="1" customHeight="1" thickTop="1" thickBot="1">
      <c r="A80" s="327" t="s">
        <v>86</v>
      </c>
      <c r="B80" s="321" t="s">
        <v>322</v>
      </c>
      <c r="C80" s="322" t="s">
        <v>323</v>
      </c>
      <c r="D80" s="323" t="s">
        <v>324</v>
      </c>
      <c r="E80" s="329">
        <v>45717</v>
      </c>
      <c r="F80" s="275" t="s">
        <v>455</v>
      </c>
      <c r="G80" s="273"/>
      <c r="H80" s="252" t="s">
        <v>25</v>
      </c>
      <c r="J80" s="243"/>
      <c r="K80" s="244"/>
      <c r="L80" s="244"/>
      <c r="M80" s="252"/>
      <c r="N80" s="236"/>
      <c r="O80" s="293"/>
      <c r="P80" s="293"/>
      <c r="Q80" s="294"/>
      <c r="R80" s="252"/>
      <c r="S80" s="236"/>
      <c r="T80" s="243"/>
      <c r="U80" s="244"/>
      <c r="V80" s="242"/>
      <c r="W80" s="236"/>
      <c r="X80" s="232">
        <v>1</v>
      </c>
      <c r="Y80" s="261" t="s">
        <v>389</v>
      </c>
      <c r="Z80" s="261" t="s">
        <v>419</v>
      </c>
      <c r="AA80" s="261" t="s">
        <v>125</v>
      </c>
      <c r="AB80" s="284" t="s">
        <v>117</v>
      </c>
      <c r="AC80" s="317" t="s">
        <v>116</v>
      </c>
      <c r="AD80" s="317"/>
      <c r="AE80" s="317"/>
      <c r="AF80" s="319"/>
      <c r="AG80" s="319"/>
      <c r="AH80" s="319" t="s">
        <v>144</v>
      </c>
      <c r="AI80" s="319"/>
      <c r="AJ80" s="295">
        <v>78</v>
      </c>
      <c r="AK80" s="380"/>
    </row>
    <row r="81" spans="1:37" ht="73.2" hidden="1" customHeight="1" thickTop="1" thickBot="1">
      <c r="A81" s="328" t="s">
        <v>92</v>
      </c>
      <c r="B81" s="321" t="s">
        <v>325</v>
      </c>
      <c r="C81" s="322" t="s">
        <v>326</v>
      </c>
      <c r="D81" s="323" t="s">
        <v>327</v>
      </c>
      <c r="E81" s="329">
        <v>45597</v>
      </c>
      <c r="F81" s="275"/>
      <c r="G81" s="273"/>
      <c r="H81" s="252" t="s">
        <v>29</v>
      </c>
      <c r="J81" s="243"/>
      <c r="K81" s="243"/>
      <c r="L81" s="244"/>
      <c r="M81" s="252"/>
      <c r="N81" s="236"/>
      <c r="O81" s="293"/>
      <c r="P81" s="293"/>
      <c r="Q81" s="294"/>
      <c r="R81" s="252"/>
      <c r="S81" s="236"/>
      <c r="T81" s="293"/>
      <c r="U81" s="244"/>
      <c r="V81" s="242"/>
      <c r="W81" s="236"/>
      <c r="X81" s="232">
        <v>1</v>
      </c>
      <c r="Y81" s="261" t="s">
        <v>116</v>
      </c>
      <c r="Z81" s="261" t="s">
        <v>404</v>
      </c>
      <c r="AA81" s="261" t="s">
        <v>125</v>
      </c>
      <c r="AB81" s="284" t="s">
        <v>117</v>
      </c>
      <c r="AC81" s="317" t="s">
        <v>116</v>
      </c>
      <c r="AD81" s="317"/>
      <c r="AE81" s="317"/>
      <c r="AF81" s="319"/>
      <c r="AG81" s="319"/>
      <c r="AH81" s="319" t="s">
        <v>144</v>
      </c>
      <c r="AI81" s="319"/>
      <c r="AJ81" s="295">
        <v>79</v>
      </c>
      <c r="AK81" s="380"/>
    </row>
    <row r="82" spans="1:37" ht="73.2" hidden="1" customHeight="1" thickTop="1" thickBot="1">
      <c r="A82" s="328" t="s">
        <v>92</v>
      </c>
      <c r="B82" s="321" t="s">
        <v>328</v>
      </c>
      <c r="C82" s="322" t="s">
        <v>329</v>
      </c>
      <c r="D82" s="323" t="s">
        <v>330</v>
      </c>
      <c r="E82" s="329">
        <v>45598</v>
      </c>
      <c r="F82" s="236"/>
      <c r="G82" s="273"/>
      <c r="H82" s="252" t="s">
        <v>29</v>
      </c>
      <c r="J82" s="240"/>
      <c r="K82" s="240"/>
      <c r="L82" s="241"/>
      <c r="M82" s="252"/>
      <c r="N82" s="237"/>
      <c r="O82" s="293"/>
      <c r="P82" s="293"/>
      <c r="Q82" s="294"/>
      <c r="R82" s="252"/>
      <c r="S82" s="237"/>
      <c r="T82" s="240"/>
      <c r="U82" s="241"/>
      <c r="V82" s="242"/>
      <c r="W82" s="237"/>
      <c r="X82" s="232">
        <v>1</v>
      </c>
      <c r="Y82" s="261" t="s">
        <v>116</v>
      </c>
      <c r="Z82" s="261" t="s">
        <v>404</v>
      </c>
      <c r="AA82" s="261" t="s">
        <v>125</v>
      </c>
      <c r="AB82" s="284" t="s">
        <v>117</v>
      </c>
      <c r="AC82" s="317" t="s">
        <v>116</v>
      </c>
      <c r="AD82" s="317"/>
      <c r="AE82" s="317"/>
      <c r="AF82" s="319"/>
      <c r="AG82" s="319"/>
      <c r="AH82" s="319" t="s">
        <v>144</v>
      </c>
      <c r="AI82" s="319"/>
      <c r="AJ82" s="295">
        <v>80</v>
      </c>
      <c r="AK82" s="380"/>
    </row>
    <row r="83" spans="1:37" ht="73.2" hidden="1" customHeight="1" thickTop="1" thickBot="1">
      <c r="A83" s="327" t="s">
        <v>92</v>
      </c>
      <c r="B83" s="321" t="s">
        <v>331</v>
      </c>
      <c r="C83" s="322" t="s">
        <v>329</v>
      </c>
      <c r="D83" s="323" t="s">
        <v>74</v>
      </c>
      <c r="E83" s="329">
        <v>45717</v>
      </c>
      <c r="F83" s="275" t="s">
        <v>467</v>
      </c>
      <c r="G83" s="273" t="s">
        <v>468</v>
      </c>
      <c r="H83" s="252" t="s">
        <v>25</v>
      </c>
      <c r="J83" s="240"/>
      <c r="K83" s="240"/>
      <c r="L83" s="241"/>
      <c r="M83" s="252"/>
      <c r="N83" s="237"/>
      <c r="O83" s="293"/>
      <c r="P83" s="293"/>
      <c r="Q83" s="294"/>
      <c r="R83" s="252"/>
      <c r="S83" s="237"/>
      <c r="T83" s="240"/>
      <c r="U83" s="240"/>
      <c r="V83" s="242"/>
      <c r="W83" s="237"/>
      <c r="X83" s="232">
        <v>1</v>
      </c>
      <c r="Y83" s="261" t="s">
        <v>116</v>
      </c>
      <c r="Z83" s="261" t="s">
        <v>404</v>
      </c>
      <c r="AA83" s="261" t="s">
        <v>125</v>
      </c>
      <c r="AB83" s="284" t="s">
        <v>117</v>
      </c>
      <c r="AC83" s="317" t="s">
        <v>116</v>
      </c>
      <c r="AD83" s="317"/>
      <c r="AE83" s="317"/>
      <c r="AF83" s="319"/>
      <c r="AG83" s="319"/>
      <c r="AH83" s="319" t="s">
        <v>144</v>
      </c>
      <c r="AI83" s="319"/>
      <c r="AJ83" s="295">
        <v>81</v>
      </c>
      <c r="AK83" s="380"/>
    </row>
    <row r="84" spans="1:37" ht="73.2" hidden="1" customHeight="1" thickTop="1" thickBot="1">
      <c r="A84" s="327" t="s">
        <v>92</v>
      </c>
      <c r="B84" s="321" t="s">
        <v>332</v>
      </c>
      <c r="C84" s="322" t="s">
        <v>329</v>
      </c>
      <c r="D84" s="323" t="s">
        <v>333</v>
      </c>
      <c r="E84" s="329">
        <v>45717</v>
      </c>
      <c r="F84" s="236" t="s">
        <v>470</v>
      </c>
      <c r="G84" s="273" t="s">
        <v>469</v>
      </c>
      <c r="H84" s="252" t="s">
        <v>25</v>
      </c>
      <c r="J84" s="243"/>
      <c r="K84" s="243"/>
      <c r="L84" s="244"/>
      <c r="M84" s="252"/>
      <c r="N84" s="236"/>
      <c r="O84" s="293"/>
      <c r="P84" s="293"/>
      <c r="Q84" s="294"/>
      <c r="R84" s="252"/>
      <c r="S84" s="236"/>
      <c r="T84" s="308"/>
      <c r="U84" s="243"/>
      <c r="V84" s="242"/>
      <c r="W84" s="236"/>
      <c r="X84" s="232">
        <v>1</v>
      </c>
      <c r="Y84" s="261" t="s">
        <v>116</v>
      </c>
      <c r="Z84" s="261" t="s">
        <v>404</v>
      </c>
      <c r="AA84" s="261" t="s">
        <v>125</v>
      </c>
      <c r="AB84" s="284" t="s">
        <v>117</v>
      </c>
      <c r="AC84" s="317" t="s">
        <v>116</v>
      </c>
      <c r="AD84" s="317"/>
      <c r="AE84" s="317"/>
      <c r="AF84" s="319"/>
      <c r="AG84" s="319"/>
      <c r="AH84" s="319" t="s">
        <v>144</v>
      </c>
      <c r="AI84" s="319"/>
      <c r="AJ84" s="295">
        <v>82</v>
      </c>
      <c r="AK84" s="380"/>
    </row>
    <row r="85" spans="1:37" ht="73.2" hidden="1" customHeight="1" thickTop="1" thickBot="1">
      <c r="A85" s="328" t="s">
        <v>92</v>
      </c>
      <c r="B85" s="321" t="s">
        <v>334</v>
      </c>
      <c r="C85" s="322" t="s">
        <v>329</v>
      </c>
      <c r="D85" s="323" t="s">
        <v>335</v>
      </c>
      <c r="E85" s="329">
        <v>45566</v>
      </c>
      <c r="F85" s="236"/>
      <c r="G85" s="273"/>
      <c r="H85" s="252" t="s">
        <v>29</v>
      </c>
      <c r="J85" s="243"/>
      <c r="K85" s="255"/>
      <c r="L85" s="244"/>
      <c r="M85" s="252"/>
      <c r="N85" s="236"/>
      <c r="O85" s="293"/>
      <c r="P85" s="293"/>
      <c r="Q85" s="294"/>
      <c r="R85" s="252"/>
      <c r="S85" s="236"/>
      <c r="T85" s="243"/>
      <c r="U85" s="272"/>
      <c r="V85" s="242"/>
      <c r="W85" s="236"/>
      <c r="X85" s="232">
        <v>1</v>
      </c>
      <c r="Y85" s="261" t="s">
        <v>116</v>
      </c>
      <c r="Z85" s="261" t="s">
        <v>404</v>
      </c>
      <c r="AA85" s="261" t="s">
        <v>125</v>
      </c>
      <c r="AB85" s="284" t="s">
        <v>117</v>
      </c>
      <c r="AC85" s="317" t="s">
        <v>116</v>
      </c>
      <c r="AD85" s="317"/>
      <c r="AE85" s="317"/>
      <c r="AF85" s="319"/>
      <c r="AG85" s="319"/>
      <c r="AH85" s="319" t="s">
        <v>144</v>
      </c>
      <c r="AI85" s="319"/>
      <c r="AJ85" s="295">
        <v>83</v>
      </c>
      <c r="AK85" s="380"/>
    </row>
    <row r="86" spans="1:37" ht="73.2" hidden="1" customHeight="1" thickTop="1" thickBot="1">
      <c r="A86" s="328" t="s">
        <v>92</v>
      </c>
      <c r="B86" s="321" t="s">
        <v>336</v>
      </c>
      <c r="C86" s="322" t="s">
        <v>337</v>
      </c>
      <c r="D86" s="323" t="s">
        <v>338</v>
      </c>
      <c r="E86" s="329">
        <v>45717</v>
      </c>
      <c r="F86" s="236"/>
      <c r="G86" s="273"/>
      <c r="H86" s="252" t="s">
        <v>29</v>
      </c>
      <c r="J86" s="243"/>
      <c r="K86" s="255"/>
      <c r="L86" s="244"/>
      <c r="M86" s="252"/>
      <c r="N86" s="236"/>
      <c r="O86" s="293"/>
      <c r="P86" s="293"/>
      <c r="Q86" s="294"/>
      <c r="R86" s="252"/>
      <c r="S86" s="236"/>
      <c r="T86" s="243"/>
      <c r="U86" s="272"/>
      <c r="V86" s="242"/>
      <c r="W86" s="236"/>
      <c r="X86" s="232">
        <v>1</v>
      </c>
      <c r="Y86" s="261" t="s">
        <v>116</v>
      </c>
      <c r="Z86" s="261" t="s">
        <v>404</v>
      </c>
      <c r="AA86" s="261" t="s">
        <v>125</v>
      </c>
      <c r="AB86" s="284" t="s">
        <v>117</v>
      </c>
      <c r="AC86" s="317" t="s">
        <v>137</v>
      </c>
      <c r="AD86" s="317"/>
      <c r="AE86" s="317"/>
      <c r="AF86" s="319"/>
      <c r="AG86" s="319"/>
      <c r="AH86" s="319"/>
      <c r="AI86" s="319" t="s">
        <v>144</v>
      </c>
      <c r="AJ86" s="295">
        <v>84</v>
      </c>
      <c r="AK86" s="380"/>
    </row>
    <row r="87" spans="1:37" ht="54" hidden="1" thickTop="1" thickBot="1">
      <c r="A87" s="328" t="s">
        <v>89</v>
      </c>
      <c r="B87" s="321" t="s">
        <v>339</v>
      </c>
      <c r="C87" s="322" t="s">
        <v>340</v>
      </c>
      <c r="D87" s="323" t="s">
        <v>341</v>
      </c>
      <c r="E87" s="329">
        <v>45536</v>
      </c>
      <c r="F87" s="236" t="s">
        <v>500</v>
      </c>
      <c r="G87" s="273" t="s">
        <v>429</v>
      </c>
      <c r="H87" s="252" t="s">
        <v>25</v>
      </c>
      <c r="J87" s="240"/>
      <c r="K87" s="255"/>
      <c r="L87" s="244"/>
      <c r="M87" s="252"/>
      <c r="N87" s="237"/>
      <c r="O87" s="293"/>
      <c r="P87" s="293"/>
      <c r="Q87" s="294"/>
      <c r="R87" s="252"/>
      <c r="S87" s="237"/>
      <c r="T87" s="240"/>
      <c r="U87" s="314"/>
      <c r="V87" s="242"/>
      <c r="W87" s="237"/>
      <c r="X87" s="232">
        <v>1</v>
      </c>
      <c r="Y87" s="261" t="s">
        <v>388</v>
      </c>
      <c r="Z87" s="261" t="s">
        <v>417</v>
      </c>
      <c r="AA87" s="261" t="s">
        <v>125</v>
      </c>
      <c r="AB87" s="284" t="s">
        <v>117</v>
      </c>
      <c r="AC87" s="317" t="s">
        <v>137</v>
      </c>
      <c r="AD87" s="317"/>
      <c r="AE87" s="317"/>
      <c r="AF87" s="319"/>
      <c r="AG87" s="319"/>
      <c r="AH87" s="319"/>
      <c r="AI87" s="319" t="s">
        <v>144</v>
      </c>
      <c r="AJ87" s="295">
        <v>85</v>
      </c>
      <c r="AK87" s="380"/>
    </row>
    <row r="88" spans="1:37" ht="97.2" hidden="1" customHeight="1" thickTop="1" thickBot="1">
      <c r="A88" s="327" t="s">
        <v>91</v>
      </c>
      <c r="B88" s="321" t="s">
        <v>342</v>
      </c>
      <c r="C88" s="322" t="s">
        <v>106</v>
      </c>
      <c r="D88" s="323" t="s">
        <v>107</v>
      </c>
      <c r="E88" s="329">
        <v>45717</v>
      </c>
      <c r="F88" s="236" t="s">
        <v>502</v>
      </c>
      <c r="G88" s="273"/>
      <c r="H88" s="252" t="s">
        <v>25</v>
      </c>
      <c r="J88" s="240"/>
      <c r="K88" s="255"/>
      <c r="L88" s="244"/>
      <c r="M88" s="252"/>
      <c r="N88" s="237"/>
      <c r="O88" s="293"/>
      <c r="P88" s="293"/>
      <c r="Q88" s="294"/>
      <c r="R88" s="252"/>
      <c r="S88" s="237"/>
      <c r="T88" s="240"/>
      <c r="U88" s="314"/>
      <c r="V88" s="242"/>
      <c r="W88" s="237"/>
      <c r="X88" s="232">
        <v>1</v>
      </c>
      <c r="Y88" s="261" t="s">
        <v>389</v>
      </c>
      <c r="Z88" s="261" t="s">
        <v>427</v>
      </c>
      <c r="AA88" s="261" t="s">
        <v>125</v>
      </c>
      <c r="AB88" s="284" t="s">
        <v>95</v>
      </c>
      <c r="AC88" s="317" t="s">
        <v>137</v>
      </c>
      <c r="AD88" s="317"/>
      <c r="AE88" s="317"/>
      <c r="AF88" s="319"/>
      <c r="AG88" s="319"/>
      <c r="AH88" s="319"/>
      <c r="AI88" s="319" t="s">
        <v>144</v>
      </c>
      <c r="AJ88" s="295">
        <v>86</v>
      </c>
      <c r="AK88" s="380"/>
    </row>
    <row r="89" spans="1:37" ht="73.2" hidden="1" customHeight="1" thickTop="1" thickBot="1">
      <c r="A89" s="327" t="s">
        <v>91</v>
      </c>
      <c r="B89" s="321" t="s">
        <v>343</v>
      </c>
      <c r="C89" s="322" t="s">
        <v>344</v>
      </c>
      <c r="D89" s="323" t="s">
        <v>108</v>
      </c>
      <c r="E89" s="329">
        <v>45717</v>
      </c>
      <c r="F89" s="236" t="s">
        <v>503</v>
      </c>
      <c r="G89" s="273"/>
      <c r="H89" s="252" t="s">
        <v>25</v>
      </c>
      <c r="I89" s="238" t="s">
        <v>504</v>
      </c>
      <c r="J89" s="240"/>
      <c r="K89" s="240"/>
      <c r="L89" s="241"/>
      <c r="M89" s="252"/>
      <c r="N89" s="237"/>
      <c r="O89" s="293"/>
      <c r="P89" s="293"/>
      <c r="Q89" s="294"/>
      <c r="R89" s="252"/>
      <c r="S89" s="237"/>
      <c r="T89" s="240"/>
      <c r="U89" s="241"/>
      <c r="V89" s="242"/>
      <c r="W89" s="237"/>
      <c r="X89" s="232">
        <v>1</v>
      </c>
      <c r="Y89" s="261" t="s">
        <v>389</v>
      </c>
      <c r="Z89" s="261" t="s">
        <v>427</v>
      </c>
      <c r="AA89" s="261" t="s">
        <v>125</v>
      </c>
      <c r="AB89" s="285" t="s">
        <v>95</v>
      </c>
      <c r="AC89" s="317" t="s">
        <v>141</v>
      </c>
      <c r="AD89" s="317" t="s">
        <v>116</v>
      </c>
      <c r="AE89" s="317" t="s">
        <v>137</v>
      </c>
      <c r="AF89" s="319"/>
      <c r="AG89" s="319" t="s">
        <v>144</v>
      </c>
      <c r="AH89" s="319" t="s">
        <v>144</v>
      </c>
      <c r="AI89" s="319" t="s">
        <v>144</v>
      </c>
      <c r="AJ89" s="295">
        <v>87</v>
      </c>
      <c r="AK89" s="380"/>
    </row>
    <row r="90" spans="1:37" ht="73.2" hidden="1" customHeight="1" thickTop="1" thickBot="1">
      <c r="A90" s="328" t="s">
        <v>91</v>
      </c>
      <c r="B90" s="321" t="s">
        <v>345</v>
      </c>
      <c r="C90" s="322" t="s">
        <v>346</v>
      </c>
      <c r="D90" s="323" t="s">
        <v>347</v>
      </c>
      <c r="E90" s="329" t="s">
        <v>387</v>
      </c>
      <c r="F90" s="236" t="s">
        <v>436</v>
      </c>
      <c r="G90" s="273"/>
      <c r="H90" s="252" t="s">
        <v>25</v>
      </c>
      <c r="J90" s="243"/>
      <c r="K90" s="243"/>
      <c r="L90" s="244"/>
      <c r="M90" s="252"/>
      <c r="N90" s="236"/>
      <c r="O90" s="293"/>
      <c r="P90" s="293"/>
      <c r="Q90" s="294"/>
      <c r="R90" s="252"/>
      <c r="S90" s="236"/>
      <c r="T90" s="243"/>
      <c r="U90" s="244"/>
      <c r="V90" s="242"/>
      <c r="W90" s="236"/>
      <c r="X90" s="232">
        <v>1</v>
      </c>
      <c r="Y90" s="261" t="s">
        <v>389</v>
      </c>
      <c r="Z90" s="261" t="s">
        <v>427</v>
      </c>
      <c r="AA90" s="261" t="s">
        <v>125</v>
      </c>
      <c r="AB90" s="284" t="s">
        <v>95</v>
      </c>
      <c r="AC90" s="317" t="s">
        <v>116</v>
      </c>
      <c r="AD90" s="317" t="s">
        <v>141</v>
      </c>
      <c r="AE90" s="317"/>
      <c r="AF90" s="319"/>
      <c r="AG90" s="319" t="s">
        <v>144</v>
      </c>
      <c r="AH90" s="319" t="s">
        <v>144</v>
      </c>
      <c r="AI90" s="319"/>
      <c r="AJ90" s="295">
        <v>88</v>
      </c>
      <c r="AK90" s="380"/>
    </row>
    <row r="91" spans="1:37" ht="151.19999999999999" thickTop="1" thickBot="1">
      <c r="A91" s="327" t="s">
        <v>87</v>
      </c>
      <c r="B91" s="321" t="s">
        <v>348</v>
      </c>
      <c r="C91" s="322" t="s">
        <v>105</v>
      </c>
      <c r="D91" s="323" t="s">
        <v>349</v>
      </c>
      <c r="E91" s="329">
        <v>45717</v>
      </c>
      <c r="F91" s="236" t="s">
        <v>492</v>
      </c>
      <c r="G91" s="273"/>
      <c r="H91" s="252" t="s">
        <v>25</v>
      </c>
      <c r="I91" s="238" t="s">
        <v>495</v>
      </c>
      <c r="J91" s="243"/>
      <c r="K91" s="243"/>
      <c r="L91" s="244"/>
      <c r="M91" s="252"/>
      <c r="N91" s="236"/>
      <c r="O91" s="293"/>
      <c r="P91" s="293"/>
      <c r="Q91" s="294"/>
      <c r="R91" s="252"/>
      <c r="S91" s="236"/>
      <c r="T91" s="243"/>
      <c r="U91" s="252"/>
      <c r="V91" s="242"/>
      <c r="W91" s="236"/>
      <c r="X91" s="232">
        <v>1</v>
      </c>
      <c r="Y91" s="261" t="s">
        <v>389</v>
      </c>
      <c r="Z91" s="261" t="s">
        <v>410</v>
      </c>
      <c r="AA91" s="261" t="s">
        <v>125</v>
      </c>
      <c r="AB91" s="284" t="s">
        <v>94</v>
      </c>
      <c r="AC91" s="317" t="s">
        <v>137</v>
      </c>
      <c r="AD91" s="317" t="s">
        <v>141</v>
      </c>
      <c r="AE91" s="317"/>
      <c r="AF91" s="319"/>
      <c r="AG91" s="319" t="s">
        <v>144</v>
      </c>
      <c r="AH91" s="319"/>
      <c r="AI91" s="319" t="s">
        <v>144</v>
      </c>
      <c r="AJ91" s="295">
        <v>89</v>
      </c>
      <c r="AK91" s="380"/>
    </row>
    <row r="92" spans="1:37" ht="73.2" customHeight="1" thickTop="1" thickBot="1">
      <c r="A92" s="327" t="s">
        <v>87</v>
      </c>
      <c r="B92" s="321" t="s">
        <v>350</v>
      </c>
      <c r="C92" s="322" t="s">
        <v>84</v>
      </c>
      <c r="D92" s="323" t="s">
        <v>351</v>
      </c>
      <c r="E92" s="329">
        <v>45901</v>
      </c>
      <c r="F92" s="236" t="s">
        <v>493</v>
      </c>
      <c r="G92" s="273"/>
      <c r="H92" s="252" t="s">
        <v>25</v>
      </c>
      <c r="J92" s="243"/>
      <c r="K92" s="243"/>
      <c r="L92" s="244"/>
      <c r="M92" s="252"/>
      <c r="N92" s="236"/>
      <c r="O92" s="293"/>
      <c r="P92" s="293"/>
      <c r="Q92" s="294"/>
      <c r="R92" s="252"/>
      <c r="S92" s="236"/>
      <c r="T92" s="243"/>
      <c r="U92" s="244"/>
      <c r="V92" s="242"/>
      <c r="W92" s="236"/>
      <c r="X92" s="232">
        <v>1</v>
      </c>
      <c r="Y92" s="261" t="s">
        <v>389</v>
      </c>
      <c r="Z92" s="261" t="s">
        <v>410</v>
      </c>
      <c r="AA92" s="261" t="s">
        <v>125</v>
      </c>
      <c r="AB92" s="284" t="s">
        <v>94</v>
      </c>
      <c r="AC92" s="317" t="s">
        <v>141</v>
      </c>
      <c r="AD92" s="317"/>
      <c r="AE92" s="317"/>
      <c r="AF92" s="319"/>
      <c r="AG92" s="319" t="s">
        <v>144</v>
      </c>
      <c r="AH92" s="319"/>
      <c r="AI92" s="319"/>
      <c r="AJ92" s="295">
        <v>90</v>
      </c>
      <c r="AK92" s="380"/>
    </row>
    <row r="93" spans="1:37" ht="76.5" customHeight="1" thickTop="1" thickBot="1">
      <c r="A93" s="327" t="s">
        <v>87</v>
      </c>
      <c r="B93" s="321" t="s">
        <v>352</v>
      </c>
      <c r="C93" s="322" t="s">
        <v>353</v>
      </c>
      <c r="D93" s="323" t="s">
        <v>354</v>
      </c>
      <c r="E93" s="329">
        <v>45717</v>
      </c>
      <c r="F93" s="236" t="s">
        <v>494</v>
      </c>
      <c r="G93" s="273"/>
      <c r="H93" s="252" t="s">
        <v>25</v>
      </c>
      <c r="I93" s="238" t="s">
        <v>496</v>
      </c>
      <c r="J93" s="243"/>
      <c r="K93" s="243"/>
      <c r="L93" s="244"/>
      <c r="M93" s="252"/>
      <c r="N93" s="236"/>
      <c r="O93" s="293"/>
      <c r="P93" s="293"/>
      <c r="Q93" s="294"/>
      <c r="R93" s="252"/>
      <c r="S93" s="236"/>
      <c r="T93" s="244"/>
      <c r="U93" s="244"/>
      <c r="V93" s="242"/>
      <c r="W93" s="236"/>
      <c r="X93" s="232">
        <v>1</v>
      </c>
      <c r="Y93" s="261" t="s">
        <v>389</v>
      </c>
      <c r="Z93" s="261" t="s">
        <v>410</v>
      </c>
      <c r="AA93" s="261" t="s">
        <v>125</v>
      </c>
      <c r="AB93" s="284" t="s">
        <v>94</v>
      </c>
      <c r="AC93" s="317" t="s">
        <v>141</v>
      </c>
      <c r="AD93" s="317"/>
      <c r="AE93" s="317"/>
      <c r="AF93" s="319"/>
      <c r="AG93" s="319" t="s">
        <v>144</v>
      </c>
      <c r="AH93" s="319"/>
      <c r="AI93" s="319"/>
      <c r="AJ93" s="295">
        <v>91</v>
      </c>
      <c r="AK93" s="380"/>
    </row>
    <row r="94" spans="1:37" ht="73.2" hidden="1" customHeight="1" thickTop="1" thickBot="1">
      <c r="A94" s="327" t="s">
        <v>115</v>
      </c>
      <c r="B94" s="321" t="s">
        <v>355</v>
      </c>
      <c r="C94" s="322" t="s">
        <v>356</v>
      </c>
      <c r="D94" s="323" t="s">
        <v>357</v>
      </c>
      <c r="E94" s="329">
        <v>45717</v>
      </c>
      <c r="F94" s="236" t="s">
        <v>464</v>
      </c>
      <c r="G94" s="273"/>
      <c r="H94" s="252" t="s">
        <v>25</v>
      </c>
      <c r="J94" s="243"/>
      <c r="K94" s="244"/>
      <c r="L94" s="244"/>
      <c r="M94" s="252"/>
      <c r="N94" s="236"/>
      <c r="O94" s="293"/>
      <c r="P94" s="293"/>
      <c r="Q94" s="294"/>
      <c r="R94" s="252"/>
      <c r="S94" s="236"/>
      <c r="T94" s="243"/>
      <c r="U94" s="244"/>
      <c r="V94" s="242"/>
      <c r="W94" s="236"/>
      <c r="X94" s="232">
        <v>1</v>
      </c>
      <c r="Y94" s="261" t="s">
        <v>116</v>
      </c>
      <c r="Z94" s="261" t="s">
        <v>415</v>
      </c>
      <c r="AA94" s="261" t="s">
        <v>125</v>
      </c>
      <c r="AB94" s="284" t="s">
        <v>116</v>
      </c>
      <c r="AC94" s="317" t="s">
        <v>137</v>
      </c>
      <c r="AD94" s="317"/>
      <c r="AE94" s="317"/>
      <c r="AF94" s="319"/>
      <c r="AG94" s="319"/>
      <c r="AH94" s="319"/>
      <c r="AI94" s="319" t="s">
        <v>144</v>
      </c>
      <c r="AJ94" s="295">
        <v>92</v>
      </c>
      <c r="AK94" s="380"/>
    </row>
    <row r="95" spans="1:37" ht="73.2" hidden="1" customHeight="1" thickTop="1" thickBot="1">
      <c r="A95" s="327" t="s">
        <v>115</v>
      </c>
      <c r="B95" s="321" t="s">
        <v>358</v>
      </c>
      <c r="C95" s="322" t="s">
        <v>356</v>
      </c>
      <c r="D95" s="323" t="s">
        <v>359</v>
      </c>
      <c r="E95" s="329">
        <v>45413</v>
      </c>
      <c r="F95" s="275" t="s">
        <v>506</v>
      </c>
      <c r="G95" s="385"/>
      <c r="H95" s="252" t="s">
        <v>16</v>
      </c>
      <c r="J95" s="243"/>
      <c r="K95" s="243"/>
      <c r="L95" s="244"/>
      <c r="M95" s="252"/>
      <c r="N95" s="236"/>
      <c r="O95" s="293"/>
      <c r="P95" s="293"/>
      <c r="Q95" s="294"/>
      <c r="R95" s="252"/>
      <c r="S95" s="236"/>
      <c r="T95" s="243"/>
      <c r="U95" s="252"/>
      <c r="V95" s="242"/>
      <c r="W95" s="236"/>
      <c r="X95" s="232">
        <v>1</v>
      </c>
      <c r="Y95" s="261" t="s">
        <v>116</v>
      </c>
      <c r="Z95" s="261" t="s">
        <v>419</v>
      </c>
      <c r="AA95" s="261" t="s">
        <v>125</v>
      </c>
      <c r="AB95" s="281" t="s">
        <v>116</v>
      </c>
      <c r="AC95" s="317" t="s">
        <v>116</v>
      </c>
      <c r="AD95" s="317"/>
      <c r="AE95" s="317"/>
      <c r="AF95" s="319"/>
      <c r="AG95" s="319"/>
      <c r="AH95" s="319" t="s">
        <v>144</v>
      </c>
      <c r="AI95" s="319"/>
      <c r="AJ95" s="295">
        <v>93</v>
      </c>
      <c r="AK95" s="380"/>
    </row>
    <row r="96" spans="1:37" ht="73.2" hidden="1" customHeight="1" thickTop="1" thickBot="1">
      <c r="A96" s="328" t="s">
        <v>115</v>
      </c>
      <c r="B96" s="321" t="s">
        <v>360</v>
      </c>
      <c r="C96" s="322" t="s">
        <v>356</v>
      </c>
      <c r="D96" s="323" t="s">
        <v>361</v>
      </c>
      <c r="E96" s="329">
        <v>45444</v>
      </c>
      <c r="F96" s="236" t="s">
        <v>507</v>
      </c>
      <c r="G96" s="273"/>
      <c r="H96" s="252" t="s">
        <v>16</v>
      </c>
      <c r="J96" s="243"/>
      <c r="K96" s="243"/>
      <c r="L96" s="244"/>
      <c r="M96" s="252"/>
      <c r="N96" s="236"/>
      <c r="O96" s="293"/>
      <c r="P96" s="293"/>
      <c r="Q96" s="294"/>
      <c r="R96" s="252"/>
      <c r="S96" s="236"/>
      <c r="T96" s="243"/>
      <c r="U96" s="244"/>
      <c r="V96" s="242"/>
      <c r="W96" s="236"/>
      <c r="X96" s="232">
        <v>1</v>
      </c>
      <c r="Y96" s="261" t="s">
        <v>116</v>
      </c>
      <c r="Z96" s="261" t="s">
        <v>415</v>
      </c>
      <c r="AA96" s="261" t="s">
        <v>125</v>
      </c>
      <c r="AB96" s="281" t="s">
        <v>116</v>
      </c>
      <c r="AC96" s="317" t="s">
        <v>116</v>
      </c>
      <c r="AD96" s="317"/>
      <c r="AE96" s="317"/>
      <c r="AF96" s="319"/>
      <c r="AG96" s="319"/>
      <c r="AH96" s="319" t="s">
        <v>144</v>
      </c>
      <c r="AI96" s="319"/>
      <c r="AJ96" s="295">
        <v>94</v>
      </c>
      <c r="AK96" s="380"/>
    </row>
    <row r="97" spans="1:37" ht="73.2" hidden="1" customHeight="1" thickTop="1" thickBot="1">
      <c r="A97" s="327" t="s">
        <v>115</v>
      </c>
      <c r="B97" s="321" t="s">
        <v>362</v>
      </c>
      <c r="C97" s="322" t="s">
        <v>356</v>
      </c>
      <c r="D97" s="323" t="s">
        <v>363</v>
      </c>
      <c r="E97" s="329">
        <v>45536</v>
      </c>
      <c r="F97" s="275" t="s">
        <v>465</v>
      </c>
      <c r="G97" s="273"/>
      <c r="H97" s="252" t="s">
        <v>25</v>
      </c>
      <c r="J97" s="243"/>
      <c r="K97" s="243"/>
      <c r="L97" s="244"/>
      <c r="M97" s="252"/>
      <c r="N97" s="236"/>
      <c r="O97" s="293"/>
      <c r="P97" s="293"/>
      <c r="Q97" s="294"/>
      <c r="R97" s="252"/>
      <c r="S97" s="236"/>
      <c r="T97" s="244"/>
      <c r="U97" s="244"/>
      <c r="V97" s="242"/>
      <c r="W97" s="236"/>
      <c r="X97" s="232">
        <v>1</v>
      </c>
      <c r="Y97" s="261" t="s">
        <v>116</v>
      </c>
      <c r="Z97" s="261" t="s">
        <v>415</v>
      </c>
      <c r="AA97" s="261" t="s">
        <v>125</v>
      </c>
      <c r="AB97" s="281" t="s">
        <v>116</v>
      </c>
      <c r="AC97" s="317" t="s">
        <v>116</v>
      </c>
      <c r="AD97" s="317"/>
      <c r="AE97" s="317"/>
      <c r="AF97" s="319"/>
      <c r="AG97" s="319"/>
      <c r="AH97" s="319" t="s">
        <v>144</v>
      </c>
      <c r="AI97" s="319"/>
      <c r="AJ97" s="295">
        <v>95</v>
      </c>
      <c r="AK97" s="380"/>
    </row>
    <row r="98" spans="1:37" ht="73.2" hidden="1" customHeight="1" thickTop="1" thickBot="1">
      <c r="A98" s="328" t="s">
        <v>481</v>
      </c>
      <c r="B98" s="321" t="s">
        <v>364</v>
      </c>
      <c r="C98" s="322" t="s">
        <v>365</v>
      </c>
      <c r="D98" s="323" t="s">
        <v>366</v>
      </c>
      <c r="E98" s="329">
        <v>45717</v>
      </c>
      <c r="F98" s="378" t="s">
        <v>484</v>
      </c>
      <c r="G98" s="273"/>
      <c r="H98" s="252" t="s">
        <v>25</v>
      </c>
      <c r="I98" s="275"/>
      <c r="J98" s="243"/>
      <c r="K98" s="243"/>
      <c r="L98" s="244"/>
      <c r="M98" s="252"/>
      <c r="N98" s="236"/>
      <c r="O98" s="293"/>
      <c r="P98" s="293"/>
      <c r="Q98" s="294"/>
      <c r="R98" s="252"/>
      <c r="S98" s="236"/>
      <c r="T98" s="293"/>
      <c r="U98" s="244"/>
      <c r="V98" s="242"/>
      <c r="W98" s="236"/>
      <c r="X98" s="232">
        <v>1</v>
      </c>
      <c r="Y98" s="261" t="s">
        <v>390</v>
      </c>
      <c r="Z98" s="261" t="s">
        <v>405</v>
      </c>
      <c r="AA98" s="261" t="s">
        <v>125</v>
      </c>
      <c r="AB98" s="281" t="s">
        <v>118</v>
      </c>
      <c r="AC98" s="317" t="s">
        <v>116</v>
      </c>
      <c r="AD98" s="317"/>
      <c r="AE98" s="317"/>
      <c r="AF98" s="319"/>
      <c r="AG98" s="319"/>
      <c r="AH98" s="319" t="s">
        <v>144</v>
      </c>
      <c r="AI98" s="319"/>
      <c r="AJ98" s="295">
        <v>96</v>
      </c>
      <c r="AK98" s="381"/>
    </row>
    <row r="99" spans="1:37" ht="81" hidden="1" customHeight="1" thickTop="1" thickBot="1">
      <c r="A99" s="328" t="s">
        <v>481</v>
      </c>
      <c r="B99" s="321" t="s">
        <v>367</v>
      </c>
      <c r="C99" s="322" t="s">
        <v>110</v>
      </c>
      <c r="D99" s="323" t="s">
        <v>368</v>
      </c>
      <c r="E99" s="329">
        <v>45627</v>
      </c>
      <c r="F99" s="378" t="s">
        <v>485</v>
      </c>
      <c r="G99" s="273"/>
      <c r="H99" s="252" t="s">
        <v>25</v>
      </c>
      <c r="I99" s="275"/>
      <c r="J99" s="243"/>
      <c r="K99" s="243"/>
      <c r="L99" s="244"/>
      <c r="M99" s="252"/>
      <c r="N99" s="236"/>
      <c r="O99" s="293"/>
      <c r="P99" s="293"/>
      <c r="Q99" s="294"/>
      <c r="R99" s="252"/>
      <c r="S99" s="236"/>
      <c r="T99" s="243"/>
      <c r="U99" s="244"/>
      <c r="V99" s="242"/>
      <c r="W99" s="236"/>
      <c r="X99" s="232">
        <v>1</v>
      </c>
      <c r="Y99" s="261" t="s">
        <v>390</v>
      </c>
      <c r="Z99" s="261" t="s">
        <v>405</v>
      </c>
      <c r="AA99" s="261" t="s">
        <v>125</v>
      </c>
      <c r="AB99" s="281" t="s">
        <v>118</v>
      </c>
      <c r="AC99" s="317" t="s">
        <v>116</v>
      </c>
      <c r="AD99" s="317"/>
      <c r="AE99" s="317"/>
      <c r="AF99" s="319"/>
      <c r="AG99" s="319"/>
      <c r="AH99" s="319" t="s">
        <v>144</v>
      </c>
      <c r="AI99" s="319"/>
      <c r="AJ99" s="295">
        <v>97</v>
      </c>
      <c r="AK99" s="381"/>
    </row>
    <row r="100" spans="1:37" ht="73.2" hidden="1" customHeight="1" thickTop="1" thickBot="1">
      <c r="A100" s="328" t="s">
        <v>481</v>
      </c>
      <c r="B100" s="321" t="s">
        <v>369</v>
      </c>
      <c r="C100" s="322" t="s">
        <v>110</v>
      </c>
      <c r="D100" s="323" t="s">
        <v>370</v>
      </c>
      <c r="E100" s="329">
        <v>45717</v>
      </c>
      <c r="F100" s="378" t="s">
        <v>482</v>
      </c>
      <c r="G100" s="273"/>
      <c r="H100" s="252" t="s">
        <v>25</v>
      </c>
      <c r="I100" s="236"/>
      <c r="J100" s="244"/>
      <c r="K100" s="243"/>
      <c r="L100" s="244"/>
      <c r="M100" s="252"/>
      <c r="N100" s="236"/>
      <c r="O100" s="293"/>
      <c r="P100" s="293"/>
      <c r="Q100" s="294"/>
      <c r="R100" s="252"/>
      <c r="S100" s="236"/>
      <c r="T100" s="243"/>
      <c r="U100" s="244"/>
      <c r="V100" s="242"/>
      <c r="W100" s="243"/>
      <c r="X100" s="232">
        <v>1</v>
      </c>
      <c r="Y100" s="261" t="s">
        <v>390</v>
      </c>
      <c r="Z100" s="261" t="s">
        <v>405</v>
      </c>
      <c r="AA100" s="261" t="s">
        <v>125</v>
      </c>
      <c r="AB100" s="281" t="s">
        <v>118</v>
      </c>
      <c r="AC100" s="317" t="s">
        <v>116</v>
      </c>
      <c r="AD100" s="317"/>
      <c r="AE100" s="317"/>
      <c r="AF100" s="319"/>
      <c r="AG100" s="319"/>
      <c r="AH100" s="319" t="s">
        <v>144</v>
      </c>
      <c r="AI100" s="319"/>
      <c r="AJ100" s="295">
        <v>98</v>
      </c>
      <c r="AK100" s="381"/>
    </row>
    <row r="101" spans="1:37" ht="198" hidden="1" customHeight="1" thickTop="1" thickBot="1">
      <c r="A101" s="328" t="s">
        <v>481</v>
      </c>
      <c r="B101" s="321" t="s">
        <v>371</v>
      </c>
      <c r="C101" s="322" t="s">
        <v>372</v>
      </c>
      <c r="D101" s="323" t="s">
        <v>373</v>
      </c>
      <c r="E101" s="329">
        <v>45717</v>
      </c>
      <c r="F101" s="378" t="s">
        <v>518</v>
      </c>
      <c r="G101" s="273"/>
      <c r="H101" s="252" t="s">
        <v>25</v>
      </c>
      <c r="I101" s="236"/>
      <c r="J101" s="244"/>
      <c r="K101" s="243"/>
      <c r="L101" s="244"/>
      <c r="M101" s="252"/>
      <c r="N101" s="236"/>
      <c r="O101" s="293"/>
      <c r="P101" s="293"/>
      <c r="Q101" s="294"/>
      <c r="R101" s="252"/>
      <c r="S101" s="236"/>
      <c r="T101" s="243"/>
      <c r="U101" s="244"/>
      <c r="V101" s="242"/>
      <c r="W101" s="236"/>
      <c r="X101" s="232">
        <v>1</v>
      </c>
      <c r="Y101" s="261" t="s">
        <v>390</v>
      </c>
      <c r="Z101" s="261" t="s">
        <v>406</v>
      </c>
      <c r="AA101" s="261" t="s">
        <v>125</v>
      </c>
      <c r="AB101" s="281" t="s">
        <v>118</v>
      </c>
      <c r="AC101" s="317" t="s">
        <v>116</v>
      </c>
      <c r="AD101" s="317"/>
      <c r="AE101" s="317"/>
      <c r="AF101" s="319"/>
      <c r="AG101" s="319"/>
      <c r="AH101" s="319" t="s">
        <v>144</v>
      </c>
      <c r="AI101" s="319"/>
      <c r="AJ101" s="295">
        <v>99</v>
      </c>
      <c r="AK101" s="381"/>
    </row>
    <row r="102" spans="1:37" ht="84.6" hidden="1" customHeight="1" thickTop="1" thickBot="1">
      <c r="A102" s="328" t="s">
        <v>481</v>
      </c>
      <c r="B102" s="321" t="s">
        <v>374</v>
      </c>
      <c r="C102" s="322" t="s">
        <v>375</v>
      </c>
      <c r="D102" s="323" t="s">
        <v>376</v>
      </c>
      <c r="E102" s="329">
        <v>45717</v>
      </c>
      <c r="F102" s="378" t="s">
        <v>483</v>
      </c>
      <c r="G102" s="273"/>
      <c r="H102" s="252" t="s">
        <v>25</v>
      </c>
      <c r="I102" s="236"/>
      <c r="J102" s="243"/>
      <c r="K102" s="243"/>
      <c r="L102" s="244"/>
      <c r="M102" s="252"/>
      <c r="N102" s="236"/>
      <c r="O102" s="293"/>
      <c r="P102" s="293"/>
      <c r="Q102" s="294"/>
      <c r="R102" s="252"/>
      <c r="S102" s="236"/>
      <c r="T102" s="243"/>
      <c r="U102" s="244"/>
      <c r="V102" s="242"/>
      <c r="W102" s="236"/>
      <c r="X102" s="232">
        <v>1</v>
      </c>
      <c r="Y102" s="261" t="s">
        <v>390</v>
      </c>
      <c r="Z102" s="261" t="s">
        <v>406</v>
      </c>
      <c r="AA102" s="261" t="s">
        <v>125</v>
      </c>
      <c r="AB102" s="281" t="s">
        <v>118</v>
      </c>
      <c r="AC102" s="317" t="s">
        <v>116</v>
      </c>
      <c r="AD102" s="317"/>
      <c r="AE102" s="317"/>
      <c r="AF102" s="319"/>
      <c r="AG102" s="319"/>
      <c r="AH102" s="319" t="s">
        <v>144</v>
      </c>
      <c r="AI102" s="319"/>
      <c r="AJ102" s="295">
        <v>100</v>
      </c>
      <c r="AK102" s="381"/>
    </row>
    <row r="103" spans="1:37" ht="87.6" hidden="1" customHeight="1" thickTop="1" thickBot="1">
      <c r="A103" s="327" t="s">
        <v>384</v>
      </c>
      <c r="B103" s="321" t="s">
        <v>377</v>
      </c>
      <c r="C103" s="324" t="s">
        <v>2</v>
      </c>
      <c r="D103" s="323" t="s">
        <v>378</v>
      </c>
      <c r="E103" s="329">
        <v>45717</v>
      </c>
      <c r="F103" s="273" t="s">
        <v>486</v>
      </c>
      <c r="G103" s="273"/>
      <c r="H103" s="252" t="s">
        <v>25</v>
      </c>
      <c r="I103" s="236"/>
      <c r="J103" s="243"/>
      <c r="K103" s="244"/>
      <c r="L103" s="244"/>
      <c r="M103" s="252"/>
      <c r="N103" s="309"/>
      <c r="O103" s="293"/>
      <c r="P103" s="293"/>
      <c r="Q103" s="294"/>
      <c r="R103" s="252"/>
      <c r="S103" s="236"/>
      <c r="T103" s="243"/>
      <c r="U103" s="243"/>
      <c r="V103" s="242"/>
      <c r="W103" s="236"/>
      <c r="X103" s="232">
        <v>1</v>
      </c>
      <c r="Y103" s="261" t="s">
        <v>391</v>
      </c>
      <c r="Z103" s="261" t="s">
        <v>403</v>
      </c>
      <c r="AA103" s="261" t="s">
        <v>125</v>
      </c>
      <c r="AB103" s="281" t="s">
        <v>129</v>
      </c>
      <c r="AC103" s="317" t="s">
        <v>116</v>
      </c>
      <c r="AD103" s="317"/>
      <c r="AE103" s="317"/>
      <c r="AF103" s="319"/>
      <c r="AG103" s="319"/>
      <c r="AH103" s="319" t="s">
        <v>144</v>
      </c>
      <c r="AI103" s="319"/>
      <c r="AJ103" s="295">
        <v>101</v>
      </c>
      <c r="AK103" s="380"/>
    </row>
    <row r="104" spans="1:37" ht="95.4" hidden="1" customHeight="1" thickTop="1" thickBot="1">
      <c r="A104" s="327" t="s">
        <v>384</v>
      </c>
      <c r="B104" s="321" t="s">
        <v>379</v>
      </c>
      <c r="C104" s="331" t="s">
        <v>85</v>
      </c>
      <c r="D104" s="332" t="s">
        <v>380</v>
      </c>
      <c r="E104" s="333">
        <v>45717</v>
      </c>
      <c r="F104" s="310">
        <v>0.63100000000000001</v>
      </c>
      <c r="G104" s="334"/>
      <c r="H104" s="252" t="s">
        <v>25</v>
      </c>
      <c r="I104" s="336" t="s">
        <v>487</v>
      </c>
      <c r="J104" s="337"/>
      <c r="K104" s="337"/>
      <c r="L104" s="338"/>
      <c r="M104" s="335"/>
      <c r="N104" s="339"/>
      <c r="O104" s="340"/>
      <c r="P104" s="340"/>
      <c r="Q104" s="341"/>
      <c r="R104" s="335"/>
      <c r="S104" s="339"/>
      <c r="T104" s="337"/>
      <c r="U104" s="338"/>
      <c r="V104" s="342"/>
      <c r="W104" s="339"/>
      <c r="X104" s="343">
        <v>1</v>
      </c>
      <c r="Y104" s="344" t="s">
        <v>391</v>
      </c>
      <c r="Z104" s="344" t="s">
        <v>403</v>
      </c>
      <c r="AA104" s="261" t="s">
        <v>125</v>
      </c>
      <c r="AB104" s="345" t="s">
        <v>129</v>
      </c>
      <c r="AC104" s="346" t="s">
        <v>116</v>
      </c>
      <c r="AD104" s="346"/>
      <c r="AE104" s="346"/>
      <c r="AF104" s="319"/>
      <c r="AG104" s="319"/>
      <c r="AH104" s="319" t="s">
        <v>144</v>
      </c>
      <c r="AI104" s="319"/>
      <c r="AJ104" s="295">
        <v>102</v>
      </c>
      <c r="AK104" s="380"/>
    </row>
    <row r="105" spans="1:37" ht="88.2" hidden="1" customHeight="1">
      <c r="A105" s="354"/>
      <c r="B105" s="354"/>
      <c r="C105" s="355"/>
      <c r="D105" s="355"/>
      <c r="E105" s="356"/>
      <c r="F105" s="357"/>
      <c r="G105" s="357"/>
      <c r="H105" s="358"/>
      <c r="I105" s="359"/>
      <c r="J105" s="359"/>
      <c r="K105" s="359"/>
      <c r="L105" s="359"/>
      <c r="M105" s="358"/>
      <c r="N105" s="359"/>
      <c r="O105" s="257"/>
      <c r="P105" s="360"/>
      <c r="Q105" s="360"/>
      <c r="R105" s="358"/>
      <c r="S105" s="359"/>
      <c r="T105" s="359"/>
      <c r="U105" s="359"/>
      <c r="V105" s="361"/>
      <c r="W105" s="359"/>
      <c r="X105" s="362"/>
      <c r="Y105" s="354"/>
      <c r="Z105" s="354"/>
      <c r="AA105" s="354"/>
      <c r="AB105" s="354"/>
      <c r="AC105" s="330" t="s">
        <v>116</v>
      </c>
      <c r="AD105" s="330"/>
      <c r="AE105" s="330"/>
      <c r="AF105" s="330"/>
      <c r="AG105" s="330"/>
      <c r="AH105" s="330" t="s">
        <v>144</v>
      </c>
      <c r="AI105" s="330"/>
      <c r="AJ105" s="363"/>
      <c r="AK105" s="363"/>
    </row>
    <row r="106" spans="1:37" ht="73.2" hidden="1" customHeight="1">
      <c r="A106" s="354"/>
      <c r="B106" s="354"/>
      <c r="C106" s="355"/>
      <c r="D106" s="355"/>
      <c r="E106" s="356"/>
      <c r="F106" s="357"/>
      <c r="G106" s="357"/>
      <c r="H106" s="358"/>
      <c r="I106" s="359"/>
      <c r="J106" s="257"/>
      <c r="K106" s="359"/>
      <c r="L106" s="359"/>
      <c r="M106" s="358"/>
      <c r="N106" s="359"/>
      <c r="O106" s="257"/>
      <c r="P106" s="360"/>
      <c r="Q106" s="360"/>
      <c r="R106" s="358"/>
      <c r="S106" s="359"/>
      <c r="T106" s="364"/>
      <c r="U106" s="359"/>
      <c r="V106" s="361"/>
      <c r="W106" s="359"/>
      <c r="X106" s="362"/>
      <c r="Y106" s="354"/>
      <c r="Z106" s="354"/>
      <c r="AA106" s="354"/>
      <c r="AB106" s="354"/>
      <c r="AC106" s="330" t="s">
        <v>137</v>
      </c>
      <c r="AD106" s="330" t="s">
        <v>116</v>
      </c>
      <c r="AE106" s="330"/>
      <c r="AF106" s="330"/>
      <c r="AG106" s="330"/>
      <c r="AH106" s="330" t="s">
        <v>144</v>
      </c>
      <c r="AI106" s="330" t="s">
        <v>144</v>
      </c>
      <c r="AJ106" s="363"/>
      <c r="AK106" s="363"/>
    </row>
    <row r="107" spans="1:37" ht="73.2" hidden="1" customHeight="1">
      <c r="A107" s="354"/>
      <c r="B107" s="354"/>
      <c r="C107" s="355"/>
      <c r="D107" s="355"/>
      <c r="E107" s="356"/>
      <c r="F107" s="365"/>
      <c r="G107" s="357"/>
      <c r="H107" s="358"/>
      <c r="I107" s="359"/>
      <c r="J107" s="257"/>
      <c r="K107" s="257"/>
      <c r="L107" s="257"/>
      <c r="M107" s="358"/>
      <c r="N107" s="257"/>
      <c r="O107" s="360"/>
      <c r="P107" s="360"/>
      <c r="Q107" s="360"/>
      <c r="R107" s="358"/>
      <c r="S107" s="257"/>
      <c r="T107" s="257"/>
      <c r="U107" s="257"/>
      <c r="V107" s="361"/>
      <c r="W107" s="257"/>
      <c r="X107" s="362"/>
      <c r="Y107" s="354"/>
      <c r="Z107" s="354"/>
      <c r="AA107" s="354"/>
      <c r="AB107" s="354"/>
      <c r="AC107" s="330" t="s">
        <v>137</v>
      </c>
      <c r="AD107" s="330" t="s">
        <v>116</v>
      </c>
      <c r="AE107" s="330"/>
      <c r="AF107" s="330"/>
      <c r="AG107" s="330"/>
      <c r="AH107" s="330" t="s">
        <v>144</v>
      </c>
      <c r="AI107" s="330" t="s">
        <v>144</v>
      </c>
      <c r="AJ107" s="363"/>
      <c r="AK107" s="363"/>
    </row>
    <row r="108" spans="1:37" ht="73.2" hidden="1" customHeight="1">
      <c r="A108" s="354"/>
      <c r="B108" s="354"/>
      <c r="C108" s="355"/>
      <c r="D108" s="355"/>
      <c r="E108" s="356"/>
      <c r="F108" s="357"/>
      <c r="G108" s="357"/>
      <c r="H108" s="358"/>
      <c r="I108" s="359"/>
      <c r="J108" s="359"/>
      <c r="K108" s="359"/>
      <c r="L108" s="359"/>
      <c r="M108" s="358"/>
      <c r="N108" s="359"/>
      <c r="O108" s="360"/>
      <c r="P108" s="360"/>
      <c r="Q108" s="360"/>
      <c r="R108" s="358"/>
      <c r="S108" s="359"/>
      <c r="T108" s="359"/>
      <c r="U108" s="359"/>
      <c r="V108" s="361"/>
      <c r="W108" s="359"/>
      <c r="X108" s="366"/>
      <c r="Y108" s="354"/>
      <c r="Z108" s="354"/>
      <c r="AA108" s="354"/>
      <c r="AB108" s="354"/>
      <c r="AC108" s="330" t="s">
        <v>137</v>
      </c>
      <c r="AD108" s="330" t="s">
        <v>116</v>
      </c>
      <c r="AE108" s="330"/>
      <c r="AF108" s="330"/>
      <c r="AG108" s="330"/>
      <c r="AH108" s="330" t="s">
        <v>144</v>
      </c>
      <c r="AI108" s="330" t="s">
        <v>144</v>
      </c>
      <c r="AJ108" s="363"/>
      <c r="AK108" s="363"/>
    </row>
    <row r="109" spans="1:37" ht="73.2" hidden="1" customHeight="1">
      <c r="A109" s="354"/>
      <c r="B109" s="354"/>
      <c r="C109" s="355"/>
      <c r="D109" s="355"/>
      <c r="E109" s="356"/>
      <c r="F109" s="357"/>
      <c r="G109" s="357"/>
      <c r="H109" s="358"/>
      <c r="I109" s="359"/>
      <c r="J109" s="359"/>
      <c r="K109" s="359"/>
      <c r="L109" s="359"/>
      <c r="M109" s="358"/>
      <c r="N109" s="359"/>
      <c r="O109" s="360"/>
      <c r="P109" s="360"/>
      <c r="Q109" s="360"/>
      <c r="R109" s="358"/>
      <c r="S109" s="359"/>
      <c r="T109" s="359"/>
      <c r="U109" s="358"/>
      <c r="V109" s="361"/>
      <c r="W109" s="359"/>
      <c r="X109" s="366"/>
      <c r="Y109" s="354"/>
      <c r="Z109" s="354"/>
      <c r="AA109" s="354"/>
      <c r="AB109" s="354"/>
      <c r="AC109" s="330" t="s">
        <v>137</v>
      </c>
      <c r="AD109" s="330" t="s">
        <v>116</v>
      </c>
      <c r="AE109" s="330"/>
      <c r="AF109" s="330"/>
      <c r="AG109" s="330"/>
      <c r="AH109" s="330" t="s">
        <v>144</v>
      </c>
      <c r="AI109" s="330" t="s">
        <v>144</v>
      </c>
      <c r="AJ109" s="363"/>
      <c r="AK109" s="363"/>
    </row>
    <row r="110" spans="1:37" ht="73.2" hidden="1" customHeight="1">
      <c r="A110" s="354"/>
      <c r="B110" s="354"/>
      <c r="C110" s="355"/>
      <c r="D110" s="355"/>
      <c r="E110" s="356"/>
      <c r="F110" s="367"/>
      <c r="G110" s="357"/>
      <c r="H110" s="358"/>
      <c r="I110" s="359"/>
      <c r="J110" s="257"/>
      <c r="K110" s="368"/>
      <c r="L110" s="257"/>
      <c r="M110" s="358"/>
      <c r="N110" s="257"/>
      <c r="O110" s="360"/>
      <c r="P110" s="360"/>
      <c r="Q110" s="360"/>
      <c r="R110" s="358"/>
      <c r="S110" s="257"/>
      <c r="T110" s="368"/>
      <c r="U110" s="369"/>
      <c r="V110" s="361"/>
      <c r="W110" s="257"/>
      <c r="X110" s="362"/>
      <c r="Y110" s="354"/>
      <c r="Z110" s="354"/>
      <c r="AA110" s="354"/>
      <c r="AB110" s="354"/>
      <c r="AC110" s="330" t="s">
        <v>137</v>
      </c>
      <c r="AD110" s="330"/>
      <c r="AE110" s="330"/>
      <c r="AF110" s="330"/>
      <c r="AG110" s="330"/>
      <c r="AH110" s="330"/>
      <c r="AI110" s="330" t="s">
        <v>144</v>
      </c>
      <c r="AJ110" s="363"/>
      <c r="AK110" s="363"/>
    </row>
    <row r="111" spans="1:37" ht="104.4" hidden="1" customHeight="1">
      <c r="A111" s="354"/>
      <c r="B111" s="354"/>
      <c r="C111" s="355"/>
      <c r="D111" s="355"/>
      <c r="E111" s="356"/>
      <c r="F111" s="367"/>
      <c r="G111" s="367"/>
      <c r="H111" s="358"/>
      <c r="I111" s="359"/>
      <c r="J111" s="368"/>
      <c r="K111" s="368"/>
      <c r="L111" s="367"/>
      <c r="M111" s="358"/>
      <c r="N111" s="359"/>
      <c r="O111" s="360"/>
      <c r="P111" s="360"/>
      <c r="Q111" s="360"/>
      <c r="R111" s="358"/>
      <c r="S111" s="257"/>
      <c r="T111" s="368"/>
      <c r="U111" s="369"/>
      <c r="V111" s="361"/>
      <c r="W111" s="257"/>
      <c r="X111" s="362"/>
      <c r="Y111" s="354"/>
      <c r="Z111" s="354"/>
      <c r="AA111" s="354"/>
      <c r="AB111" s="354"/>
      <c r="AC111" s="330" t="s">
        <v>137</v>
      </c>
      <c r="AD111" s="330"/>
      <c r="AE111" s="330"/>
      <c r="AF111" s="330"/>
      <c r="AG111" s="330"/>
      <c r="AH111" s="330"/>
      <c r="AI111" s="330" t="s">
        <v>144</v>
      </c>
      <c r="AJ111" s="363"/>
      <c r="AK111" s="363"/>
    </row>
    <row r="112" spans="1:37" ht="70.2" hidden="1" customHeight="1">
      <c r="A112" s="354"/>
      <c r="B112" s="354"/>
      <c r="C112" s="355"/>
      <c r="D112" s="355"/>
      <c r="E112" s="356"/>
      <c r="F112" s="367"/>
      <c r="G112" s="367"/>
      <c r="H112" s="358"/>
      <c r="I112" s="359"/>
      <c r="J112" s="368"/>
      <c r="K112" s="368"/>
      <c r="L112" s="257"/>
      <c r="M112" s="358"/>
      <c r="N112" s="257"/>
      <c r="O112" s="360"/>
      <c r="P112" s="360"/>
      <c r="Q112" s="360"/>
      <c r="R112" s="358"/>
      <c r="S112" s="257"/>
      <c r="T112" s="368"/>
      <c r="U112" s="369"/>
      <c r="V112" s="361"/>
      <c r="W112" s="257"/>
      <c r="X112" s="366"/>
      <c r="Y112" s="354"/>
      <c r="Z112" s="354"/>
      <c r="AA112" s="354"/>
      <c r="AB112" s="354"/>
      <c r="AC112" s="330" t="s">
        <v>137</v>
      </c>
      <c r="AD112" s="330"/>
      <c r="AE112" s="330"/>
      <c r="AF112" s="330"/>
      <c r="AG112" s="330"/>
      <c r="AH112" s="330"/>
      <c r="AI112" s="330" t="s">
        <v>144</v>
      </c>
      <c r="AJ112" s="363"/>
      <c r="AK112" s="363"/>
    </row>
    <row r="113" spans="1:37" ht="66" hidden="1" customHeight="1">
      <c r="A113" s="354"/>
      <c r="B113" s="354"/>
      <c r="C113" s="355"/>
      <c r="D113" s="355"/>
      <c r="E113" s="356"/>
      <c r="F113" s="367"/>
      <c r="G113" s="367"/>
      <c r="H113" s="358"/>
      <c r="I113" s="359"/>
      <c r="J113" s="368"/>
      <c r="K113" s="368"/>
      <c r="L113" s="257"/>
      <c r="M113" s="358"/>
      <c r="N113" s="257"/>
      <c r="O113" s="360"/>
      <c r="P113" s="360"/>
      <c r="Q113" s="360"/>
      <c r="R113" s="358"/>
      <c r="S113" s="257"/>
      <c r="T113" s="368"/>
      <c r="U113" s="369"/>
      <c r="V113" s="361"/>
      <c r="W113" s="257"/>
      <c r="X113" s="366"/>
      <c r="Y113" s="354"/>
      <c r="Z113" s="354"/>
      <c r="AA113" s="354"/>
      <c r="AB113" s="354"/>
      <c r="AC113" s="330" t="s">
        <v>137</v>
      </c>
      <c r="AD113" s="330"/>
      <c r="AE113" s="330"/>
      <c r="AF113" s="330"/>
      <c r="AG113" s="330"/>
      <c r="AH113" s="330"/>
      <c r="AI113" s="330" t="s">
        <v>144</v>
      </c>
      <c r="AJ113" s="363"/>
      <c r="AK113" s="363"/>
    </row>
    <row r="114" spans="1:37" ht="73.2" hidden="1" customHeight="1">
      <c r="A114" s="354"/>
      <c r="B114" s="354"/>
      <c r="C114" s="355"/>
      <c r="D114" s="355"/>
      <c r="E114" s="356"/>
      <c r="F114" s="357"/>
      <c r="G114" s="357"/>
      <c r="H114" s="358"/>
      <c r="I114" s="359"/>
      <c r="J114" s="359"/>
      <c r="K114" s="359"/>
      <c r="L114" s="359"/>
      <c r="M114" s="358"/>
      <c r="N114" s="359"/>
      <c r="O114" s="360"/>
      <c r="P114" s="360"/>
      <c r="Q114" s="360"/>
      <c r="R114" s="358"/>
      <c r="S114" s="359"/>
      <c r="T114" s="359"/>
      <c r="U114" s="359"/>
      <c r="V114" s="361"/>
      <c r="W114" s="359"/>
      <c r="X114" s="362"/>
      <c r="Y114" s="354"/>
      <c r="Z114" s="354"/>
      <c r="AA114" s="354"/>
      <c r="AB114" s="354"/>
      <c r="AC114" s="330" t="s">
        <v>116</v>
      </c>
      <c r="AD114" s="330"/>
      <c r="AE114" s="330"/>
      <c r="AF114" s="330"/>
      <c r="AG114" s="330"/>
      <c r="AH114" s="330" t="s">
        <v>144</v>
      </c>
      <c r="AI114" s="330"/>
      <c r="AJ114" s="363"/>
      <c r="AK114" s="363"/>
    </row>
    <row r="115" spans="1:37" ht="73.2" hidden="1" customHeight="1">
      <c r="A115" s="354"/>
      <c r="B115" s="354"/>
      <c r="C115" s="355"/>
      <c r="D115" s="355"/>
      <c r="E115" s="356"/>
      <c r="F115" s="357"/>
      <c r="G115" s="357"/>
      <c r="H115" s="358"/>
      <c r="I115" s="359"/>
      <c r="J115" s="359"/>
      <c r="K115" s="359"/>
      <c r="L115" s="359"/>
      <c r="M115" s="358"/>
      <c r="N115" s="359"/>
      <c r="O115" s="360"/>
      <c r="P115" s="360"/>
      <c r="Q115" s="360"/>
      <c r="R115" s="358"/>
      <c r="S115" s="359"/>
      <c r="T115" s="359"/>
      <c r="U115" s="359"/>
      <c r="V115" s="361"/>
      <c r="W115" s="359"/>
      <c r="X115" s="362"/>
      <c r="Y115" s="354"/>
      <c r="Z115" s="354"/>
      <c r="AA115" s="354"/>
      <c r="AB115" s="354"/>
      <c r="AC115" s="330" t="s">
        <v>137</v>
      </c>
      <c r="AD115" s="330"/>
      <c r="AE115" s="330"/>
      <c r="AF115" s="330"/>
      <c r="AG115" s="330"/>
      <c r="AH115" s="330"/>
      <c r="AI115" s="330" t="s">
        <v>144</v>
      </c>
      <c r="AJ115" s="363"/>
      <c r="AK115" s="363"/>
    </row>
    <row r="116" spans="1:37" ht="73.2" hidden="1" customHeight="1">
      <c r="A116" s="354"/>
      <c r="B116" s="354"/>
      <c r="C116" s="355"/>
      <c r="D116" s="355"/>
      <c r="E116" s="356"/>
      <c r="F116" s="357"/>
      <c r="G116" s="357"/>
      <c r="H116" s="358"/>
      <c r="I116" s="359"/>
      <c r="J116" s="359"/>
      <c r="K116" s="359"/>
      <c r="L116" s="359"/>
      <c r="M116" s="358"/>
      <c r="N116" s="359"/>
      <c r="O116" s="360"/>
      <c r="P116" s="360"/>
      <c r="Q116" s="360"/>
      <c r="R116" s="358"/>
      <c r="S116" s="359"/>
      <c r="T116" s="359"/>
      <c r="U116" s="359"/>
      <c r="V116" s="361"/>
      <c r="W116" s="359"/>
      <c r="X116" s="362"/>
      <c r="Y116" s="354"/>
      <c r="Z116" s="354"/>
      <c r="AA116" s="354"/>
      <c r="AB116" s="354"/>
      <c r="AC116" s="330" t="s">
        <v>137</v>
      </c>
      <c r="AD116" s="330"/>
      <c r="AE116" s="330"/>
      <c r="AF116" s="330"/>
      <c r="AG116" s="330"/>
      <c r="AH116" s="330"/>
      <c r="AI116" s="330" t="s">
        <v>144</v>
      </c>
      <c r="AJ116" s="363"/>
      <c r="AK116" s="363"/>
    </row>
    <row r="117" spans="1:37" ht="73.2" hidden="1" customHeight="1">
      <c r="A117" s="354"/>
      <c r="B117" s="354"/>
      <c r="C117" s="355"/>
      <c r="D117" s="355"/>
      <c r="E117" s="356"/>
      <c r="F117" s="370"/>
      <c r="G117" s="371"/>
      <c r="H117" s="358"/>
      <c r="I117" s="359"/>
      <c r="J117" s="359"/>
      <c r="K117" s="359"/>
      <c r="L117" s="359"/>
      <c r="M117" s="358"/>
      <c r="N117" s="359"/>
      <c r="O117" s="360"/>
      <c r="P117" s="360"/>
      <c r="Q117" s="360"/>
      <c r="R117" s="358"/>
      <c r="S117" s="359"/>
      <c r="T117" s="359"/>
      <c r="U117" s="359"/>
      <c r="V117" s="361"/>
      <c r="W117" s="359"/>
      <c r="X117" s="366"/>
      <c r="Y117" s="354"/>
      <c r="Z117" s="354"/>
      <c r="AA117" s="354"/>
      <c r="AB117" s="354"/>
      <c r="AC117" s="330" t="s">
        <v>137</v>
      </c>
      <c r="AD117" s="330"/>
      <c r="AE117" s="330"/>
      <c r="AF117" s="330"/>
      <c r="AG117" s="330"/>
      <c r="AH117" s="330"/>
      <c r="AI117" s="330" t="s">
        <v>144</v>
      </c>
      <c r="AJ117" s="363"/>
      <c r="AK117" s="363"/>
    </row>
    <row r="118" spans="1:37" ht="73.2" hidden="1" customHeight="1">
      <c r="A118" s="354"/>
      <c r="B118" s="354"/>
      <c r="C118" s="355"/>
      <c r="D118" s="355"/>
      <c r="E118" s="356"/>
      <c r="F118" s="370"/>
      <c r="G118" s="357"/>
      <c r="H118" s="358"/>
      <c r="I118" s="359"/>
      <c r="J118" s="359"/>
      <c r="K118" s="359"/>
      <c r="L118" s="359"/>
      <c r="M118" s="358"/>
      <c r="N118" s="359"/>
      <c r="O118" s="360"/>
      <c r="P118" s="360"/>
      <c r="Q118" s="360"/>
      <c r="R118" s="358"/>
      <c r="S118" s="359"/>
      <c r="T118" s="359"/>
      <c r="U118" s="359"/>
      <c r="V118" s="361"/>
      <c r="W118" s="359"/>
      <c r="X118" s="366"/>
      <c r="Y118" s="354"/>
      <c r="Z118" s="354"/>
      <c r="AA118" s="354"/>
      <c r="AB118" s="354"/>
      <c r="AC118" s="330" t="s">
        <v>137</v>
      </c>
      <c r="AD118" s="330"/>
      <c r="AE118" s="330"/>
      <c r="AF118" s="330"/>
      <c r="AG118" s="330"/>
      <c r="AH118" s="330"/>
      <c r="AI118" s="330" t="s">
        <v>144</v>
      </c>
      <c r="AJ118" s="363"/>
      <c r="AK118" s="363"/>
    </row>
    <row r="119" spans="1:37" ht="73.2" hidden="1" customHeight="1">
      <c r="A119" s="354"/>
      <c r="B119" s="354"/>
      <c r="C119" s="355"/>
      <c r="D119" s="355"/>
      <c r="E119" s="356"/>
      <c r="F119" s="357"/>
      <c r="G119" s="357"/>
      <c r="H119" s="358"/>
      <c r="I119" s="359"/>
      <c r="J119" s="359"/>
      <c r="K119" s="359"/>
      <c r="L119" s="359"/>
      <c r="M119" s="358"/>
      <c r="N119" s="359"/>
      <c r="O119" s="360"/>
      <c r="P119" s="360"/>
      <c r="Q119" s="360"/>
      <c r="R119" s="358"/>
      <c r="S119" s="359"/>
      <c r="T119" s="359"/>
      <c r="U119" s="359"/>
      <c r="V119" s="361"/>
      <c r="W119" s="359"/>
      <c r="X119" s="366"/>
      <c r="Y119" s="354"/>
      <c r="Z119" s="354"/>
      <c r="AA119" s="354"/>
      <c r="AB119" s="354"/>
      <c r="AC119" s="330" t="s">
        <v>137</v>
      </c>
      <c r="AD119" s="330"/>
      <c r="AE119" s="330"/>
      <c r="AF119" s="330"/>
      <c r="AG119" s="330"/>
      <c r="AH119" s="330"/>
      <c r="AI119" s="330" t="s">
        <v>144</v>
      </c>
      <c r="AJ119" s="363"/>
      <c r="AK119" s="363"/>
    </row>
    <row r="120" spans="1:37" ht="73.2" hidden="1" customHeight="1">
      <c r="A120" s="354"/>
      <c r="B120" s="354"/>
      <c r="C120" s="355"/>
      <c r="D120" s="355"/>
      <c r="E120" s="356"/>
      <c r="F120" s="365"/>
      <c r="G120" s="365"/>
      <c r="H120" s="358"/>
      <c r="I120" s="359"/>
      <c r="J120" s="359"/>
      <c r="K120" s="359"/>
      <c r="L120" s="359"/>
      <c r="M120" s="358"/>
      <c r="N120" s="359"/>
      <c r="O120" s="360"/>
      <c r="P120" s="360"/>
      <c r="Q120" s="360"/>
      <c r="R120" s="358"/>
      <c r="S120" s="359"/>
      <c r="T120" s="359"/>
      <c r="U120" s="359"/>
      <c r="V120" s="361"/>
      <c r="W120" s="359"/>
      <c r="X120" s="366"/>
      <c r="Y120" s="354"/>
      <c r="Z120" s="354"/>
      <c r="AA120" s="354"/>
      <c r="AB120" s="354"/>
      <c r="AC120" s="330" t="s">
        <v>137</v>
      </c>
      <c r="AD120" s="330"/>
      <c r="AE120" s="330"/>
      <c r="AF120" s="330"/>
      <c r="AG120" s="330"/>
      <c r="AH120" s="330"/>
      <c r="AI120" s="330" t="s">
        <v>144</v>
      </c>
      <c r="AJ120" s="363"/>
      <c r="AK120" s="363"/>
    </row>
    <row r="121" spans="1:37" ht="73.2" hidden="1" customHeight="1">
      <c r="A121" s="354"/>
      <c r="B121" s="354"/>
      <c r="C121" s="355"/>
      <c r="D121" s="355"/>
      <c r="E121" s="356"/>
      <c r="F121" s="365"/>
      <c r="G121" s="365"/>
      <c r="H121" s="358"/>
      <c r="I121" s="359"/>
      <c r="J121" s="359"/>
      <c r="K121" s="359"/>
      <c r="L121" s="359"/>
      <c r="M121" s="358"/>
      <c r="N121" s="359"/>
      <c r="O121" s="360"/>
      <c r="P121" s="360"/>
      <c r="Q121" s="360"/>
      <c r="R121" s="358"/>
      <c r="S121" s="359"/>
      <c r="T121" s="359"/>
      <c r="U121" s="359"/>
      <c r="V121" s="361"/>
      <c r="W121" s="359"/>
      <c r="X121" s="366"/>
      <c r="Y121" s="354"/>
      <c r="Z121" s="354"/>
      <c r="AA121" s="354"/>
      <c r="AB121" s="354"/>
      <c r="AC121" s="330" t="s">
        <v>137</v>
      </c>
      <c r="AD121" s="330"/>
      <c r="AE121" s="330"/>
      <c r="AF121" s="330"/>
      <c r="AG121" s="330"/>
      <c r="AH121" s="330"/>
      <c r="AI121" s="330" t="s">
        <v>144</v>
      </c>
      <c r="AJ121" s="363"/>
      <c r="AK121" s="363"/>
    </row>
    <row r="122" spans="1:37" ht="73.2" hidden="1" customHeight="1">
      <c r="A122" s="354"/>
      <c r="B122" s="354"/>
      <c r="C122" s="355"/>
      <c r="D122" s="355"/>
      <c r="E122" s="356"/>
      <c r="F122" s="365"/>
      <c r="G122" s="365"/>
      <c r="H122" s="358"/>
      <c r="I122" s="359"/>
      <c r="J122" s="359"/>
      <c r="K122" s="359"/>
      <c r="L122" s="359"/>
      <c r="M122" s="358"/>
      <c r="N122" s="359"/>
      <c r="O122" s="360"/>
      <c r="P122" s="360"/>
      <c r="Q122" s="360"/>
      <c r="R122" s="358"/>
      <c r="S122" s="359"/>
      <c r="T122" s="359"/>
      <c r="U122" s="359"/>
      <c r="V122" s="361"/>
      <c r="W122" s="359"/>
      <c r="X122" s="366"/>
      <c r="Y122" s="354"/>
      <c r="Z122" s="354"/>
      <c r="AA122" s="354"/>
      <c r="AB122" s="354"/>
      <c r="AC122" s="330" t="s">
        <v>137</v>
      </c>
      <c r="AD122" s="330"/>
      <c r="AE122" s="330"/>
      <c r="AF122" s="330"/>
      <c r="AG122" s="330"/>
      <c r="AH122" s="330"/>
      <c r="AI122" s="330" t="s">
        <v>144</v>
      </c>
      <c r="AJ122" s="363"/>
      <c r="AK122" s="363"/>
    </row>
    <row r="123" spans="1:37" ht="73.2" hidden="1" customHeight="1">
      <c r="A123" s="354"/>
      <c r="B123" s="354"/>
      <c r="C123" s="355"/>
      <c r="D123" s="355"/>
      <c r="E123" s="356"/>
      <c r="F123" s="372"/>
      <c r="G123" s="365"/>
      <c r="H123" s="358"/>
      <c r="I123" s="359"/>
      <c r="J123" s="359"/>
      <c r="K123" s="359"/>
      <c r="L123" s="359"/>
      <c r="M123" s="358"/>
      <c r="N123" s="359"/>
      <c r="O123" s="360"/>
      <c r="P123" s="360"/>
      <c r="Q123" s="360"/>
      <c r="R123" s="358"/>
      <c r="S123" s="359"/>
      <c r="T123" s="359"/>
      <c r="U123" s="359"/>
      <c r="V123" s="361"/>
      <c r="W123" s="359"/>
      <c r="X123" s="362"/>
      <c r="Y123" s="354"/>
      <c r="Z123" s="354"/>
      <c r="AA123" s="354"/>
      <c r="AB123" s="354"/>
      <c r="AC123" s="330" t="s">
        <v>137</v>
      </c>
      <c r="AD123" s="330"/>
      <c r="AE123" s="330"/>
      <c r="AF123" s="330"/>
      <c r="AG123" s="330"/>
      <c r="AH123" s="330"/>
      <c r="AI123" s="330" t="s">
        <v>144</v>
      </c>
      <c r="AJ123" s="363"/>
      <c r="AK123" s="363"/>
    </row>
    <row r="124" spans="1:37" ht="73.2" hidden="1" customHeight="1">
      <c r="A124" s="354"/>
      <c r="B124" s="354"/>
      <c r="C124" s="355"/>
      <c r="D124" s="355"/>
      <c r="E124" s="356"/>
      <c r="F124" s="357"/>
      <c r="G124" s="365"/>
      <c r="H124" s="358"/>
      <c r="I124" s="359"/>
      <c r="J124" s="359"/>
      <c r="K124" s="359"/>
      <c r="L124" s="359"/>
      <c r="M124" s="358"/>
      <c r="N124" s="359"/>
      <c r="O124" s="360"/>
      <c r="P124" s="360"/>
      <c r="Q124" s="360"/>
      <c r="R124" s="358"/>
      <c r="S124" s="359"/>
      <c r="T124" s="359"/>
      <c r="U124" s="359"/>
      <c r="V124" s="361"/>
      <c r="W124" s="359"/>
      <c r="X124" s="362"/>
      <c r="Y124" s="354"/>
      <c r="Z124" s="354"/>
      <c r="AA124" s="354"/>
      <c r="AB124" s="354"/>
      <c r="AC124" s="330" t="s">
        <v>137</v>
      </c>
      <c r="AD124" s="330"/>
      <c r="AE124" s="330"/>
      <c r="AF124" s="330"/>
      <c r="AG124" s="330"/>
      <c r="AH124" s="330"/>
      <c r="AI124" s="330" t="s">
        <v>144</v>
      </c>
      <c r="AJ124" s="363"/>
      <c r="AK124" s="363"/>
    </row>
    <row r="125" spans="1:37" ht="73.2" hidden="1" customHeight="1">
      <c r="A125" s="354"/>
      <c r="B125" s="354"/>
      <c r="C125" s="355"/>
      <c r="D125" s="355"/>
      <c r="E125" s="356"/>
      <c r="F125" s="357"/>
      <c r="G125" s="357"/>
      <c r="H125" s="358"/>
      <c r="I125" s="359"/>
      <c r="J125" s="359"/>
      <c r="K125" s="359"/>
      <c r="L125" s="359"/>
      <c r="M125" s="358"/>
      <c r="N125" s="359"/>
      <c r="O125" s="360"/>
      <c r="P125" s="360"/>
      <c r="Q125" s="360"/>
      <c r="R125" s="358"/>
      <c r="S125" s="359"/>
      <c r="T125" s="359"/>
      <c r="U125" s="359"/>
      <c r="V125" s="361"/>
      <c r="W125" s="359"/>
      <c r="X125" s="362"/>
      <c r="Y125" s="354"/>
      <c r="Z125" s="354"/>
      <c r="AA125" s="354"/>
      <c r="AB125" s="354"/>
      <c r="AC125" s="330" t="s">
        <v>137</v>
      </c>
      <c r="AD125" s="330"/>
      <c r="AE125" s="330"/>
      <c r="AF125" s="330"/>
      <c r="AG125" s="330"/>
      <c r="AH125" s="330"/>
      <c r="AI125" s="330" t="s">
        <v>144</v>
      </c>
      <c r="AJ125" s="363"/>
      <c r="AK125" s="363"/>
    </row>
    <row r="126" spans="1:37" ht="73.2" hidden="1" customHeight="1">
      <c r="A126" s="354"/>
      <c r="B126" s="354"/>
      <c r="C126" s="355"/>
      <c r="D126" s="355"/>
      <c r="E126" s="356"/>
      <c r="F126" s="357"/>
      <c r="G126" s="357"/>
      <c r="H126" s="358"/>
      <c r="I126" s="359"/>
      <c r="J126" s="359"/>
      <c r="K126" s="359"/>
      <c r="L126" s="359"/>
      <c r="M126" s="358"/>
      <c r="N126" s="359"/>
      <c r="O126" s="360"/>
      <c r="P126" s="360"/>
      <c r="Q126" s="360"/>
      <c r="R126" s="358"/>
      <c r="S126" s="359"/>
      <c r="T126" s="359"/>
      <c r="U126" s="359"/>
      <c r="V126" s="361"/>
      <c r="W126" s="359"/>
      <c r="X126" s="366"/>
      <c r="Y126" s="354"/>
      <c r="Z126" s="354"/>
      <c r="AA126" s="354"/>
      <c r="AB126" s="354"/>
      <c r="AC126" s="330" t="s">
        <v>137</v>
      </c>
      <c r="AD126" s="330"/>
      <c r="AE126" s="330"/>
      <c r="AF126" s="330"/>
      <c r="AG126" s="330"/>
      <c r="AH126" s="330"/>
      <c r="AI126" s="330" t="s">
        <v>144</v>
      </c>
      <c r="AJ126" s="363"/>
      <c r="AK126" s="363"/>
    </row>
    <row r="127" spans="1:37" ht="73.2" hidden="1" customHeight="1">
      <c r="A127" s="354"/>
      <c r="B127" s="354"/>
      <c r="C127" s="355"/>
      <c r="D127" s="355"/>
      <c r="E127" s="356"/>
      <c r="F127" s="357"/>
      <c r="G127" s="357"/>
      <c r="H127" s="358"/>
      <c r="I127" s="359"/>
      <c r="J127" s="359"/>
      <c r="K127" s="359"/>
      <c r="L127" s="359"/>
      <c r="M127" s="358"/>
      <c r="N127" s="359"/>
      <c r="O127" s="360"/>
      <c r="P127" s="360"/>
      <c r="Q127" s="360"/>
      <c r="R127" s="358"/>
      <c r="S127" s="359"/>
      <c r="T127" s="359"/>
      <c r="U127" s="359"/>
      <c r="V127" s="361"/>
      <c r="W127" s="359"/>
      <c r="X127" s="362"/>
      <c r="Y127" s="354"/>
      <c r="Z127" s="354"/>
      <c r="AA127" s="354"/>
      <c r="AB127" s="354"/>
      <c r="AC127" s="330" t="s">
        <v>137</v>
      </c>
      <c r="AD127" s="330"/>
      <c r="AE127" s="330"/>
      <c r="AF127" s="330"/>
      <c r="AG127" s="330"/>
      <c r="AH127" s="330"/>
      <c r="AI127" s="330" t="s">
        <v>144</v>
      </c>
      <c r="AJ127" s="363"/>
      <c r="AK127" s="363"/>
    </row>
    <row r="128" spans="1:37" ht="73.2" hidden="1" customHeight="1">
      <c r="A128" s="354"/>
      <c r="B128" s="354"/>
      <c r="C128" s="355"/>
      <c r="D128" s="355"/>
      <c r="E128" s="356"/>
      <c r="F128" s="357"/>
      <c r="G128" s="357"/>
      <c r="H128" s="358"/>
      <c r="I128" s="359"/>
      <c r="J128" s="359"/>
      <c r="K128" s="359"/>
      <c r="L128" s="359"/>
      <c r="M128" s="358"/>
      <c r="N128" s="359"/>
      <c r="O128" s="360"/>
      <c r="P128" s="360"/>
      <c r="Q128" s="360"/>
      <c r="R128" s="358"/>
      <c r="S128" s="359"/>
      <c r="T128" s="359"/>
      <c r="U128" s="358"/>
      <c r="V128" s="361"/>
      <c r="W128" s="359"/>
      <c r="X128" s="362"/>
      <c r="Y128" s="354"/>
      <c r="Z128" s="354"/>
      <c r="AA128" s="354"/>
      <c r="AB128" s="354"/>
      <c r="AC128" s="330" t="s">
        <v>137</v>
      </c>
      <c r="AD128" s="330"/>
      <c r="AE128" s="330"/>
      <c r="AF128" s="330"/>
      <c r="AG128" s="330"/>
      <c r="AH128" s="330"/>
      <c r="AI128" s="330" t="s">
        <v>144</v>
      </c>
      <c r="AJ128" s="363"/>
      <c r="AK128" s="363"/>
    </row>
    <row r="129" spans="1:37" ht="73.2" hidden="1" customHeight="1">
      <c r="A129" s="354"/>
      <c r="B129" s="354"/>
      <c r="C129" s="355"/>
      <c r="D129" s="355"/>
      <c r="E129" s="356"/>
      <c r="F129" s="357"/>
      <c r="G129" s="357"/>
      <c r="H129" s="358"/>
      <c r="I129" s="359"/>
      <c r="J129" s="359"/>
      <c r="K129" s="358"/>
      <c r="L129" s="359"/>
      <c r="M129" s="358"/>
      <c r="N129" s="359"/>
      <c r="O129" s="360"/>
      <c r="P129" s="360"/>
      <c r="Q129" s="360"/>
      <c r="R129" s="358"/>
      <c r="S129" s="359"/>
      <c r="T129" s="359"/>
      <c r="U129" s="358"/>
      <c r="V129" s="361"/>
      <c r="W129" s="359"/>
      <c r="X129" s="366"/>
      <c r="Y129" s="354"/>
      <c r="Z129" s="354"/>
      <c r="AA129" s="354"/>
      <c r="AB129" s="354"/>
      <c r="AC129" s="330" t="s">
        <v>137</v>
      </c>
      <c r="AD129" s="330"/>
      <c r="AE129" s="330"/>
      <c r="AF129" s="330"/>
      <c r="AG129" s="330"/>
      <c r="AH129" s="330"/>
      <c r="AI129" s="330" t="s">
        <v>144</v>
      </c>
      <c r="AJ129" s="363"/>
      <c r="AK129" s="363"/>
    </row>
    <row r="130" spans="1:37" ht="73.2" hidden="1" customHeight="1">
      <c r="A130" s="354"/>
      <c r="B130" s="354"/>
      <c r="C130" s="355"/>
      <c r="D130" s="355"/>
      <c r="E130" s="373"/>
      <c r="F130" s="367"/>
      <c r="G130" s="357"/>
      <c r="H130" s="358"/>
      <c r="I130" s="359"/>
      <c r="J130" s="374"/>
      <c r="K130" s="359"/>
      <c r="L130" s="359"/>
      <c r="M130" s="358"/>
      <c r="N130" s="372"/>
      <c r="O130" s="360"/>
      <c r="P130" s="360"/>
      <c r="Q130" s="357"/>
      <c r="R130" s="358"/>
      <c r="S130" s="359"/>
      <c r="T130" s="368"/>
      <c r="U130" s="375"/>
      <c r="V130" s="361"/>
      <c r="W130" s="357"/>
      <c r="X130" s="362"/>
      <c r="Y130" s="354"/>
      <c r="Z130" s="354"/>
      <c r="AA130" s="354"/>
      <c r="AB130" s="354"/>
      <c r="AC130" s="330" t="s">
        <v>137</v>
      </c>
      <c r="AD130" s="330"/>
      <c r="AE130" s="330"/>
      <c r="AF130" s="330"/>
      <c r="AG130" s="330"/>
      <c r="AH130" s="330"/>
      <c r="AI130" s="330" t="s">
        <v>144</v>
      </c>
      <c r="AJ130" s="363"/>
      <c r="AK130" s="363"/>
    </row>
    <row r="131" spans="1:37" ht="73.2" hidden="1" customHeight="1">
      <c r="A131" s="354"/>
      <c r="B131" s="354"/>
      <c r="C131" s="355"/>
      <c r="D131" s="355"/>
      <c r="E131" s="356"/>
      <c r="F131" s="357"/>
      <c r="G131" s="357"/>
      <c r="H131" s="358"/>
      <c r="I131" s="359"/>
      <c r="J131" s="257"/>
      <c r="K131" s="257"/>
      <c r="L131" s="257"/>
      <c r="M131" s="358"/>
      <c r="N131" s="257"/>
      <c r="O131" s="360"/>
      <c r="P131" s="360"/>
      <c r="Q131" s="360"/>
      <c r="R131" s="358"/>
      <c r="S131" s="257"/>
      <c r="T131" s="257"/>
      <c r="U131" s="257"/>
      <c r="V131" s="361"/>
      <c r="W131" s="257"/>
      <c r="X131" s="366"/>
      <c r="Y131" s="354"/>
      <c r="Z131" s="354"/>
      <c r="AA131" s="354"/>
      <c r="AB131" s="354"/>
      <c r="AC131" s="330" t="s">
        <v>137</v>
      </c>
      <c r="AD131" s="330"/>
      <c r="AE131" s="330"/>
      <c r="AF131" s="330"/>
      <c r="AG131" s="330"/>
      <c r="AH131" s="330"/>
      <c r="AI131" s="330" t="s">
        <v>144</v>
      </c>
      <c r="AJ131" s="363"/>
      <c r="AK131" s="363"/>
    </row>
    <row r="132" spans="1:37" ht="73.2" hidden="1" customHeight="1">
      <c r="A132" s="354"/>
      <c r="B132" s="354"/>
      <c r="C132" s="355"/>
      <c r="D132" s="355"/>
      <c r="E132" s="356"/>
      <c r="F132" s="357"/>
      <c r="G132" s="357"/>
      <c r="H132" s="358"/>
      <c r="I132" s="359"/>
      <c r="J132" s="257"/>
      <c r="K132" s="257"/>
      <c r="L132" s="257"/>
      <c r="M132" s="358"/>
      <c r="N132" s="257"/>
      <c r="O132" s="360"/>
      <c r="P132" s="360"/>
      <c r="Q132" s="360"/>
      <c r="R132" s="358"/>
      <c r="S132" s="257"/>
      <c r="T132" s="257"/>
      <c r="U132" s="257"/>
      <c r="V132" s="361"/>
      <c r="W132" s="257"/>
      <c r="X132" s="366"/>
      <c r="Y132" s="354"/>
      <c r="Z132" s="354"/>
      <c r="AA132" s="354"/>
      <c r="AB132" s="354"/>
      <c r="AC132" s="330" t="s">
        <v>137</v>
      </c>
      <c r="AD132" s="330"/>
      <c r="AE132" s="330"/>
      <c r="AF132" s="330"/>
      <c r="AG132" s="330"/>
      <c r="AH132" s="330"/>
      <c r="AI132" s="330" t="s">
        <v>144</v>
      </c>
      <c r="AJ132" s="363"/>
      <c r="AK132" s="363"/>
    </row>
    <row r="133" spans="1:37" ht="73.2" hidden="1" customHeight="1">
      <c r="A133" s="354"/>
      <c r="B133" s="354"/>
      <c r="C133" s="355"/>
      <c r="D133" s="355"/>
      <c r="E133" s="356"/>
      <c r="F133" s="357"/>
      <c r="G133" s="357"/>
      <c r="H133" s="358"/>
      <c r="I133" s="359"/>
      <c r="J133" s="257"/>
      <c r="K133" s="257"/>
      <c r="L133" s="257"/>
      <c r="M133" s="358"/>
      <c r="N133" s="257"/>
      <c r="O133" s="360"/>
      <c r="P133" s="360"/>
      <c r="Q133" s="360"/>
      <c r="R133" s="358"/>
      <c r="S133" s="257"/>
      <c r="T133" s="257"/>
      <c r="U133" s="257"/>
      <c r="V133" s="361"/>
      <c r="W133" s="257"/>
      <c r="X133" s="362"/>
      <c r="Y133" s="354"/>
      <c r="Z133" s="354"/>
      <c r="AA133" s="354"/>
      <c r="AB133" s="354"/>
      <c r="AC133" s="330" t="s">
        <v>137</v>
      </c>
      <c r="AD133" s="330"/>
      <c r="AE133" s="330"/>
      <c r="AF133" s="330"/>
      <c r="AG133" s="330"/>
      <c r="AH133" s="330"/>
      <c r="AI133" s="330" t="s">
        <v>144</v>
      </c>
      <c r="AJ133" s="363"/>
      <c r="AK133" s="363"/>
    </row>
    <row r="134" spans="1:37" ht="73.2" hidden="1" customHeight="1">
      <c r="A134" s="354"/>
      <c r="B134" s="354"/>
      <c r="C134" s="355"/>
      <c r="D134" s="355"/>
      <c r="E134" s="356"/>
      <c r="F134" s="357"/>
      <c r="G134" s="357"/>
      <c r="H134" s="358"/>
      <c r="I134" s="359"/>
      <c r="J134" s="359"/>
      <c r="K134" s="359"/>
      <c r="L134" s="359"/>
      <c r="M134" s="358"/>
      <c r="N134" s="359"/>
      <c r="O134" s="360"/>
      <c r="P134" s="360"/>
      <c r="Q134" s="360"/>
      <c r="R134" s="358"/>
      <c r="S134" s="359"/>
      <c r="T134" s="359"/>
      <c r="U134" s="359"/>
      <c r="V134" s="361"/>
      <c r="W134" s="359"/>
      <c r="X134" s="362"/>
      <c r="Y134" s="354"/>
      <c r="Z134" s="354"/>
      <c r="AA134" s="354"/>
      <c r="AB134" s="354"/>
      <c r="AC134" s="330" t="s">
        <v>137</v>
      </c>
      <c r="AD134" s="330"/>
      <c r="AE134" s="330"/>
      <c r="AF134" s="330"/>
      <c r="AG134" s="330"/>
      <c r="AH134" s="330"/>
      <c r="AI134" s="330" t="s">
        <v>144</v>
      </c>
      <c r="AJ134" s="363"/>
      <c r="AK134" s="363"/>
    </row>
    <row r="135" spans="1:37" ht="97.95" hidden="1" customHeight="1">
      <c r="A135" s="347"/>
      <c r="B135" s="348"/>
      <c r="C135" s="349"/>
      <c r="D135" s="349"/>
      <c r="E135" s="350"/>
      <c r="F135" s="351"/>
      <c r="G135" s="351"/>
      <c r="H135" s="352"/>
      <c r="I135" s="353"/>
      <c r="J135" s="353"/>
      <c r="K135" s="353"/>
      <c r="L135" s="353"/>
      <c r="M135" s="353"/>
      <c r="N135" s="353"/>
      <c r="O135" s="353"/>
      <c r="P135" s="353"/>
      <c r="Q135" s="353"/>
      <c r="R135" s="353"/>
      <c r="S135" s="353"/>
      <c r="T135" s="353"/>
      <c r="U135" s="353"/>
      <c r="V135" s="353"/>
      <c r="W135" s="353"/>
      <c r="X135" s="348"/>
      <c r="Y135" s="349"/>
      <c r="Z135" s="347"/>
      <c r="AA135" s="347"/>
      <c r="AB135" s="349"/>
      <c r="AC135" s="353"/>
      <c r="AD135" s="353"/>
      <c r="AE135" s="353"/>
      <c r="AF135" s="352">
        <v>34</v>
      </c>
      <c r="AG135" s="352">
        <v>24</v>
      </c>
      <c r="AH135" s="352">
        <v>46</v>
      </c>
      <c r="AI135" s="352">
        <v>57</v>
      </c>
      <c r="AJ135" s="352"/>
    </row>
    <row r="136" spans="1:37" ht="31.2" customHeight="1" thickTop="1"/>
    <row r="137" spans="1:37" ht="31.2" customHeight="1">
      <c r="H137" s="252"/>
    </row>
    <row r="153" spans="1:1" ht="97.95" customHeight="1">
      <c r="A153" s="263" t="s">
        <v>15</v>
      </c>
    </row>
    <row r="154" spans="1:1" ht="97.95" customHeight="1">
      <c r="A154" s="263" t="s">
        <v>16</v>
      </c>
    </row>
    <row r="155" spans="1:1" ht="97.95" customHeight="1">
      <c r="A155" s="263" t="s">
        <v>17</v>
      </c>
    </row>
    <row r="156" spans="1:1" ht="97.95" customHeight="1">
      <c r="A156" s="263" t="s">
        <v>18</v>
      </c>
    </row>
    <row r="157" spans="1:1" ht="97.95" customHeight="1">
      <c r="A157" s="263" t="s">
        <v>19</v>
      </c>
    </row>
    <row r="158" spans="1:1" ht="97.95" customHeight="1">
      <c r="A158" s="263" t="s">
        <v>20</v>
      </c>
    </row>
    <row r="159" spans="1:1" ht="97.95" customHeight="1">
      <c r="A159" s="263" t="s">
        <v>21</v>
      </c>
    </row>
    <row r="160" spans="1:1" ht="97.95" customHeight="1">
      <c r="A160" s="263" t="s">
        <v>22</v>
      </c>
    </row>
    <row r="161" spans="1:1" ht="97.95" customHeight="1">
      <c r="A161" s="263" t="s">
        <v>23</v>
      </c>
    </row>
    <row r="162" spans="1:1" ht="97.95" customHeight="1">
      <c r="A162" s="263" t="s">
        <v>24</v>
      </c>
    </row>
    <row r="163" spans="1:1" ht="97.95" customHeight="1">
      <c r="A163" s="233"/>
    </row>
    <row r="164" spans="1:1" ht="97.95" customHeight="1">
      <c r="A164" s="233"/>
    </row>
    <row r="165" spans="1:1" ht="97.95" customHeight="1">
      <c r="A165" s="233"/>
    </row>
    <row r="166" spans="1:1" ht="97.95" customHeight="1">
      <c r="A166" s="234"/>
    </row>
    <row r="167" spans="1:1" ht="97.95" customHeight="1">
      <c r="A167" s="234"/>
    </row>
    <row r="168" spans="1:1" ht="97.95" customHeight="1">
      <c r="A168" s="233"/>
    </row>
    <row r="169" spans="1:1" ht="97.95" customHeight="1">
      <c r="A169" s="233"/>
    </row>
    <row r="170" spans="1:1" ht="97.95" customHeight="1">
      <c r="A170" s="233"/>
    </row>
    <row r="171" spans="1:1" ht="97.95" customHeight="1">
      <c r="A171" s="235" t="s">
        <v>16</v>
      </c>
    </row>
    <row r="172" spans="1:1" ht="97.95" customHeight="1">
      <c r="A172" s="235" t="s">
        <v>25</v>
      </c>
    </row>
    <row r="173" spans="1:1" ht="97.95" customHeight="1">
      <c r="A173" s="235" t="s">
        <v>26</v>
      </c>
    </row>
    <row r="174" spans="1:1" ht="97.95" customHeight="1">
      <c r="A174" s="235" t="s">
        <v>20</v>
      </c>
    </row>
    <row r="175" spans="1:1" ht="97.95" customHeight="1">
      <c r="A175" s="235" t="s">
        <v>27</v>
      </c>
    </row>
    <row r="176" spans="1:1" ht="97.95" customHeight="1">
      <c r="A176" s="264" t="s">
        <v>24</v>
      </c>
    </row>
    <row r="177" spans="1:1" ht="97.95" customHeight="1">
      <c r="A177" s="235" t="s">
        <v>29</v>
      </c>
    </row>
    <row r="178" spans="1:1" ht="97.95" customHeight="1">
      <c r="A178" s="235" t="s">
        <v>28</v>
      </c>
    </row>
    <row r="179" spans="1:1" ht="97.95" customHeight="1">
      <c r="A179" s="235" t="s">
        <v>23</v>
      </c>
    </row>
  </sheetData>
  <sheetProtection selectLockedCells="1" autoFilter="0" pivotTables="0"/>
  <autoFilter ref="A2:AK135">
    <filterColumn colId="0">
      <filters>
        <filter val="James Abbott"/>
      </filters>
    </filterColumn>
  </autoFilter>
  <sortState ref="A3:AJ134">
    <sortCondition ref="AJ3:AJ134"/>
  </sortState>
  <mergeCells count="6">
    <mergeCell ref="AF1:AI1"/>
    <mergeCell ref="F1:I1"/>
    <mergeCell ref="J1:N1"/>
    <mergeCell ref="O1:S1"/>
    <mergeCell ref="T1:W1"/>
    <mergeCell ref="AC1:AE1"/>
  </mergeCells>
  <conditionalFormatting sqref="R3:R13 M3:M13 M125:M134 R125:R134 M123 R123 M120 R120 M114:M117 R114:R117 M69:M87 R69:R87 R89:R112 M89:M112 M15:M65 R15:R65 H137 H3:H134">
    <cfRule type="containsText" dxfId="4270" priority="2169" operator="containsText" text="Deferred">
      <formula>NOT(ISERROR(SEARCH("Deferred",H3)))</formula>
    </cfRule>
    <cfRule type="containsText" dxfId="4269" priority="2171" operator="containsText" text="Update Not Provided">
      <formula>NOT(ISERROR(SEARCH("Update Not Provided",H3)))</formula>
    </cfRule>
    <cfRule type="containsText" dxfId="4268" priority="2172" operator="containsText" text="Not Yet Due">
      <formula>NOT(ISERROR(SEARCH("Not Yet Due",H3)))</formula>
    </cfRule>
    <cfRule type="containsText" dxfId="4267" priority="2173" operator="containsText" text="Deleted">
      <formula>NOT(ISERROR(SEARCH("Deleted",H3)))</formula>
    </cfRule>
    <cfRule type="containsText" dxfId="4266" priority="2174" operator="containsText" text="Completed Behind Schedule">
      <formula>NOT(ISERROR(SEARCH("Completed Behind Schedule",H3)))</formula>
    </cfRule>
    <cfRule type="containsText" dxfId="4265" priority="2175" operator="containsText" text="Off Target">
      <formula>NOT(ISERROR(SEARCH("Off Target",H3)))</formula>
    </cfRule>
    <cfRule type="containsText" dxfId="4264" priority="2176" operator="containsText" text="In Danger of Falling Behind Target">
      <formula>NOT(ISERROR(SEARCH("In Danger of Falling Behind Target",H3)))</formula>
    </cfRule>
    <cfRule type="containsText" dxfId="4263" priority="2177" operator="containsText" text="Fully Achieved">
      <formula>NOT(ISERROR(SEARCH("Fully Achieved",H3)))</formula>
    </cfRule>
    <cfRule type="containsText" dxfId="4262" priority="2178" operator="containsText" text="On track to be achieved">
      <formula>NOT(ISERROR(SEARCH("On track to be achieved",H3)))</formula>
    </cfRule>
  </conditionalFormatting>
  <conditionalFormatting sqref="V3:V13 V125:V134 V123 V120 V114:V117 V69:V87 V89:V112 V15:V65">
    <cfRule type="containsText" dxfId="4261" priority="1103" operator="containsText" text="Deleted">
      <formula>NOT(ISERROR(SEARCH("Deleted",V3)))</formula>
    </cfRule>
    <cfRule type="containsText" dxfId="4260" priority="1104" operator="containsText" text="Deferred">
      <formula>NOT(ISERROR(SEARCH("Deferred",V3)))</formula>
    </cfRule>
    <cfRule type="containsText" dxfId="4259" priority="1105" operator="containsText" text="Completion date within reasonable tolerance">
      <formula>NOT(ISERROR(SEARCH("Completion date within reasonable tolerance",V3)))</formula>
    </cfRule>
    <cfRule type="containsText" dxfId="4258" priority="1106" operator="containsText" text="completed significantly after target deadline">
      <formula>NOT(ISERROR(SEARCH("completed significantly after target deadline",V3)))</formula>
    </cfRule>
    <cfRule type="containsText" dxfId="4257" priority="1107" operator="containsText" text="Off target">
      <formula>NOT(ISERROR(SEARCH("Off target",V3)))</formula>
    </cfRule>
    <cfRule type="containsText" dxfId="4256" priority="1108" operator="containsText" text="Target partially met">
      <formula>NOT(ISERROR(SEARCH("Target partially met",V3)))</formula>
    </cfRule>
    <cfRule type="containsText" dxfId="4255" priority="1109" operator="containsText" text="Numerical outturn within 10% tolerance">
      <formula>NOT(ISERROR(SEARCH("Numerical outturn within 10% tolerance",V3)))</formula>
    </cfRule>
    <cfRule type="containsText" dxfId="4254" priority="1110" operator="containsText" text="Numerical outturn within 5% Tolerance">
      <formula>NOT(ISERROR(SEARCH("Numerical outturn within 5% Tolerance",V3)))</formula>
    </cfRule>
    <cfRule type="containsText" dxfId="4253" priority="1111" operator="containsText" text="Fully Achieved">
      <formula>NOT(ISERROR(SEARCH("Fully Achieved",V3)))</formula>
    </cfRule>
    <cfRule type="containsText" dxfId="4252" priority="1112" operator="containsText" text="Update Not Provided">
      <formula>NOT(ISERROR(SEARCH("Update Not Provided",V3)))</formula>
    </cfRule>
    <cfRule type="containsText" dxfId="4251" priority="1113" operator="containsText" text="Deferred">
      <formula>NOT(ISERROR(SEARCH("Deferred",V3)))</formula>
    </cfRule>
    <cfRule type="containsText" dxfId="4250" priority="1114" operator="containsText" text="Update Not Provided">
      <formula>NOT(ISERROR(SEARCH("Update Not Provided",V3)))</formula>
    </cfRule>
    <cfRule type="containsText" dxfId="4249" priority="1115" operator="containsText" text="Not Yet Due">
      <formula>NOT(ISERROR(SEARCH("Not Yet Due",V3)))</formula>
    </cfRule>
    <cfRule type="containsText" dxfId="4248" priority="1116" operator="containsText" text="Deleted">
      <formula>NOT(ISERROR(SEARCH("Deleted",V3)))</formula>
    </cfRule>
    <cfRule type="containsText" dxfId="4247" priority="1117" operator="containsText" text="Completed Behind Schedule">
      <formula>NOT(ISERROR(SEARCH("Completed Behind Schedule",V3)))</formula>
    </cfRule>
    <cfRule type="containsText" dxfId="4246" priority="1118" operator="containsText" text="Off Target">
      <formula>NOT(ISERROR(SEARCH("Off Target",V3)))</formula>
    </cfRule>
    <cfRule type="containsText" dxfId="4245" priority="1119" operator="containsText" text="In Danger of Falling Behind Target">
      <formula>NOT(ISERROR(SEARCH("In Danger of Falling Behind Target",V3)))</formula>
    </cfRule>
    <cfRule type="containsText" dxfId="4244" priority="1120" operator="containsText" text="Fully Achieved">
      <formula>NOT(ISERROR(SEARCH("Fully Achieved",V3)))</formula>
    </cfRule>
    <cfRule type="containsText" dxfId="4243" priority="1121" operator="containsText" text="On track to be achieved">
      <formula>NOT(ISERROR(SEARCH("On track to be achieved",V3)))</formula>
    </cfRule>
  </conditionalFormatting>
  <conditionalFormatting sqref="R124 M124">
    <cfRule type="containsText" dxfId="4242" priority="300" operator="containsText" text="Deferred">
      <formula>NOT(ISERROR(SEARCH("Deferred",M124)))</formula>
    </cfRule>
    <cfRule type="containsText" dxfId="4241" priority="301" operator="containsText" text="Update Not Provided">
      <formula>NOT(ISERROR(SEARCH("Update Not Provided",M124)))</formula>
    </cfRule>
    <cfRule type="containsText" dxfId="4240" priority="302" operator="containsText" text="Not Yet Due">
      <formula>NOT(ISERROR(SEARCH("Not Yet Due",M124)))</formula>
    </cfRule>
    <cfRule type="containsText" dxfId="4239" priority="303" operator="containsText" text="Deleted">
      <formula>NOT(ISERROR(SEARCH("Deleted",M124)))</formula>
    </cfRule>
    <cfRule type="containsText" dxfId="4238" priority="304" operator="containsText" text="Completed Behind Schedule">
      <formula>NOT(ISERROR(SEARCH("Completed Behind Schedule",M124)))</formula>
    </cfRule>
    <cfRule type="containsText" dxfId="4237" priority="305" operator="containsText" text="Off Target">
      <formula>NOT(ISERROR(SEARCH("Off Target",M124)))</formula>
    </cfRule>
    <cfRule type="containsText" dxfId="4236" priority="306" operator="containsText" text="In Danger of Falling Behind Target">
      <formula>NOT(ISERROR(SEARCH("In Danger of Falling Behind Target",M124)))</formula>
    </cfRule>
    <cfRule type="containsText" dxfId="4235" priority="307" operator="containsText" text="Fully Achieved">
      <formula>NOT(ISERROR(SEARCH("Fully Achieved",M124)))</formula>
    </cfRule>
    <cfRule type="containsText" dxfId="4234" priority="308" operator="containsText" text="On track to be achieved">
      <formula>NOT(ISERROR(SEARCH("On track to be achieved",M124)))</formula>
    </cfRule>
  </conditionalFormatting>
  <conditionalFormatting sqref="V124">
    <cfRule type="containsText" dxfId="4233" priority="281" operator="containsText" text="Deleted">
      <formula>NOT(ISERROR(SEARCH("Deleted",V124)))</formula>
    </cfRule>
    <cfRule type="containsText" dxfId="4232" priority="282" operator="containsText" text="Deferred">
      <formula>NOT(ISERROR(SEARCH("Deferred",V124)))</formula>
    </cfRule>
    <cfRule type="containsText" dxfId="4231" priority="283" operator="containsText" text="Completion date within reasonable tolerance">
      <formula>NOT(ISERROR(SEARCH("Completion date within reasonable tolerance",V124)))</formula>
    </cfRule>
    <cfRule type="containsText" dxfId="4230" priority="284" operator="containsText" text="completed significantly after target deadline">
      <formula>NOT(ISERROR(SEARCH("completed significantly after target deadline",V124)))</formula>
    </cfRule>
    <cfRule type="containsText" dxfId="4229" priority="285" operator="containsText" text="Off target">
      <formula>NOT(ISERROR(SEARCH("Off target",V124)))</formula>
    </cfRule>
    <cfRule type="containsText" dxfId="4228" priority="286" operator="containsText" text="Target partially met">
      <formula>NOT(ISERROR(SEARCH("Target partially met",V124)))</formula>
    </cfRule>
    <cfRule type="containsText" dxfId="4227" priority="287" operator="containsText" text="Numerical outturn within 10% tolerance">
      <formula>NOT(ISERROR(SEARCH("Numerical outturn within 10% tolerance",V124)))</formula>
    </cfRule>
    <cfRule type="containsText" dxfId="4226" priority="288" operator="containsText" text="Numerical outturn within 5% Tolerance">
      <formula>NOT(ISERROR(SEARCH("Numerical outturn within 5% Tolerance",V124)))</formula>
    </cfRule>
    <cfRule type="containsText" dxfId="4225" priority="289" operator="containsText" text="Fully Achieved">
      <formula>NOT(ISERROR(SEARCH("Fully Achieved",V124)))</formula>
    </cfRule>
    <cfRule type="containsText" dxfId="4224" priority="290" operator="containsText" text="Update Not Provided">
      <formula>NOT(ISERROR(SEARCH("Update Not Provided",V124)))</formula>
    </cfRule>
    <cfRule type="containsText" dxfId="4223" priority="291" operator="containsText" text="Deferred">
      <formula>NOT(ISERROR(SEARCH("Deferred",V124)))</formula>
    </cfRule>
    <cfRule type="containsText" dxfId="4222" priority="292" operator="containsText" text="Update Not Provided">
      <formula>NOT(ISERROR(SEARCH("Update Not Provided",V124)))</formula>
    </cfRule>
    <cfRule type="containsText" dxfId="4221" priority="293" operator="containsText" text="Not Yet Due">
      <formula>NOT(ISERROR(SEARCH("Not Yet Due",V124)))</formula>
    </cfRule>
    <cfRule type="containsText" dxfId="4220" priority="294" operator="containsText" text="Deleted">
      <formula>NOT(ISERROR(SEARCH("Deleted",V124)))</formula>
    </cfRule>
    <cfRule type="containsText" dxfId="4219" priority="295" operator="containsText" text="Completed Behind Schedule">
      <formula>NOT(ISERROR(SEARCH("Completed Behind Schedule",V124)))</formula>
    </cfRule>
    <cfRule type="containsText" dxfId="4218" priority="296" operator="containsText" text="Off Target">
      <formula>NOT(ISERROR(SEARCH("Off Target",V124)))</formula>
    </cfRule>
    <cfRule type="containsText" dxfId="4217" priority="297" operator="containsText" text="In Danger of Falling Behind Target">
      <formula>NOT(ISERROR(SEARCH("In Danger of Falling Behind Target",V124)))</formula>
    </cfRule>
    <cfRule type="containsText" dxfId="4216" priority="298" operator="containsText" text="Fully Achieved">
      <formula>NOT(ISERROR(SEARCH("Fully Achieved",V124)))</formula>
    </cfRule>
    <cfRule type="containsText" dxfId="4215" priority="299" operator="containsText" text="On track to be achieved">
      <formula>NOT(ISERROR(SEARCH("On track to be achieved",V124)))</formula>
    </cfRule>
  </conditionalFormatting>
  <conditionalFormatting sqref="R122 M122">
    <cfRule type="containsText" dxfId="4214" priority="272" operator="containsText" text="Deferred">
      <formula>NOT(ISERROR(SEARCH("Deferred",M122)))</formula>
    </cfRule>
    <cfRule type="containsText" dxfId="4213" priority="273" operator="containsText" text="Update Not Provided">
      <formula>NOT(ISERROR(SEARCH("Update Not Provided",M122)))</formula>
    </cfRule>
    <cfRule type="containsText" dxfId="4212" priority="274" operator="containsText" text="Not Yet Due">
      <formula>NOT(ISERROR(SEARCH("Not Yet Due",M122)))</formula>
    </cfRule>
    <cfRule type="containsText" dxfId="4211" priority="275" operator="containsText" text="Deleted">
      <formula>NOT(ISERROR(SEARCH("Deleted",M122)))</formula>
    </cfRule>
    <cfRule type="containsText" dxfId="4210" priority="276" operator="containsText" text="Completed Behind Schedule">
      <formula>NOT(ISERROR(SEARCH("Completed Behind Schedule",M122)))</formula>
    </cfRule>
    <cfRule type="containsText" dxfId="4209" priority="277" operator="containsText" text="Off Target">
      <formula>NOT(ISERROR(SEARCH("Off Target",M122)))</formula>
    </cfRule>
    <cfRule type="containsText" dxfId="4208" priority="278" operator="containsText" text="In Danger of Falling Behind Target">
      <formula>NOT(ISERROR(SEARCH("In Danger of Falling Behind Target",M122)))</formula>
    </cfRule>
    <cfRule type="containsText" dxfId="4207" priority="279" operator="containsText" text="Fully Achieved">
      <formula>NOT(ISERROR(SEARCH("Fully Achieved",M122)))</formula>
    </cfRule>
    <cfRule type="containsText" dxfId="4206" priority="280" operator="containsText" text="On track to be achieved">
      <formula>NOT(ISERROR(SEARCH("On track to be achieved",M122)))</formula>
    </cfRule>
  </conditionalFormatting>
  <conditionalFormatting sqref="V122">
    <cfRule type="containsText" dxfId="4205" priority="253" operator="containsText" text="Deleted">
      <formula>NOT(ISERROR(SEARCH("Deleted",V122)))</formula>
    </cfRule>
    <cfRule type="containsText" dxfId="4204" priority="254" operator="containsText" text="Deferred">
      <formula>NOT(ISERROR(SEARCH("Deferred",V122)))</formula>
    </cfRule>
    <cfRule type="containsText" dxfId="4203" priority="255" operator="containsText" text="Completion date within reasonable tolerance">
      <formula>NOT(ISERROR(SEARCH("Completion date within reasonable tolerance",V122)))</formula>
    </cfRule>
    <cfRule type="containsText" dxfId="4202" priority="256" operator="containsText" text="completed significantly after target deadline">
      <formula>NOT(ISERROR(SEARCH("completed significantly after target deadline",V122)))</formula>
    </cfRule>
    <cfRule type="containsText" dxfId="4201" priority="257" operator="containsText" text="Off target">
      <formula>NOT(ISERROR(SEARCH("Off target",V122)))</formula>
    </cfRule>
    <cfRule type="containsText" dxfId="4200" priority="258" operator="containsText" text="Target partially met">
      <formula>NOT(ISERROR(SEARCH("Target partially met",V122)))</formula>
    </cfRule>
    <cfRule type="containsText" dxfId="4199" priority="259" operator="containsText" text="Numerical outturn within 10% tolerance">
      <formula>NOT(ISERROR(SEARCH("Numerical outturn within 10% tolerance",V122)))</formula>
    </cfRule>
    <cfRule type="containsText" dxfId="4198" priority="260" operator="containsText" text="Numerical outturn within 5% Tolerance">
      <formula>NOT(ISERROR(SEARCH("Numerical outturn within 5% Tolerance",V122)))</formula>
    </cfRule>
    <cfRule type="containsText" dxfId="4197" priority="261" operator="containsText" text="Fully Achieved">
      <formula>NOT(ISERROR(SEARCH("Fully Achieved",V122)))</formula>
    </cfRule>
    <cfRule type="containsText" dxfId="4196" priority="262" operator="containsText" text="Update Not Provided">
      <formula>NOT(ISERROR(SEARCH("Update Not Provided",V122)))</formula>
    </cfRule>
    <cfRule type="containsText" dxfId="4195" priority="263" operator="containsText" text="Deferred">
      <formula>NOT(ISERROR(SEARCH("Deferred",V122)))</formula>
    </cfRule>
    <cfRule type="containsText" dxfId="4194" priority="264" operator="containsText" text="Update Not Provided">
      <formula>NOT(ISERROR(SEARCH("Update Not Provided",V122)))</formula>
    </cfRule>
    <cfRule type="containsText" dxfId="4193" priority="265" operator="containsText" text="Not Yet Due">
      <formula>NOT(ISERROR(SEARCH("Not Yet Due",V122)))</formula>
    </cfRule>
    <cfRule type="containsText" dxfId="4192" priority="266" operator="containsText" text="Deleted">
      <formula>NOT(ISERROR(SEARCH("Deleted",V122)))</formula>
    </cfRule>
    <cfRule type="containsText" dxfId="4191" priority="267" operator="containsText" text="Completed Behind Schedule">
      <formula>NOT(ISERROR(SEARCH("Completed Behind Schedule",V122)))</formula>
    </cfRule>
    <cfRule type="containsText" dxfId="4190" priority="268" operator="containsText" text="Off Target">
      <formula>NOT(ISERROR(SEARCH("Off Target",V122)))</formula>
    </cfRule>
    <cfRule type="containsText" dxfId="4189" priority="269" operator="containsText" text="In Danger of Falling Behind Target">
      <formula>NOT(ISERROR(SEARCH("In Danger of Falling Behind Target",V122)))</formula>
    </cfRule>
    <cfRule type="containsText" dxfId="4188" priority="270" operator="containsText" text="Fully Achieved">
      <formula>NOT(ISERROR(SEARCH("Fully Achieved",V122)))</formula>
    </cfRule>
    <cfRule type="containsText" dxfId="4187" priority="271" operator="containsText" text="On track to be achieved">
      <formula>NOT(ISERROR(SEARCH("On track to be achieved",V122)))</formula>
    </cfRule>
  </conditionalFormatting>
  <conditionalFormatting sqref="R121 M121">
    <cfRule type="containsText" dxfId="4186" priority="244" operator="containsText" text="Deferred">
      <formula>NOT(ISERROR(SEARCH("Deferred",M121)))</formula>
    </cfRule>
    <cfRule type="containsText" dxfId="4185" priority="245" operator="containsText" text="Update Not Provided">
      <formula>NOT(ISERROR(SEARCH("Update Not Provided",M121)))</formula>
    </cfRule>
    <cfRule type="containsText" dxfId="4184" priority="246" operator="containsText" text="Not Yet Due">
      <formula>NOT(ISERROR(SEARCH("Not Yet Due",M121)))</formula>
    </cfRule>
    <cfRule type="containsText" dxfId="4183" priority="247" operator="containsText" text="Deleted">
      <formula>NOT(ISERROR(SEARCH("Deleted",M121)))</formula>
    </cfRule>
    <cfRule type="containsText" dxfId="4182" priority="248" operator="containsText" text="Completed Behind Schedule">
      <formula>NOT(ISERROR(SEARCH("Completed Behind Schedule",M121)))</formula>
    </cfRule>
    <cfRule type="containsText" dxfId="4181" priority="249" operator="containsText" text="Off Target">
      <formula>NOT(ISERROR(SEARCH("Off Target",M121)))</formula>
    </cfRule>
    <cfRule type="containsText" dxfId="4180" priority="250" operator="containsText" text="In Danger of Falling Behind Target">
      <formula>NOT(ISERROR(SEARCH("In Danger of Falling Behind Target",M121)))</formula>
    </cfRule>
    <cfRule type="containsText" dxfId="4179" priority="251" operator="containsText" text="Fully Achieved">
      <formula>NOT(ISERROR(SEARCH("Fully Achieved",M121)))</formula>
    </cfRule>
    <cfRule type="containsText" dxfId="4178" priority="252" operator="containsText" text="On track to be achieved">
      <formula>NOT(ISERROR(SEARCH("On track to be achieved",M121)))</formula>
    </cfRule>
  </conditionalFormatting>
  <conditionalFormatting sqref="V121">
    <cfRule type="containsText" dxfId="4177" priority="225" operator="containsText" text="Deleted">
      <formula>NOT(ISERROR(SEARCH("Deleted",V121)))</formula>
    </cfRule>
    <cfRule type="containsText" dxfId="4176" priority="226" operator="containsText" text="Deferred">
      <formula>NOT(ISERROR(SEARCH("Deferred",V121)))</formula>
    </cfRule>
    <cfRule type="containsText" dxfId="4175" priority="227" operator="containsText" text="Completion date within reasonable tolerance">
      <formula>NOT(ISERROR(SEARCH("Completion date within reasonable tolerance",V121)))</formula>
    </cfRule>
    <cfRule type="containsText" dxfId="4174" priority="228" operator="containsText" text="completed significantly after target deadline">
      <formula>NOT(ISERROR(SEARCH("completed significantly after target deadline",V121)))</formula>
    </cfRule>
    <cfRule type="containsText" dxfId="4173" priority="229" operator="containsText" text="Off target">
      <formula>NOT(ISERROR(SEARCH("Off target",V121)))</formula>
    </cfRule>
    <cfRule type="containsText" dxfId="4172" priority="230" operator="containsText" text="Target partially met">
      <formula>NOT(ISERROR(SEARCH("Target partially met",V121)))</formula>
    </cfRule>
    <cfRule type="containsText" dxfId="4171" priority="231" operator="containsText" text="Numerical outturn within 10% tolerance">
      <formula>NOT(ISERROR(SEARCH("Numerical outturn within 10% tolerance",V121)))</formula>
    </cfRule>
    <cfRule type="containsText" dxfId="4170" priority="232" operator="containsText" text="Numerical outturn within 5% Tolerance">
      <formula>NOT(ISERROR(SEARCH("Numerical outturn within 5% Tolerance",V121)))</formula>
    </cfRule>
    <cfRule type="containsText" dxfId="4169" priority="233" operator="containsText" text="Fully Achieved">
      <formula>NOT(ISERROR(SEARCH("Fully Achieved",V121)))</formula>
    </cfRule>
    <cfRule type="containsText" dxfId="4168" priority="234" operator="containsText" text="Update Not Provided">
      <formula>NOT(ISERROR(SEARCH("Update Not Provided",V121)))</formula>
    </cfRule>
    <cfRule type="containsText" dxfId="4167" priority="235" operator="containsText" text="Deferred">
      <formula>NOT(ISERROR(SEARCH("Deferred",V121)))</formula>
    </cfRule>
    <cfRule type="containsText" dxfId="4166" priority="236" operator="containsText" text="Update Not Provided">
      <formula>NOT(ISERROR(SEARCH("Update Not Provided",V121)))</formula>
    </cfRule>
    <cfRule type="containsText" dxfId="4165" priority="237" operator="containsText" text="Not Yet Due">
      <formula>NOT(ISERROR(SEARCH("Not Yet Due",V121)))</formula>
    </cfRule>
    <cfRule type="containsText" dxfId="4164" priority="238" operator="containsText" text="Deleted">
      <formula>NOT(ISERROR(SEARCH("Deleted",V121)))</formula>
    </cfRule>
    <cfRule type="containsText" dxfId="4163" priority="239" operator="containsText" text="Completed Behind Schedule">
      <formula>NOT(ISERROR(SEARCH("Completed Behind Schedule",V121)))</formula>
    </cfRule>
    <cfRule type="containsText" dxfId="4162" priority="240" operator="containsText" text="Off Target">
      <formula>NOT(ISERROR(SEARCH("Off Target",V121)))</formula>
    </cfRule>
    <cfRule type="containsText" dxfId="4161" priority="241" operator="containsText" text="In Danger of Falling Behind Target">
      <formula>NOT(ISERROR(SEARCH("In Danger of Falling Behind Target",V121)))</formula>
    </cfRule>
    <cfRule type="containsText" dxfId="4160" priority="242" operator="containsText" text="Fully Achieved">
      <formula>NOT(ISERROR(SEARCH("Fully Achieved",V121)))</formula>
    </cfRule>
    <cfRule type="containsText" dxfId="4159" priority="243" operator="containsText" text="On track to be achieved">
      <formula>NOT(ISERROR(SEARCH("On track to be achieved",V121)))</formula>
    </cfRule>
  </conditionalFormatting>
  <conditionalFormatting sqref="R118 M118">
    <cfRule type="containsText" dxfId="4158" priority="216" operator="containsText" text="Deferred">
      <formula>NOT(ISERROR(SEARCH("Deferred",M118)))</formula>
    </cfRule>
    <cfRule type="containsText" dxfId="4157" priority="217" operator="containsText" text="Update Not Provided">
      <formula>NOT(ISERROR(SEARCH("Update Not Provided",M118)))</formula>
    </cfRule>
    <cfRule type="containsText" dxfId="4156" priority="218" operator="containsText" text="Not Yet Due">
      <formula>NOT(ISERROR(SEARCH("Not Yet Due",M118)))</formula>
    </cfRule>
    <cfRule type="containsText" dxfId="4155" priority="219" operator="containsText" text="Deleted">
      <formula>NOT(ISERROR(SEARCH("Deleted",M118)))</formula>
    </cfRule>
    <cfRule type="containsText" dxfId="4154" priority="220" operator="containsText" text="Completed Behind Schedule">
      <formula>NOT(ISERROR(SEARCH("Completed Behind Schedule",M118)))</formula>
    </cfRule>
    <cfRule type="containsText" dxfId="4153" priority="221" operator="containsText" text="Off Target">
      <formula>NOT(ISERROR(SEARCH("Off Target",M118)))</formula>
    </cfRule>
    <cfRule type="containsText" dxfId="4152" priority="222" operator="containsText" text="In Danger of Falling Behind Target">
      <formula>NOT(ISERROR(SEARCH("In Danger of Falling Behind Target",M118)))</formula>
    </cfRule>
    <cfRule type="containsText" dxfId="4151" priority="223" operator="containsText" text="Fully Achieved">
      <formula>NOT(ISERROR(SEARCH("Fully Achieved",M118)))</formula>
    </cfRule>
    <cfRule type="containsText" dxfId="4150" priority="224" operator="containsText" text="On track to be achieved">
      <formula>NOT(ISERROR(SEARCH("On track to be achieved",M118)))</formula>
    </cfRule>
  </conditionalFormatting>
  <conditionalFormatting sqref="V118">
    <cfRule type="containsText" dxfId="4149" priority="197" operator="containsText" text="Deleted">
      <formula>NOT(ISERROR(SEARCH("Deleted",V118)))</formula>
    </cfRule>
    <cfRule type="containsText" dxfId="4148" priority="198" operator="containsText" text="Deferred">
      <formula>NOT(ISERROR(SEARCH("Deferred",V118)))</formula>
    </cfRule>
    <cfRule type="containsText" dxfId="4147" priority="199" operator="containsText" text="Completion date within reasonable tolerance">
      <formula>NOT(ISERROR(SEARCH("Completion date within reasonable tolerance",V118)))</formula>
    </cfRule>
    <cfRule type="containsText" dxfId="4146" priority="200" operator="containsText" text="completed significantly after target deadline">
      <formula>NOT(ISERROR(SEARCH("completed significantly after target deadline",V118)))</formula>
    </cfRule>
    <cfRule type="containsText" dxfId="4145" priority="201" operator="containsText" text="Off target">
      <formula>NOT(ISERROR(SEARCH("Off target",V118)))</formula>
    </cfRule>
    <cfRule type="containsText" dxfId="4144" priority="202" operator="containsText" text="Target partially met">
      <formula>NOT(ISERROR(SEARCH("Target partially met",V118)))</formula>
    </cfRule>
    <cfRule type="containsText" dxfId="4143" priority="203" operator="containsText" text="Numerical outturn within 10% tolerance">
      <formula>NOT(ISERROR(SEARCH("Numerical outturn within 10% tolerance",V118)))</formula>
    </cfRule>
    <cfRule type="containsText" dxfId="4142" priority="204" operator="containsText" text="Numerical outturn within 5% Tolerance">
      <formula>NOT(ISERROR(SEARCH("Numerical outturn within 5% Tolerance",V118)))</formula>
    </cfRule>
    <cfRule type="containsText" dxfId="4141" priority="205" operator="containsText" text="Fully Achieved">
      <formula>NOT(ISERROR(SEARCH("Fully Achieved",V118)))</formula>
    </cfRule>
    <cfRule type="containsText" dxfId="4140" priority="206" operator="containsText" text="Update Not Provided">
      <formula>NOT(ISERROR(SEARCH("Update Not Provided",V118)))</formula>
    </cfRule>
    <cfRule type="containsText" dxfId="4139" priority="207" operator="containsText" text="Deferred">
      <formula>NOT(ISERROR(SEARCH("Deferred",V118)))</formula>
    </cfRule>
    <cfRule type="containsText" dxfId="4138" priority="208" operator="containsText" text="Update Not Provided">
      <formula>NOT(ISERROR(SEARCH("Update Not Provided",V118)))</formula>
    </cfRule>
    <cfRule type="containsText" dxfId="4137" priority="209" operator="containsText" text="Not Yet Due">
      <formula>NOT(ISERROR(SEARCH("Not Yet Due",V118)))</formula>
    </cfRule>
    <cfRule type="containsText" dxfId="4136" priority="210" operator="containsText" text="Deleted">
      <formula>NOT(ISERROR(SEARCH("Deleted",V118)))</formula>
    </cfRule>
    <cfRule type="containsText" dxfId="4135" priority="211" operator="containsText" text="Completed Behind Schedule">
      <formula>NOT(ISERROR(SEARCH("Completed Behind Schedule",V118)))</formula>
    </cfRule>
    <cfRule type="containsText" dxfId="4134" priority="212" operator="containsText" text="Off Target">
      <formula>NOT(ISERROR(SEARCH("Off Target",V118)))</formula>
    </cfRule>
    <cfRule type="containsText" dxfId="4133" priority="213" operator="containsText" text="In Danger of Falling Behind Target">
      <formula>NOT(ISERROR(SEARCH("In Danger of Falling Behind Target",V118)))</formula>
    </cfRule>
    <cfRule type="containsText" dxfId="4132" priority="214" operator="containsText" text="Fully Achieved">
      <formula>NOT(ISERROR(SEARCH("Fully Achieved",V118)))</formula>
    </cfRule>
    <cfRule type="containsText" dxfId="4131" priority="215" operator="containsText" text="On track to be achieved">
      <formula>NOT(ISERROR(SEARCH("On track to be achieved",V118)))</formula>
    </cfRule>
  </conditionalFormatting>
  <conditionalFormatting sqref="R119 M119">
    <cfRule type="containsText" dxfId="4130" priority="188" operator="containsText" text="Deferred">
      <formula>NOT(ISERROR(SEARCH("Deferred",M119)))</formula>
    </cfRule>
    <cfRule type="containsText" dxfId="4129" priority="189" operator="containsText" text="Update Not Provided">
      <formula>NOT(ISERROR(SEARCH("Update Not Provided",M119)))</formula>
    </cfRule>
    <cfRule type="containsText" dxfId="4128" priority="190" operator="containsText" text="Not Yet Due">
      <formula>NOT(ISERROR(SEARCH("Not Yet Due",M119)))</formula>
    </cfRule>
    <cfRule type="containsText" dxfId="4127" priority="191" operator="containsText" text="Deleted">
      <formula>NOT(ISERROR(SEARCH("Deleted",M119)))</formula>
    </cfRule>
    <cfRule type="containsText" dxfId="4126" priority="192" operator="containsText" text="Completed Behind Schedule">
      <formula>NOT(ISERROR(SEARCH("Completed Behind Schedule",M119)))</formula>
    </cfRule>
    <cfRule type="containsText" dxfId="4125" priority="193" operator="containsText" text="Off Target">
      <formula>NOT(ISERROR(SEARCH("Off Target",M119)))</formula>
    </cfRule>
    <cfRule type="containsText" dxfId="4124" priority="194" operator="containsText" text="In Danger of Falling Behind Target">
      <formula>NOT(ISERROR(SEARCH("In Danger of Falling Behind Target",M119)))</formula>
    </cfRule>
    <cfRule type="containsText" dxfId="4123" priority="195" operator="containsText" text="Fully Achieved">
      <formula>NOT(ISERROR(SEARCH("Fully Achieved",M119)))</formula>
    </cfRule>
    <cfRule type="containsText" dxfId="4122" priority="196" operator="containsText" text="On track to be achieved">
      <formula>NOT(ISERROR(SEARCH("On track to be achieved",M119)))</formula>
    </cfRule>
  </conditionalFormatting>
  <conditionalFormatting sqref="V119">
    <cfRule type="containsText" dxfId="4121" priority="169" operator="containsText" text="Deleted">
      <formula>NOT(ISERROR(SEARCH("Deleted",V119)))</formula>
    </cfRule>
    <cfRule type="containsText" dxfId="4120" priority="170" operator="containsText" text="Deferred">
      <formula>NOT(ISERROR(SEARCH("Deferred",V119)))</formula>
    </cfRule>
    <cfRule type="containsText" dxfId="4119" priority="171" operator="containsText" text="Completion date within reasonable tolerance">
      <formula>NOT(ISERROR(SEARCH("Completion date within reasonable tolerance",V119)))</formula>
    </cfRule>
    <cfRule type="containsText" dxfId="4118" priority="172" operator="containsText" text="completed significantly after target deadline">
      <formula>NOT(ISERROR(SEARCH("completed significantly after target deadline",V119)))</formula>
    </cfRule>
    <cfRule type="containsText" dxfId="4117" priority="173" operator="containsText" text="Off target">
      <formula>NOT(ISERROR(SEARCH("Off target",V119)))</formula>
    </cfRule>
    <cfRule type="containsText" dxfId="4116" priority="174" operator="containsText" text="Target partially met">
      <formula>NOT(ISERROR(SEARCH("Target partially met",V119)))</formula>
    </cfRule>
    <cfRule type="containsText" dxfId="4115" priority="175" operator="containsText" text="Numerical outturn within 10% tolerance">
      <formula>NOT(ISERROR(SEARCH("Numerical outturn within 10% tolerance",V119)))</formula>
    </cfRule>
    <cfRule type="containsText" dxfId="4114" priority="176" operator="containsText" text="Numerical outturn within 5% Tolerance">
      <formula>NOT(ISERROR(SEARCH("Numerical outturn within 5% Tolerance",V119)))</formula>
    </cfRule>
    <cfRule type="containsText" dxfId="4113" priority="177" operator="containsText" text="Fully Achieved">
      <formula>NOT(ISERROR(SEARCH("Fully Achieved",V119)))</formula>
    </cfRule>
    <cfRule type="containsText" dxfId="4112" priority="178" operator="containsText" text="Update Not Provided">
      <formula>NOT(ISERROR(SEARCH("Update Not Provided",V119)))</formula>
    </cfRule>
    <cfRule type="containsText" dxfId="4111" priority="179" operator="containsText" text="Deferred">
      <formula>NOT(ISERROR(SEARCH("Deferred",V119)))</formula>
    </cfRule>
    <cfRule type="containsText" dxfId="4110" priority="180" operator="containsText" text="Update Not Provided">
      <formula>NOT(ISERROR(SEARCH("Update Not Provided",V119)))</formula>
    </cfRule>
    <cfRule type="containsText" dxfId="4109" priority="181" operator="containsText" text="Not Yet Due">
      <formula>NOT(ISERROR(SEARCH("Not Yet Due",V119)))</formula>
    </cfRule>
    <cfRule type="containsText" dxfId="4108" priority="182" operator="containsText" text="Deleted">
      <formula>NOT(ISERROR(SEARCH("Deleted",V119)))</formula>
    </cfRule>
    <cfRule type="containsText" dxfId="4107" priority="183" operator="containsText" text="Completed Behind Schedule">
      <formula>NOT(ISERROR(SEARCH("Completed Behind Schedule",V119)))</formula>
    </cfRule>
    <cfRule type="containsText" dxfId="4106" priority="184" operator="containsText" text="Off Target">
      <formula>NOT(ISERROR(SEARCH("Off Target",V119)))</formula>
    </cfRule>
    <cfRule type="containsText" dxfId="4105" priority="185" operator="containsText" text="In Danger of Falling Behind Target">
      <formula>NOT(ISERROR(SEARCH("In Danger of Falling Behind Target",V119)))</formula>
    </cfRule>
    <cfRule type="containsText" dxfId="4104" priority="186" operator="containsText" text="Fully Achieved">
      <formula>NOT(ISERROR(SEARCH("Fully Achieved",V119)))</formula>
    </cfRule>
    <cfRule type="containsText" dxfId="4103" priority="187" operator="containsText" text="On track to be achieved">
      <formula>NOT(ISERROR(SEARCH("On track to be achieved",V119)))</formula>
    </cfRule>
  </conditionalFormatting>
  <conditionalFormatting sqref="R113 M113">
    <cfRule type="containsText" dxfId="4102" priority="160" operator="containsText" text="Deferred">
      <formula>NOT(ISERROR(SEARCH("Deferred",M113)))</formula>
    </cfRule>
    <cfRule type="containsText" dxfId="4101" priority="161" operator="containsText" text="Update Not Provided">
      <formula>NOT(ISERROR(SEARCH("Update Not Provided",M113)))</formula>
    </cfRule>
    <cfRule type="containsText" dxfId="4100" priority="162" operator="containsText" text="Not Yet Due">
      <formula>NOT(ISERROR(SEARCH("Not Yet Due",M113)))</formula>
    </cfRule>
    <cfRule type="containsText" dxfId="4099" priority="163" operator="containsText" text="Deleted">
      <formula>NOT(ISERROR(SEARCH("Deleted",M113)))</formula>
    </cfRule>
    <cfRule type="containsText" dxfId="4098" priority="164" operator="containsText" text="Completed Behind Schedule">
      <formula>NOT(ISERROR(SEARCH("Completed Behind Schedule",M113)))</formula>
    </cfRule>
    <cfRule type="containsText" dxfId="4097" priority="165" operator="containsText" text="Off Target">
      <formula>NOT(ISERROR(SEARCH("Off Target",M113)))</formula>
    </cfRule>
    <cfRule type="containsText" dxfId="4096" priority="166" operator="containsText" text="In Danger of Falling Behind Target">
      <formula>NOT(ISERROR(SEARCH("In Danger of Falling Behind Target",M113)))</formula>
    </cfRule>
    <cfRule type="containsText" dxfId="4095" priority="167" operator="containsText" text="Fully Achieved">
      <formula>NOT(ISERROR(SEARCH("Fully Achieved",M113)))</formula>
    </cfRule>
    <cfRule type="containsText" dxfId="4094" priority="168" operator="containsText" text="On track to be achieved">
      <formula>NOT(ISERROR(SEARCH("On track to be achieved",M113)))</formula>
    </cfRule>
  </conditionalFormatting>
  <conditionalFormatting sqref="V113">
    <cfRule type="containsText" dxfId="4093" priority="141" operator="containsText" text="Deleted">
      <formula>NOT(ISERROR(SEARCH("Deleted",V113)))</formula>
    </cfRule>
    <cfRule type="containsText" dxfId="4092" priority="142" operator="containsText" text="Deferred">
      <formula>NOT(ISERROR(SEARCH("Deferred",V113)))</formula>
    </cfRule>
    <cfRule type="containsText" dxfId="4091" priority="143" operator="containsText" text="Completion date within reasonable tolerance">
      <formula>NOT(ISERROR(SEARCH("Completion date within reasonable tolerance",V113)))</formula>
    </cfRule>
    <cfRule type="containsText" dxfId="4090" priority="144" operator="containsText" text="completed significantly after target deadline">
      <formula>NOT(ISERROR(SEARCH("completed significantly after target deadline",V113)))</formula>
    </cfRule>
    <cfRule type="containsText" dxfId="4089" priority="145" operator="containsText" text="Off target">
      <formula>NOT(ISERROR(SEARCH("Off target",V113)))</formula>
    </cfRule>
    <cfRule type="containsText" dxfId="4088" priority="146" operator="containsText" text="Target partially met">
      <formula>NOT(ISERROR(SEARCH("Target partially met",V113)))</formula>
    </cfRule>
    <cfRule type="containsText" dxfId="4087" priority="147" operator="containsText" text="Numerical outturn within 10% tolerance">
      <formula>NOT(ISERROR(SEARCH("Numerical outturn within 10% tolerance",V113)))</formula>
    </cfRule>
    <cfRule type="containsText" dxfId="4086" priority="148" operator="containsText" text="Numerical outturn within 5% Tolerance">
      <formula>NOT(ISERROR(SEARCH("Numerical outturn within 5% Tolerance",V113)))</formula>
    </cfRule>
    <cfRule type="containsText" dxfId="4085" priority="149" operator="containsText" text="Fully Achieved">
      <formula>NOT(ISERROR(SEARCH("Fully Achieved",V113)))</formula>
    </cfRule>
    <cfRule type="containsText" dxfId="4084" priority="150" operator="containsText" text="Update Not Provided">
      <formula>NOT(ISERROR(SEARCH("Update Not Provided",V113)))</formula>
    </cfRule>
    <cfRule type="containsText" dxfId="4083" priority="151" operator="containsText" text="Deferred">
      <formula>NOT(ISERROR(SEARCH("Deferred",V113)))</formula>
    </cfRule>
    <cfRule type="containsText" dxfId="4082" priority="152" operator="containsText" text="Update Not Provided">
      <formula>NOT(ISERROR(SEARCH("Update Not Provided",V113)))</formula>
    </cfRule>
    <cfRule type="containsText" dxfId="4081" priority="153" operator="containsText" text="Not Yet Due">
      <formula>NOT(ISERROR(SEARCH("Not Yet Due",V113)))</formula>
    </cfRule>
    <cfRule type="containsText" dxfId="4080" priority="154" operator="containsText" text="Deleted">
      <formula>NOT(ISERROR(SEARCH("Deleted",V113)))</formula>
    </cfRule>
    <cfRule type="containsText" dxfId="4079" priority="155" operator="containsText" text="Completed Behind Schedule">
      <formula>NOT(ISERROR(SEARCH("Completed Behind Schedule",V113)))</formula>
    </cfRule>
    <cfRule type="containsText" dxfId="4078" priority="156" operator="containsText" text="Off Target">
      <formula>NOT(ISERROR(SEARCH("Off Target",V113)))</formula>
    </cfRule>
    <cfRule type="containsText" dxfId="4077" priority="157" operator="containsText" text="In Danger of Falling Behind Target">
      <formula>NOT(ISERROR(SEARCH("In Danger of Falling Behind Target",V113)))</formula>
    </cfRule>
    <cfRule type="containsText" dxfId="4076" priority="158" operator="containsText" text="Fully Achieved">
      <formula>NOT(ISERROR(SEARCH("Fully Achieved",V113)))</formula>
    </cfRule>
    <cfRule type="containsText" dxfId="4075" priority="159" operator="containsText" text="On track to be achieved">
      <formula>NOT(ISERROR(SEARCH("On track to be achieved",V113)))</formula>
    </cfRule>
  </conditionalFormatting>
  <conditionalFormatting sqref="R66 M66">
    <cfRule type="containsText" dxfId="4074" priority="132" operator="containsText" text="Deferred">
      <formula>NOT(ISERROR(SEARCH("Deferred",M66)))</formula>
    </cfRule>
    <cfRule type="containsText" dxfId="4073" priority="133" operator="containsText" text="Update Not Provided">
      <formula>NOT(ISERROR(SEARCH("Update Not Provided",M66)))</formula>
    </cfRule>
    <cfRule type="containsText" dxfId="4072" priority="134" operator="containsText" text="Not Yet Due">
      <formula>NOT(ISERROR(SEARCH("Not Yet Due",M66)))</formula>
    </cfRule>
    <cfRule type="containsText" dxfId="4071" priority="135" operator="containsText" text="Deleted">
      <formula>NOT(ISERROR(SEARCH("Deleted",M66)))</formula>
    </cfRule>
    <cfRule type="containsText" dxfId="4070" priority="136" operator="containsText" text="Completed Behind Schedule">
      <formula>NOT(ISERROR(SEARCH("Completed Behind Schedule",M66)))</formula>
    </cfRule>
    <cfRule type="containsText" dxfId="4069" priority="137" operator="containsText" text="Off Target">
      <formula>NOT(ISERROR(SEARCH("Off Target",M66)))</formula>
    </cfRule>
    <cfRule type="containsText" dxfId="4068" priority="138" operator="containsText" text="In Danger of Falling Behind Target">
      <formula>NOT(ISERROR(SEARCH("In Danger of Falling Behind Target",M66)))</formula>
    </cfRule>
    <cfRule type="containsText" dxfId="4067" priority="139" operator="containsText" text="Fully Achieved">
      <formula>NOT(ISERROR(SEARCH("Fully Achieved",M66)))</formula>
    </cfRule>
    <cfRule type="containsText" dxfId="4066" priority="140" operator="containsText" text="On track to be achieved">
      <formula>NOT(ISERROR(SEARCH("On track to be achieved",M66)))</formula>
    </cfRule>
  </conditionalFormatting>
  <conditionalFormatting sqref="V66">
    <cfRule type="containsText" dxfId="4065" priority="113" operator="containsText" text="Deleted">
      <formula>NOT(ISERROR(SEARCH("Deleted",V66)))</formula>
    </cfRule>
    <cfRule type="containsText" dxfId="4064" priority="114" operator="containsText" text="Deferred">
      <formula>NOT(ISERROR(SEARCH("Deferred",V66)))</formula>
    </cfRule>
    <cfRule type="containsText" dxfId="4063" priority="115" operator="containsText" text="Completion date within reasonable tolerance">
      <formula>NOT(ISERROR(SEARCH("Completion date within reasonable tolerance",V66)))</formula>
    </cfRule>
    <cfRule type="containsText" dxfId="4062" priority="116" operator="containsText" text="completed significantly after target deadline">
      <formula>NOT(ISERROR(SEARCH("completed significantly after target deadline",V66)))</formula>
    </cfRule>
    <cfRule type="containsText" dxfId="4061" priority="117" operator="containsText" text="Off target">
      <formula>NOT(ISERROR(SEARCH("Off target",V66)))</formula>
    </cfRule>
    <cfRule type="containsText" dxfId="4060" priority="118" operator="containsText" text="Target partially met">
      <formula>NOT(ISERROR(SEARCH("Target partially met",V66)))</formula>
    </cfRule>
    <cfRule type="containsText" dxfId="4059" priority="119" operator="containsText" text="Numerical outturn within 10% tolerance">
      <formula>NOT(ISERROR(SEARCH("Numerical outturn within 10% tolerance",V66)))</formula>
    </cfRule>
    <cfRule type="containsText" dxfId="4058" priority="120" operator="containsText" text="Numerical outturn within 5% Tolerance">
      <formula>NOT(ISERROR(SEARCH("Numerical outturn within 5% Tolerance",V66)))</formula>
    </cfRule>
    <cfRule type="containsText" dxfId="4057" priority="121" operator="containsText" text="Fully Achieved">
      <formula>NOT(ISERROR(SEARCH("Fully Achieved",V66)))</formula>
    </cfRule>
    <cfRule type="containsText" dxfId="4056" priority="122" operator="containsText" text="Update Not Provided">
      <formula>NOT(ISERROR(SEARCH("Update Not Provided",V66)))</formula>
    </cfRule>
    <cfRule type="containsText" dxfId="4055" priority="123" operator="containsText" text="Deferred">
      <formula>NOT(ISERROR(SEARCH("Deferred",V66)))</formula>
    </cfRule>
    <cfRule type="containsText" dxfId="4054" priority="124" operator="containsText" text="Update Not Provided">
      <formula>NOT(ISERROR(SEARCH("Update Not Provided",V66)))</formula>
    </cfRule>
    <cfRule type="containsText" dxfId="4053" priority="125" operator="containsText" text="Not Yet Due">
      <formula>NOT(ISERROR(SEARCH("Not Yet Due",V66)))</formula>
    </cfRule>
    <cfRule type="containsText" dxfId="4052" priority="126" operator="containsText" text="Deleted">
      <formula>NOT(ISERROR(SEARCH("Deleted",V66)))</formula>
    </cfRule>
    <cfRule type="containsText" dxfId="4051" priority="127" operator="containsText" text="Completed Behind Schedule">
      <formula>NOT(ISERROR(SEARCH("Completed Behind Schedule",V66)))</formula>
    </cfRule>
    <cfRule type="containsText" dxfId="4050" priority="128" operator="containsText" text="Off Target">
      <formula>NOT(ISERROR(SEARCH("Off Target",V66)))</formula>
    </cfRule>
    <cfRule type="containsText" dxfId="4049" priority="129" operator="containsText" text="In Danger of Falling Behind Target">
      <formula>NOT(ISERROR(SEARCH("In Danger of Falling Behind Target",V66)))</formula>
    </cfRule>
    <cfRule type="containsText" dxfId="4048" priority="130" operator="containsText" text="Fully Achieved">
      <formula>NOT(ISERROR(SEARCH("Fully Achieved",V66)))</formula>
    </cfRule>
    <cfRule type="containsText" dxfId="4047" priority="131" operator="containsText" text="On track to be achieved">
      <formula>NOT(ISERROR(SEARCH("On track to be achieved",V66)))</formula>
    </cfRule>
  </conditionalFormatting>
  <conditionalFormatting sqref="R67 M67">
    <cfRule type="containsText" dxfId="4046" priority="104" operator="containsText" text="Deferred">
      <formula>NOT(ISERROR(SEARCH("Deferred",M67)))</formula>
    </cfRule>
    <cfRule type="containsText" dxfId="4045" priority="105" operator="containsText" text="Update Not Provided">
      <formula>NOT(ISERROR(SEARCH("Update Not Provided",M67)))</formula>
    </cfRule>
    <cfRule type="containsText" dxfId="4044" priority="106" operator="containsText" text="Not Yet Due">
      <formula>NOT(ISERROR(SEARCH("Not Yet Due",M67)))</formula>
    </cfRule>
    <cfRule type="containsText" dxfId="4043" priority="107" operator="containsText" text="Deleted">
      <formula>NOT(ISERROR(SEARCH("Deleted",M67)))</formula>
    </cfRule>
    <cfRule type="containsText" dxfId="4042" priority="108" operator="containsText" text="Completed Behind Schedule">
      <formula>NOT(ISERROR(SEARCH("Completed Behind Schedule",M67)))</formula>
    </cfRule>
    <cfRule type="containsText" dxfId="4041" priority="109" operator="containsText" text="Off Target">
      <formula>NOT(ISERROR(SEARCH("Off Target",M67)))</formula>
    </cfRule>
    <cfRule type="containsText" dxfId="4040" priority="110" operator="containsText" text="In Danger of Falling Behind Target">
      <formula>NOT(ISERROR(SEARCH("In Danger of Falling Behind Target",M67)))</formula>
    </cfRule>
    <cfRule type="containsText" dxfId="4039" priority="111" operator="containsText" text="Fully Achieved">
      <formula>NOT(ISERROR(SEARCH("Fully Achieved",M67)))</formula>
    </cfRule>
    <cfRule type="containsText" dxfId="4038" priority="112" operator="containsText" text="On track to be achieved">
      <formula>NOT(ISERROR(SEARCH("On track to be achieved",M67)))</formula>
    </cfRule>
  </conditionalFormatting>
  <conditionalFormatting sqref="V67">
    <cfRule type="containsText" dxfId="4037" priority="85" operator="containsText" text="Deleted">
      <formula>NOT(ISERROR(SEARCH("Deleted",V67)))</formula>
    </cfRule>
    <cfRule type="containsText" dxfId="4036" priority="86" operator="containsText" text="Deferred">
      <formula>NOT(ISERROR(SEARCH("Deferred",V67)))</formula>
    </cfRule>
    <cfRule type="containsText" dxfId="4035" priority="87" operator="containsText" text="Completion date within reasonable tolerance">
      <formula>NOT(ISERROR(SEARCH("Completion date within reasonable tolerance",V67)))</formula>
    </cfRule>
    <cfRule type="containsText" dxfId="4034" priority="88" operator="containsText" text="completed significantly after target deadline">
      <formula>NOT(ISERROR(SEARCH("completed significantly after target deadline",V67)))</formula>
    </cfRule>
    <cfRule type="containsText" dxfId="4033" priority="89" operator="containsText" text="Off target">
      <formula>NOT(ISERROR(SEARCH("Off target",V67)))</formula>
    </cfRule>
    <cfRule type="containsText" dxfId="4032" priority="90" operator="containsText" text="Target partially met">
      <formula>NOT(ISERROR(SEARCH("Target partially met",V67)))</formula>
    </cfRule>
    <cfRule type="containsText" dxfId="4031" priority="91" operator="containsText" text="Numerical outturn within 10% tolerance">
      <formula>NOT(ISERROR(SEARCH("Numerical outturn within 10% tolerance",V67)))</formula>
    </cfRule>
    <cfRule type="containsText" dxfId="4030" priority="92" operator="containsText" text="Numerical outturn within 5% Tolerance">
      <formula>NOT(ISERROR(SEARCH("Numerical outturn within 5% Tolerance",V67)))</formula>
    </cfRule>
    <cfRule type="containsText" dxfId="4029" priority="93" operator="containsText" text="Fully Achieved">
      <formula>NOT(ISERROR(SEARCH("Fully Achieved",V67)))</formula>
    </cfRule>
    <cfRule type="containsText" dxfId="4028" priority="94" operator="containsText" text="Update Not Provided">
      <formula>NOT(ISERROR(SEARCH("Update Not Provided",V67)))</formula>
    </cfRule>
    <cfRule type="containsText" dxfId="4027" priority="95" operator="containsText" text="Deferred">
      <formula>NOT(ISERROR(SEARCH("Deferred",V67)))</formula>
    </cfRule>
    <cfRule type="containsText" dxfId="4026" priority="96" operator="containsText" text="Update Not Provided">
      <formula>NOT(ISERROR(SEARCH("Update Not Provided",V67)))</formula>
    </cfRule>
    <cfRule type="containsText" dxfId="4025" priority="97" operator="containsText" text="Not Yet Due">
      <formula>NOT(ISERROR(SEARCH("Not Yet Due",V67)))</formula>
    </cfRule>
    <cfRule type="containsText" dxfId="4024" priority="98" operator="containsText" text="Deleted">
      <formula>NOT(ISERROR(SEARCH("Deleted",V67)))</formula>
    </cfRule>
    <cfRule type="containsText" dxfId="4023" priority="99" operator="containsText" text="Completed Behind Schedule">
      <formula>NOT(ISERROR(SEARCH("Completed Behind Schedule",V67)))</formula>
    </cfRule>
    <cfRule type="containsText" dxfId="4022" priority="100" operator="containsText" text="Off Target">
      <formula>NOT(ISERROR(SEARCH("Off Target",V67)))</formula>
    </cfRule>
    <cfRule type="containsText" dxfId="4021" priority="101" operator="containsText" text="In Danger of Falling Behind Target">
      <formula>NOT(ISERROR(SEARCH("In Danger of Falling Behind Target",V67)))</formula>
    </cfRule>
    <cfRule type="containsText" dxfId="4020" priority="102" operator="containsText" text="Fully Achieved">
      <formula>NOT(ISERROR(SEARCH("Fully Achieved",V67)))</formula>
    </cfRule>
    <cfRule type="containsText" dxfId="4019" priority="103" operator="containsText" text="On track to be achieved">
      <formula>NOT(ISERROR(SEARCH("On track to be achieved",V67)))</formula>
    </cfRule>
  </conditionalFormatting>
  <conditionalFormatting sqref="R68 M68">
    <cfRule type="containsText" dxfId="4018" priority="76" operator="containsText" text="Deferred">
      <formula>NOT(ISERROR(SEARCH("Deferred",M68)))</formula>
    </cfRule>
    <cfRule type="containsText" dxfId="4017" priority="77" operator="containsText" text="Update Not Provided">
      <formula>NOT(ISERROR(SEARCH("Update Not Provided",M68)))</formula>
    </cfRule>
    <cfRule type="containsText" dxfId="4016" priority="78" operator="containsText" text="Not Yet Due">
      <formula>NOT(ISERROR(SEARCH("Not Yet Due",M68)))</formula>
    </cfRule>
    <cfRule type="containsText" dxfId="4015" priority="79" operator="containsText" text="Deleted">
      <formula>NOT(ISERROR(SEARCH("Deleted",M68)))</formula>
    </cfRule>
    <cfRule type="containsText" dxfId="4014" priority="80" operator="containsText" text="Completed Behind Schedule">
      <formula>NOT(ISERROR(SEARCH("Completed Behind Schedule",M68)))</formula>
    </cfRule>
    <cfRule type="containsText" dxfId="4013" priority="81" operator="containsText" text="Off Target">
      <formula>NOT(ISERROR(SEARCH("Off Target",M68)))</formula>
    </cfRule>
    <cfRule type="containsText" dxfId="4012" priority="82" operator="containsText" text="In Danger of Falling Behind Target">
      <formula>NOT(ISERROR(SEARCH("In Danger of Falling Behind Target",M68)))</formula>
    </cfRule>
    <cfRule type="containsText" dxfId="4011" priority="83" operator="containsText" text="Fully Achieved">
      <formula>NOT(ISERROR(SEARCH("Fully Achieved",M68)))</formula>
    </cfRule>
    <cfRule type="containsText" dxfId="4010" priority="84" operator="containsText" text="On track to be achieved">
      <formula>NOT(ISERROR(SEARCH("On track to be achieved",M68)))</formula>
    </cfRule>
  </conditionalFormatting>
  <conditionalFormatting sqref="V68">
    <cfRule type="containsText" dxfId="4009" priority="57" operator="containsText" text="Deleted">
      <formula>NOT(ISERROR(SEARCH("Deleted",V68)))</formula>
    </cfRule>
    <cfRule type="containsText" dxfId="4008" priority="58" operator="containsText" text="Deferred">
      <formula>NOT(ISERROR(SEARCH("Deferred",V68)))</formula>
    </cfRule>
    <cfRule type="containsText" dxfId="4007" priority="59" operator="containsText" text="Completion date within reasonable tolerance">
      <formula>NOT(ISERROR(SEARCH("Completion date within reasonable tolerance",V68)))</formula>
    </cfRule>
    <cfRule type="containsText" dxfId="4006" priority="60" operator="containsText" text="completed significantly after target deadline">
      <formula>NOT(ISERROR(SEARCH("completed significantly after target deadline",V68)))</formula>
    </cfRule>
    <cfRule type="containsText" dxfId="4005" priority="61" operator="containsText" text="Off target">
      <formula>NOT(ISERROR(SEARCH("Off target",V68)))</formula>
    </cfRule>
    <cfRule type="containsText" dxfId="4004" priority="62" operator="containsText" text="Target partially met">
      <formula>NOT(ISERROR(SEARCH("Target partially met",V68)))</formula>
    </cfRule>
    <cfRule type="containsText" dxfId="4003" priority="63" operator="containsText" text="Numerical outturn within 10% tolerance">
      <formula>NOT(ISERROR(SEARCH("Numerical outturn within 10% tolerance",V68)))</formula>
    </cfRule>
    <cfRule type="containsText" dxfId="4002" priority="64" operator="containsText" text="Numerical outturn within 5% Tolerance">
      <formula>NOT(ISERROR(SEARCH("Numerical outturn within 5% Tolerance",V68)))</formula>
    </cfRule>
    <cfRule type="containsText" dxfId="4001" priority="65" operator="containsText" text="Fully Achieved">
      <formula>NOT(ISERROR(SEARCH("Fully Achieved",V68)))</formula>
    </cfRule>
    <cfRule type="containsText" dxfId="4000" priority="66" operator="containsText" text="Update Not Provided">
      <formula>NOT(ISERROR(SEARCH("Update Not Provided",V68)))</formula>
    </cfRule>
    <cfRule type="containsText" dxfId="3999" priority="67" operator="containsText" text="Deferred">
      <formula>NOT(ISERROR(SEARCH("Deferred",V68)))</formula>
    </cfRule>
    <cfRule type="containsText" dxfId="3998" priority="68" operator="containsText" text="Update Not Provided">
      <formula>NOT(ISERROR(SEARCH("Update Not Provided",V68)))</formula>
    </cfRule>
    <cfRule type="containsText" dxfId="3997" priority="69" operator="containsText" text="Not Yet Due">
      <formula>NOT(ISERROR(SEARCH("Not Yet Due",V68)))</formula>
    </cfRule>
    <cfRule type="containsText" dxfId="3996" priority="70" operator="containsText" text="Deleted">
      <formula>NOT(ISERROR(SEARCH("Deleted",V68)))</formula>
    </cfRule>
    <cfRule type="containsText" dxfId="3995" priority="71" operator="containsText" text="Completed Behind Schedule">
      <formula>NOT(ISERROR(SEARCH("Completed Behind Schedule",V68)))</formula>
    </cfRule>
    <cfRule type="containsText" dxfId="3994" priority="72" operator="containsText" text="Off Target">
      <formula>NOT(ISERROR(SEARCH("Off Target",V68)))</formula>
    </cfRule>
    <cfRule type="containsText" dxfId="3993" priority="73" operator="containsText" text="In Danger of Falling Behind Target">
      <formula>NOT(ISERROR(SEARCH("In Danger of Falling Behind Target",V68)))</formula>
    </cfRule>
    <cfRule type="containsText" dxfId="3992" priority="74" operator="containsText" text="Fully Achieved">
      <formula>NOT(ISERROR(SEARCH("Fully Achieved",V68)))</formula>
    </cfRule>
    <cfRule type="containsText" dxfId="3991" priority="75" operator="containsText" text="On track to be achieved">
      <formula>NOT(ISERROR(SEARCH("On track to be achieved",V68)))</formula>
    </cfRule>
  </conditionalFormatting>
  <conditionalFormatting sqref="R14 M14">
    <cfRule type="containsText" dxfId="3990" priority="48" operator="containsText" text="Deferred">
      <formula>NOT(ISERROR(SEARCH("Deferred",M14)))</formula>
    </cfRule>
    <cfRule type="containsText" dxfId="3989" priority="49" operator="containsText" text="Update Not Provided">
      <formula>NOT(ISERROR(SEARCH("Update Not Provided",M14)))</formula>
    </cfRule>
    <cfRule type="containsText" dxfId="3988" priority="50" operator="containsText" text="Not Yet Due">
      <formula>NOT(ISERROR(SEARCH("Not Yet Due",M14)))</formula>
    </cfRule>
    <cfRule type="containsText" dxfId="3987" priority="51" operator="containsText" text="Deleted">
      <formula>NOT(ISERROR(SEARCH("Deleted",M14)))</formula>
    </cfRule>
    <cfRule type="containsText" dxfId="3986" priority="52" operator="containsText" text="Completed Behind Schedule">
      <formula>NOT(ISERROR(SEARCH("Completed Behind Schedule",M14)))</formula>
    </cfRule>
    <cfRule type="containsText" dxfId="3985" priority="53" operator="containsText" text="Off Target">
      <formula>NOT(ISERROR(SEARCH("Off Target",M14)))</formula>
    </cfRule>
    <cfRule type="containsText" dxfId="3984" priority="54" operator="containsText" text="In Danger of Falling Behind Target">
      <formula>NOT(ISERROR(SEARCH("In Danger of Falling Behind Target",M14)))</formula>
    </cfRule>
    <cfRule type="containsText" dxfId="3983" priority="55" operator="containsText" text="Fully Achieved">
      <formula>NOT(ISERROR(SEARCH("Fully Achieved",M14)))</formula>
    </cfRule>
    <cfRule type="containsText" dxfId="3982" priority="56" operator="containsText" text="On track to be achieved">
      <formula>NOT(ISERROR(SEARCH("On track to be achieved",M14)))</formula>
    </cfRule>
  </conditionalFormatting>
  <conditionalFormatting sqref="V14">
    <cfRule type="containsText" dxfId="3981" priority="29" operator="containsText" text="Deleted">
      <formula>NOT(ISERROR(SEARCH("Deleted",V14)))</formula>
    </cfRule>
    <cfRule type="containsText" dxfId="3980" priority="30" operator="containsText" text="Deferred">
      <formula>NOT(ISERROR(SEARCH("Deferred",V14)))</formula>
    </cfRule>
    <cfRule type="containsText" dxfId="3979" priority="31" operator="containsText" text="Completion date within reasonable tolerance">
      <formula>NOT(ISERROR(SEARCH("Completion date within reasonable tolerance",V14)))</formula>
    </cfRule>
    <cfRule type="containsText" dxfId="3978" priority="32" operator="containsText" text="completed significantly after target deadline">
      <formula>NOT(ISERROR(SEARCH("completed significantly after target deadline",V14)))</formula>
    </cfRule>
    <cfRule type="containsText" dxfId="3977" priority="33" operator="containsText" text="Off target">
      <formula>NOT(ISERROR(SEARCH("Off target",V14)))</formula>
    </cfRule>
    <cfRule type="containsText" dxfId="3976" priority="34" operator="containsText" text="Target partially met">
      <formula>NOT(ISERROR(SEARCH("Target partially met",V14)))</formula>
    </cfRule>
    <cfRule type="containsText" dxfId="3975" priority="35" operator="containsText" text="Numerical outturn within 10% tolerance">
      <formula>NOT(ISERROR(SEARCH("Numerical outturn within 10% tolerance",V14)))</formula>
    </cfRule>
    <cfRule type="containsText" dxfId="3974" priority="36" operator="containsText" text="Numerical outturn within 5% Tolerance">
      <formula>NOT(ISERROR(SEARCH("Numerical outturn within 5% Tolerance",V14)))</formula>
    </cfRule>
    <cfRule type="containsText" dxfId="3973" priority="37" operator="containsText" text="Fully Achieved">
      <formula>NOT(ISERROR(SEARCH("Fully Achieved",V14)))</formula>
    </cfRule>
    <cfRule type="containsText" dxfId="3972" priority="38" operator="containsText" text="Update Not Provided">
      <formula>NOT(ISERROR(SEARCH("Update Not Provided",V14)))</formula>
    </cfRule>
    <cfRule type="containsText" dxfId="3971" priority="39" operator="containsText" text="Deferred">
      <formula>NOT(ISERROR(SEARCH("Deferred",V14)))</formula>
    </cfRule>
    <cfRule type="containsText" dxfId="3970" priority="40" operator="containsText" text="Update Not Provided">
      <formula>NOT(ISERROR(SEARCH("Update Not Provided",V14)))</formula>
    </cfRule>
    <cfRule type="containsText" dxfId="3969" priority="41" operator="containsText" text="Not Yet Due">
      <formula>NOT(ISERROR(SEARCH("Not Yet Due",V14)))</formula>
    </cfRule>
    <cfRule type="containsText" dxfId="3968" priority="42" operator="containsText" text="Deleted">
      <formula>NOT(ISERROR(SEARCH("Deleted",V14)))</formula>
    </cfRule>
    <cfRule type="containsText" dxfId="3967" priority="43" operator="containsText" text="Completed Behind Schedule">
      <formula>NOT(ISERROR(SEARCH("Completed Behind Schedule",V14)))</formula>
    </cfRule>
    <cfRule type="containsText" dxfId="3966" priority="44" operator="containsText" text="Off Target">
      <formula>NOT(ISERROR(SEARCH("Off Target",V14)))</formula>
    </cfRule>
    <cfRule type="containsText" dxfId="3965" priority="45" operator="containsText" text="In Danger of Falling Behind Target">
      <formula>NOT(ISERROR(SEARCH("In Danger of Falling Behind Target",V14)))</formula>
    </cfRule>
    <cfRule type="containsText" dxfId="3964" priority="46" operator="containsText" text="Fully Achieved">
      <formula>NOT(ISERROR(SEARCH("Fully Achieved",V14)))</formula>
    </cfRule>
    <cfRule type="containsText" dxfId="3963" priority="47" operator="containsText" text="On track to be achieved">
      <formula>NOT(ISERROR(SEARCH("On track to be achieved",V14)))</formula>
    </cfRule>
  </conditionalFormatting>
  <conditionalFormatting sqref="M88 R88">
    <cfRule type="containsText" dxfId="3962" priority="20" operator="containsText" text="Deferred">
      <formula>NOT(ISERROR(SEARCH("Deferred",M88)))</formula>
    </cfRule>
    <cfRule type="containsText" dxfId="3961" priority="21" operator="containsText" text="Update Not Provided">
      <formula>NOT(ISERROR(SEARCH("Update Not Provided",M88)))</formula>
    </cfRule>
    <cfRule type="containsText" dxfId="3960" priority="22" operator="containsText" text="Not Yet Due">
      <formula>NOT(ISERROR(SEARCH("Not Yet Due",M88)))</formula>
    </cfRule>
    <cfRule type="containsText" dxfId="3959" priority="23" operator="containsText" text="Deleted">
      <formula>NOT(ISERROR(SEARCH("Deleted",M88)))</formula>
    </cfRule>
    <cfRule type="containsText" dxfId="3958" priority="24" operator="containsText" text="Completed Behind Schedule">
      <formula>NOT(ISERROR(SEARCH("Completed Behind Schedule",M88)))</formula>
    </cfRule>
    <cfRule type="containsText" dxfId="3957" priority="25" operator="containsText" text="Off Target">
      <formula>NOT(ISERROR(SEARCH("Off Target",M88)))</formula>
    </cfRule>
    <cfRule type="containsText" dxfId="3956" priority="26" operator="containsText" text="In Danger of Falling Behind Target">
      <formula>NOT(ISERROR(SEARCH("In Danger of Falling Behind Target",M88)))</formula>
    </cfRule>
    <cfRule type="containsText" dxfId="3955" priority="27" operator="containsText" text="Fully Achieved">
      <formula>NOT(ISERROR(SEARCH("Fully Achieved",M88)))</formula>
    </cfRule>
    <cfRule type="containsText" dxfId="3954" priority="28" operator="containsText" text="On track to be achieved">
      <formula>NOT(ISERROR(SEARCH("On track to be achieved",M88)))</formula>
    </cfRule>
  </conditionalFormatting>
  <conditionalFormatting sqref="V88">
    <cfRule type="containsText" dxfId="3953" priority="1" operator="containsText" text="Deleted">
      <formula>NOT(ISERROR(SEARCH("Deleted",V88)))</formula>
    </cfRule>
    <cfRule type="containsText" dxfId="3952" priority="2" operator="containsText" text="Deferred">
      <formula>NOT(ISERROR(SEARCH("Deferred",V88)))</formula>
    </cfRule>
    <cfRule type="containsText" dxfId="3951" priority="3" operator="containsText" text="Completion date within reasonable tolerance">
      <formula>NOT(ISERROR(SEARCH("Completion date within reasonable tolerance",V88)))</formula>
    </cfRule>
    <cfRule type="containsText" dxfId="3950" priority="4" operator="containsText" text="completed significantly after target deadline">
      <formula>NOT(ISERROR(SEARCH("completed significantly after target deadline",V88)))</formula>
    </cfRule>
    <cfRule type="containsText" dxfId="3949" priority="5" operator="containsText" text="Off target">
      <formula>NOT(ISERROR(SEARCH("Off target",V88)))</formula>
    </cfRule>
    <cfRule type="containsText" dxfId="3948" priority="6" operator="containsText" text="Target partially met">
      <formula>NOT(ISERROR(SEARCH("Target partially met",V88)))</formula>
    </cfRule>
    <cfRule type="containsText" dxfId="3947" priority="7" operator="containsText" text="Numerical outturn within 10% tolerance">
      <formula>NOT(ISERROR(SEARCH("Numerical outturn within 10% tolerance",V88)))</formula>
    </cfRule>
    <cfRule type="containsText" dxfId="3946" priority="8" operator="containsText" text="Numerical outturn within 5% Tolerance">
      <formula>NOT(ISERROR(SEARCH("Numerical outturn within 5% Tolerance",V88)))</formula>
    </cfRule>
    <cfRule type="containsText" dxfId="3945" priority="9" operator="containsText" text="Fully Achieved">
      <formula>NOT(ISERROR(SEARCH("Fully Achieved",V88)))</formula>
    </cfRule>
    <cfRule type="containsText" dxfId="3944" priority="10" operator="containsText" text="Update Not Provided">
      <formula>NOT(ISERROR(SEARCH("Update Not Provided",V88)))</formula>
    </cfRule>
    <cfRule type="containsText" dxfId="3943" priority="11" operator="containsText" text="Deferred">
      <formula>NOT(ISERROR(SEARCH("Deferred",V88)))</formula>
    </cfRule>
    <cfRule type="containsText" dxfId="3942" priority="12" operator="containsText" text="Update Not Provided">
      <formula>NOT(ISERROR(SEARCH("Update Not Provided",V88)))</formula>
    </cfRule>
    <cfRule type="containsText" dxfId="3941" priority="13" operator="containsText" text="Not Yet Due">
      <formula>NOT(ISERROR(SEARCH("Not Yet Due",V88)))</formula>
    </cfRule>
    <cfRule type="containsText" dxfId="3940" priority="14" operator="containsText" text="Deleted">
      <formula>NOT(ISERROR(SEARCH("Deleted",V88)))</formula>
    </cfRule>
    <cfRule type="containsText" dxfId="3939" priority="15" operator="containsText" text="Completed Behind Schedule">
      <formula>NOT(ISERROR(SEARCH("Completed Behind Schedule",V88)))</formula>
    </cfRule>
    <cfRule type="containsText" dxfId="3938" priority="16" operator="containsText" text="Off Target">
      <formula>NOT(ISERROR(SEARCH("Off Target",V88)))</formula>
    </cfRule>
    <cfRule type="containsText" dxfId="3937" priority="17" operator="containsText" text="In Danger of Falling Behind Target">
      <formula>NOT(ISERROR(SEARCH("In Danger of Falling Behind Target",V88)))</formula>
    </cfRule>
    <cfRule type="containsText" dxfId="3936" priority="18" operator="containsText" text="Fully Achieved">
      <formula>NOT(ISERROR(SEARCH("Fully Achieved",V88)))</formula>
    </cfRule>
    <cfRule type="containsText" dxfId="3935" priority="19" operator="containsText" text="On track to be achieved">
      <formula>NOT(ISERROR(SEARCH("On track to be achieved",V88)))</formula>
    </cfRule>
  </conditionalFormatting>
  <dataValidations xWindow="1200" yWindow="839" count="2">
    <dataValidation type="list" allowBlank="1" showInputMessage="1" showErrorMessage="1" promptTitle="Is target on track?" prompt="Please choose an option from the drop down list that best describes the current situation for this target." sqref="V3:V134">
      <formula1>$A$153:$A$162</formula1>
    </dataValidation>
    <dataValidation type="list" allowBlank="1" showInputMessage="1" showErrorMessage="1" promptTitle="Is target on track?" prompt="Please choose an option from the drop down list that best describes the current situation for this target." sqref="R3:R134 M3:M134 H137 H3:H134">
      <formula1>$A$171:$A$179</formula1>
    </dataValidation>
  </dataValidations>
  <pageMargins left="0.25" right="0.25" top="0.75" bottom="0.75" header="0.3" footer="0.3"/>
  <pageSetup paperSize="8"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9"/>
  <sheetViews>
    <sheetView workbookViewId="0"/>
  </sheetViews>
  <sheetFormatPr defaultColWidth="9.33203125" defaultRowHeight="14.4"/>
  <cols>
    <col min="1" max="1" width="12.6640625" style="100" customWidth="1"/>
    <col min="2" max="2" width="55.44140625" style="100" customWidth="1"/>
    <col min="3" max="3" width="46.5546875" style="123" customWidth="1"/>
    <col min="4" max="10" width="26.33203125" style="100" customWidth="1"/>
    <col min="11" max="14" width="9.33203125" style="98" customWidth="1"/>
    <col min="15" max="15" width="16.5546875" style="98" hidden="1" customWidth="1"/>
    <col min="16" max="19" width="9.33203125" style="98" hidden="1" customWidth="1"/>
    <col min="20" max="20" width="24.6640625" style="98" hidden="1" customWidth="1"/>
    <col min="21" max="25" width="9.33203125" style="98" hidden="1" customWidth="1"/>
    <col min="26" max="26" width="0" style="98" hidden="1" customWidth="1"/>
    <col min="27" max="46" width="9.33203125" style="98"/>
    <col min="47" max="16384" width="9.33203125" style="100"/>
  </cols>
  <sheetData>
    <row r="1" spans="1:46" s="90" customFormat="1" ht="24" customHeight="1">
      <c r="A1" s="89" t="s">
        <v>44</v>
      </c>
      <c r="C1" s="91"/>
    </row>
    <row r="2" spans="1:46" s="93" customFormat="1" ht="63">
      <c r="A2" s="132" t="s">
        <v>58</v>
      </c>
      <c r="B2" s="132" t="s">
        <v>0</v>
      </c>
      <c r="C2" s="132" t="s">
        <v>1</v>
      </c>
      <c r="D2" s="133" t="s">
        <v>59</v>
      </c>
      <c r="E2" s="133" t="s">
        <v>60</v>
      </c>
      <c r="F2" s="133" t="s">
        <v>61</v>
      </c>
      <c r="G2" s="133" t="s">
        <v>62</v>
      </c>
      <c r="H2" s="133" t="s">
        <v>63</v>
      </c>
      <c r="I2" s="133" t="s">
        <v>64</v>
      </c>
      <c r="J2" s="133" t="s">
        <v>65</v>
      </c>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46" ht="99.75" customHeight="1" thickBot="1">
      <c r="A3" s="113" t="e">
        <f>'1. All Data'!#REF!</f>
        <v>#REF!</v>
      </c>
      <c r="B3" s="127" t="e">
        <f>'1. All Data'!#REF!</f>
        <v>#REF!</v>
      </c>
      <c r="C3" s="129" t="e">
        <f>'1. All Data'!#REF!</f>
        <v>#REF!</v>
      </c>
      <c r="D3" s="124" t="e">
        <f>'1. All Data'!#REF!</f>
        <v>#REF!</v>
      </c>
      <c r="E3" s="130"/>
      <c r="F3" s="125" t="e">
        <f>'1. All Data'!#REF!</f>
        <v>#REF!</v>
      </c>
      <c r="G3" s="131"/>
      <c r="H3" s="124" t="e">
        <f>'1. All Data'!#REF!</f>
        <v>#REF!</v>
      </c>
      <c r="I3" s="131"/>
      <c r="J3" s="124" t="e">
        <f>'1. All Data'!#REF!</f>
        <v>#REF!</v>
      </c>
      <c r="O3" s="99" t="s">
        <v>67</v>
      </c>
    </row>
    <row r="4" spans="1:46" ht="99.75" customHeight="1" thickTop="1" thickBot="1">
      <c r="A4" s="95" t="str">
        <f>'1. All Data'!B3</f>
        <v>ILD01</v>
      </c>
      <c r="B4" s="127" t="str">
        <f>'1. All Data'!C3</f>
        <v>Improving links between the Parish Councils and ESBC</v>
      </c>
      <c r="C4" s="128" t="str">
        <f>'1. All Data'!D3</f>
        <v>Hold 2 Parish Council Forum events during the year with one event covering Climate Change as a key issue</v>
      </c>
      <c r="D4" s="124" t="str">
        <f>'1. All Data'!H3</f>
        <v>On Track to be Achieved</v>
      </c>
      <c r="E4" s="97"/>
      <c r="F4" s="125">
        <f>'1. All Data'!M3</f>
        <v>0</v>
      </c>
      <c r="G4" s="97"/>
      <c r="H4" s="126">
        <f>'1. All Data'!R3</f>
        <v>0</v>
      </c>
      <c r="I4" s="97"/>
      <c r="J4" s="126">
        <f>'1. All Data'!V3</f>
        <v>0</v>
      </c>
      <c r="O4" s="99" t="s">
        <v>69</v>
      </c>
      <c r="Y4" s="97" t="s">
        <v>68</v>
      </c>
    </row>
    <row r="5" spans="1:46" ht="99.75" customHeight="1" thickTop="1" thickBot="1">
      <c r="A5" s="95" t="str">
        <f>'1. All Data'!B4</f>
        <v>ILD02</v>
      </c>
      <c r="B5" s="127" t="str">
        <f>'1. All Data'!C4</f>
        <v>Car Parking Initiatives</v>
      </c>
      <c r="C5" s="128" t="str">
        <f>'1. All Data'!D4</f>
        <v>Consider findings of a consultation on potential non-cash parking payment options</v>
      </c>
      <c r="D5" s="124" t="str">
        <f>'1. All Data'!H4</f>
        <v>On Track to be Achieved</v>
      </c>
      <c r="E5" s="97"/>
      <c r="F5" s="125">
        <f>'1. All Data'!M4</f>
        <v>0</v>
      </c>
      <c r="G5" s="97"/>
      <c r="H5" s="126">
        <f>'1. All Data'!R4</f>
        <v>0</v>
      </c>
      <c r="I5" s="97"/>
      <c r="J5" s="126">
        <f>'1. All Data'!V4</f>
        <v>0</v>
      </c>
      <c r="O5" s="99" t="s">
        <v>70</v>
      </c>
      <c r="T5" s="101"/>
      <c r="Y5" s="102" t="s">
        <v>71</v>
      </c>
    </row>
    <row r="6" spans="1:46" ht="88.8" thickTop="1" thickBot="1">
      <c r="A6" s="95" t="str">
        <f>'1. All Data'!B5</f>
        <v>ILD03</v>
      </c>
      <c r="B6" s="127" t="str">
        <f>'1. All Data'!C5</f>
        <v>Delivering a high quality Planning service</v>
      </c>
      <c r="C6" s="128" t="str">
        <f>'1. All Data'!D5</f>
        <v xml:space="preserve">Refresh the Member Call In procedures for planning applications and update the Constitution accordingly </v>
      </c>
      <c r="D6" s="124" t="str">
        <f>'1. All Data'!H5</f>
        <v>Off Target</v>
      </c>
      <c r="E6" s="97"/>
      <c r="F6" s="125">
        <f>'1. All Data'!M5</f>
        <v>0</v>
      </c>
      <c r="G6" s="97"/>
      <c r="H6" s="126">
        <f>'1. All Data'!R5</f>
        <v>0</v>
      </c>
      <c r="I6" s="97"/>
      <c r="J6" s="126">
        <f>'1. All Data'!V5</f>
        <v>0</v>
      </c>
      <c r="O6" s="103" t="s">
        <v>66</v>
      </c>
      <c r="T6" s="104" t="s">
        <v>71</v>
      </c>
    </row>
    <row r="7" spans="1:46" ht="99.75" customHeight="1" thickTop="1">
      <c r="A7" s="95" t="str">
        <f>'1. All Data'!B6</f>
        <v>ILD04</v>
      </c>
      <c r="B7" s="127" t="str">
        <f>'1. All Data'!C6</f>
        <v>Improving Financial Stewardship</v>
      </c>
      <c r="C7" s="128" t="str">
        <f>'1. All Data'!D6</f>
        <v>Approve the revised Treasury Management Strategy</v>
      </c>
      <c r="D7" s="124" t="str">
        <f>'1. All Data'!H6</f>
        <v>Not Yet Due</v>
      </c>
      <c r="E7" s="97"/>
      <c r="F7" s="125">
        <f>'1. All Data'!M6</f>
        <v>0</v>
      </c>
      <c r="G7" s="97"/>
      <c r="H7" s="126">
        <f>'1. All Data'!R6</f>
        <v>0</v>
      </c>
      <c r="I7" s="97"/>
      <c r="J7" s="126">
        <f>'1. All Data'!V6</f>
        <v>0</v>
      </c>
      <c r="T7" s="104" t="s">
        <v>72</v>
      </c>
    </row>
    <row r="8" spans="1:46" ht="99.75" customHeight="1">
      <c r="A8" s="95" t="str">
        <f>'1. All Data'!B7</f>
        <v>ILD05</v>
      </c>
      <c r="B8" s="127" t="str">
        <f>'1. All Data'!C7</f>
        <v>Improving Financial Stewardship</v>
      </c>
      <c r="C8" s="128" t="str">
        <f>'1. All Data'!D7</f>
        <v>Approve the revised Medium Term Financial Strategy</v>
      </c>
      <c r="D8" s="124" t="str">
        <f>'1. All Data'!H7</f>
        <v>Not Yet Due</v>
      </c>
      <c r="E8" s="97"/>
      <c r="F8" s="125">
        <f>'1. All Data'!M7</f>
        <v>0</v>
      </c>
      <c r="G8" s="97"/>
      <c r="H8" s="126">
        <f>'1. All Data'!R7</f>
        <v>0</v>
      </c>
      <c r="I8" s="97"/>
      <c r="J8" s="126">
        <f>'1. All Data'!V7</f>
        <v>0</v>
      </c>
      <c r="T8" s="104" t="s">
        <v>68</v>
      </c>
    </row>
    <row r="9" spans="1:46" ht="99.75" customHeight="1">
      <c r="A9" s="95" t="str">
        <f>'1. All Data'!B8</f>
        <v>ILD06</v>
      </c>
      <c r="B9" s="127" t="str">
        <f>'1. All Data'!C8</f>
        <v>Improving Financial Stewardship</v>
      </c>
      <c r="C9" s="128" t="str">
        <f>'1. All Data'!D8</f>
        <v>Implementation of the recommendations contained within the Auditor’s Annual Report for 2022/23</v>
      </c>
      <c r="D9" s="124" t="str">
        <f>'1. All Data'!H8</f>
        <v>On Track to be Achieved</v>
      </c>
      <c r="E9" s="96"/>
      <c r="F9" s="125">
        <f>'1. All Data'!M8</f>
        <v>0</v>
      </c>
      <c r="G9" s="97"/>
      <c r="H9" s="126">
        <f>'1. All Data'!R8</f>
        <v>0</v>
      </c>
      <c r="I9" s="97"/>
      <c r="J9" s="126">
        <f>'1. All Data'!V8</f>
        <v>0</v>
      </c>
    </row>
    <row r="10" spans="1:46" ht="99.75" customHeight="1">
      <c r="A10" s="95" t="str">
        <f>'1. All Data'!B9</f>
        <v>ILD07</v>
      </c>
      <c r="B10" s="127" t="str">
        <f>'1. All Data'!C9</f>
        <v>Improving Financial Stewardship</v>
      </c>
      <c r="C10" s="128" t="str">
        <f>'1. All Data'!D9</f>
        <v>Non-ringfenced reserves as a % of Net Revenue Expenditure (OFLOG Indicator): at least 10%</v>
      </c>
      <c r="D10" s="124" t="str">
        <f>'1. All Data'!H9</f>
        <v>On Track to be Achieved</v>
      </c>
      <c r="E10" s="96"/>
      <c r="F10" s="125">
        <f>'1. All Data'!M9</f>
        <v>0</v>
      </c>
      <c r="G10" s="97"/>
      <c r="H10" s="126">
        <f>'1. All Data'!R9</f>
        <v>0</v>
      </c>
      <c r="I10" s="97"/>
      <c r="J10" s="126">
        <f>'1. All Data'!V9</f>
        <v>0</v>
      </c>
    </row>
    <row r="11" spans="1:46" ht="99.75" customHeight="1">
      <c r="A11" s="95" t="str">
        <f>'1. All Data'!B10</f>
        <v>ILD08</v>
      </c>
      <c r="B11" s="127" t="str">
        <f>'1. All Data'!C10</f>
        <v>Improving Financial Stewardship</v>
      </c>
      <c r="C11" s="128" t="str">
        <f>'1. All Data'!D10</f>
        <v>Non-ringfenced reserves as a % of service spend (OFLOG Indicator): at least 8%</v>
      </c>
      <c r="D11" s="124" t="str">
        <f>'1. All Data'!H10</f>
        <v>On Track to be Achieved</v>
      </c>
      <c r="E11" s="96"/>
      <c r="F11" s="125">
        <f>'1. All Data'!M10</f>
        <v>0</v>
      </c>
      <c r="G11" s="97"/>
      <c r="H11" s="126">
        <f>'1. All Data'!R10</f>
        <v>0</v>
      </c>
      <c r="I11" s="97"/>
      <c r="J11" s="126">
        <f>'1. All Data'!V10</f>
        <v>0</v>
      </c>
    </row>
    <row r="12" spans="1:46" ht="99.75" customHeight="1">
      <c r="A12" s="95" t="str">
        <f>'1. All Data'!B11</f>
        <v>ILD09</v>
      </c>
      <c r="B12" s="127" t="str">
        <f>'1. All Data'!C11</f>
        <v>Improving Financial Stewardship</v>
      </c>
      <c r="C12" s="128" t="str">
        <f>'1. All Data'!D11</f>
        <v>Proactively respond to consultations relating to significant Local Government Finance Changes</v>
      </c>
      <c r="D12" s="124" t="str">
        <f>'1. All Data'!H11</f>
        <v>Not Yet Due</v>
      </c>
      <c r="E12" s="97"/>
      <c r="F12" s="125">
        <f>'1. All Data'!M11</f>
        <v>0</v>
      </c>
      <c r="G12" s="97"/>
      <c r="H12" s="126">
        <f>'1. All Data'!R11</f>
        <v>0</v>
      </c>
      <c r="I12" s="104"/>
      <c r="J12" s="126">
        <f>'1. All Data'!V11</f>
        <v>0</v>
      </c>
    </row>
    <row r="13" spans="1:46" ht="99.75" customHeight="1">
      <c r="A13" s="95" t="str">
        <f>'1. All Data'!B12</f>
        <v>ILD10</v>
      </c>
      <c r="B13" s="127" t="str">
        <f>'1. All Data'!C12</f>
        <v>Improving Financial Stewardship</v>
      </c>
      <c r="C13" s="128" t="str">
        <f>'1. All Data'!D12</f>
        <v>Close the 2021/22 and 2022/23 accounts and meet required deadlines for the 2023/24 accounts</v>
      </c>
      <c r="D13" s="124" t="str">
        <f>'1. All Data'!H12</f>
        <v>Completed Behind Schedule</v>
      </c>
      <c r="E13" s="97"/>
      <c r="F13" s="125">
        <f>'1. All Data'!M12</f>
        <v>0</v>
      </c>
      <c r="G13" s="97"/>
      <c r="H13" s="126">
        <f>'1. All Data'!R12</f>
        <v>0</v>
      </c>
      <c r="I13" s="97"/>
      <c r="J13" s="126">
        <f>'1. All Data'!V12</f>
        <v>0</v>
      </c>
    </row>
    <row r="14" spans="1:46" ht="99.75" customHeight="1">
      <c r="A14" s="95" t="str">
        <f>'1. All Data'!B13</f>
        <v>ILD11</v>
      </c>
      <c r="B14" s="127" t="str">
        <f>'1. All Data'!C13</f>
        <v>Improving Financial Stewardship</v>
      </c>
      <c r="C14" s="128" t="str">
        <f>'1. All Data'!D13</f>
        <v>Approve a revised Risk Management Policy</v>
      </c>
      <c r="D14" s="124" t="str">
        <f>'1. All Data'!H13</f>
        <v>Not Yet Due</v>
      </c>
      <c r="E14" s="97"/>
      <c r="F14" s="125">
        <f>'1. All Data'!M13</f>
        <v>0</v>
      </c>
      <c r="G14" s="97"/>
      <c r="H14" s="126">
        <f>'1. All Data'!R13</f>
        <v>0</v>
      </c>
      <c r="I14" s="97"/>
      <c r="J14" s="126">
        <f>'1. All Data'!V13</f>
        <v>0</v>
      </c>
    </row>
    <row r="15" spans="1:46" ht="99.75" customHeight="1">
      <c r="A15" s="95" t="str">
        <f>'1. All Data'!B15</f>
        <v>ILD13</v>
      </c>
      <c r="B15" s="127" t="str">
        <f>'1. All Data'!C15</f>
        <v>Improving Local Democracy and Consultation</v>
      </c>
      <c r="C15" s="128" t="str">
        <f>'1. All Data'!D15</f>
        <v>Consider whether there is a suitable topic that may benefit from the attention of the Citizen’s jury model</v>
      </c>
      <c r="D15" s="124" t="str">
        <f>'1. All Data'!H15</f>
        <v>Not Yet Due</v>
      </c>
      <c r="E15" s="97"/>
      <c r="F15" s="125">
        <f>'1. All Data'!M15</f>
        <v>0</v>
      </c>
      <c r="G15" s="97"/>
      <c r="H15" s="126">
        <f>'1. All Data'!R15</f>
        <v>0</v>
      </c>
      <c r="I15" s="97"/>
      <c r="J15" s="126">
        <f>'1. All Data'!V15</f>
        <v>0</v>
      </c>
    </row>
    <row r="16" spans="1:46" ht="99.75" customHeight="1">
      <c r="A16" s="95" t="str">
        <f>'1. All Data'!B16</f>
        <v>ILD14</v>
      </c>
      <c r="B16" s="127" t="str">
        <f>'1. All Data'!C16</f>
        <v>Improving Local Democracy and Consultation</v>
      </c>
      <c r="C16" s="128" t="str">
        <f>'1. All Data'!D16</f>
        <v>Embed Livestreaming into other Council Committee meetings</v>
      </c>
      <c r="D16" s="124" t="str">
        <f>'1. All Data'!H16</f>
        <v>On Track to be Achieved</v>
      </c>
      <c r="E16" s="97"/>
      <c r="F16" s="125">
        <f>'1. All Data'!M16</f>
        <v>0</v>
      </c>
      <c r="G16" s="97"/>
      <c r="H16" s="126">
        <f>'1. All Data'!R16</f>
        <v>0</v>
      </c>
      <c r="I16" s="97"/>
      <c r="J16" s="126">
        <f>'1. All Data'!V16</f>
        <v>0</v>
      </c>
    </row>
    <row r="17" spans="1:10" ht="99.75" customHeight="1">
      <c r="A17" s="95" t="str">
        <f>'1. All Data'!B17</f>
        <v>ILD15</v>
      </c>
      <c r="B17" s="127" t="str">
        <f>'1. All Data'!C17</f>
        <v>Successful Delivery of Elections</v>
      </c>
      <c r="C17" s="128" t="str">
        <f>'1. All Data'!D17</f>
        <v>PFCC election successfully delivered as PARO</v>
      </c>
      <c r="D17" s="124" t="str">
        <f>'1. All Data'!H17</f>
        <v>Fully Achieved</v>
      </c>
      <c r="E17" s="97"/>
      <c r="F17" s="125">
        <f>'1. All Data'!M17</f>
        <v>0</v>
      </c>
      <c r="G17" s="97"/>
      <c r="H17" s="126">
        <f>'1. All Data'!R17</f>
        <v>0</v>
      </c>
      <c r="I17" s="97"/>
      <c r="J17" s="126">
        <f>'1. All Data'!V17</f>
        <v>0</v>
      </c>
    </row>
    <row r="18" spans="1:10" ht="99.75" customHeight="1">
      <c r="A18" s="95" t="str">
        <f>'1. All Data'!B18</f>
        <v>ILD16</v>
      </c>
      <c r="B18" s="127" t="str">
        <f>'1. All Data'!C18</f>
        <v>Successful Delivery of Elections</v>
      </c>
      <c r="C18" s="128" t="str">
        <f>'1. All Data'!D18</f>
        <v>General Election successfully delivered</v>
      </c>
      <c r="D18" s="124" t="str">
        <f>'1. All Data'!H18</f>
        <v>On Track to be Achieved</v>
      </c>
      <c r="E18" s="97"/>
      <c r="F18" s="125">
        <f>'1. All Data'!M18</f>
        <v>0</v>
      </c>
      <c r="G18" s="97"/>
      <c r="H18" s="126">
        <f>'1. All Data'!R18</f>
        <v>0</v>
      </c>
      <c r="I18" s="97"/>
      <c r="J18" s="126">
        <f>'1. All Data'!V18</f>
        <v>0</v>
      </c>
    </row>
    <row r="19" spans="1:10" ht="99.75" customHeight="1">
      <c r="A19" s="95" t="str">
        <f>'1. All Data'!B19</f>
        <v>ILD18</v>
      </c>
      <c r="B19" s="127" t="str">
        <f>'1. All Data'!C19</f>
        <v>Improving ICT</v>
      </c>
      <c r="C19" s="128" t="str">
        <f>'1. All Data'!D19</f>
        <v>Migrate 4 physical servers to virtual servers</v>
      </c>
      <c r="D19" s="124" t="str">
        <f>'1. All Data'!H19</f>
        <v>On Track to be Achieved</v>
      </c>
      <c r="E19" s="96"/>
      <c r="F19" s="125">
        <f>'1. All Data'!M19</f>
        <v>0</v>
      </c>
      <c r="G19" s="97"/>
      <c r="H19" s="126">
        <f>'1. All Data'!R19</f>
        <v>0</v>
      </c>
      <c r="I19" s="97"/>
      <c r="J19" s="126">
        <f>'1. All Data'!V19</f>
        <v>0</v>
      </c>
    </row>
    <row r="20" spans="1:10" ht="99.75" customHeight="1">
      <c r="A20" s="95" t="str">
        <f>'1. All Data'!B20</f>
        <v>ILD19</v>
      </c>
      <c r="B20" s="127" t="str">
        <f>'1. All Data'!C20</f>
        <v>Improving ICT</v>
      </c>
      <c r="C20" s="128" t="str">
        <f>'1. All Data'!D20</f>
        <v>Complete a review of ICT requirements across all service areas</v>
      </c>
      <c r="D20" s="124" t="str">
        <f>'1. All Data'!H20</f>
        <v>On Track to be Achieved</v>
      </c>
      <c r="E20" s="96"/>
      <c r="F20" s="125">
        <f>'1. All Data'!M20</f>
        <v>0</v>
      </c>
      <c r="G20" s="97"/>
      <c r="H20" s="126">
        <f>'1. All Data'!R20</f>
        <v>0</v>
      </c>
      <c r="I20" s="97"/>
      <c r="J20" s="126">
        <f>'1. All Data'!V20</f>
        <v>0</v>
      </c>
    </row>
    <row r="21" spans="1:10" ht="99.75" customHeight="1">
      <c r="A21" s="95" t="str">
        <f>'1. All Data'!B21</f>
        <v>ILD17</v>
      </c>
      <c r="B21" s="127" t="str">
        <f>'1. All Data'!C21</f>
        <v>Enhancing Corporate Services</v>
      </c>
      <c r="C21" s="128" t="str">
        <f>'1. All Data'!D21</f>
        <v xml:space="preserve">Offer opportunities for officers from across the Council to participate in Scrutiny Support </v>
      </c>
      <c r="D21" s="124" t="str">
        <f>'1. All Data'!H21</f>
        <v>Fully Achieved</v>
      </c>
      <c r="E21" s="97"/>
      <c r="F21" s="125">
        <f>'1. All Data'!M21</f>
        <v>0</v>
      </c>
      <c r="G21" s="97"/>
      <c r="H21" s="126">
        <f>'1. All Data'!R21</f>
        <v>0</v>
      </c>
      <c r="I21" s="97"/>
      <c r="J21" s="126">
        <f>'1. All Data'!V21</f>
        <v>0</v>
      </c>
    </row>
    <row r="22" spans="1:10" ht="99.75" customHeight="1">
      <c r="A22" s="95" t="str">
        <f>'1. All Data'!B22</f>
        <v>PES01</v>
      </c>
      <c r="B22" s="127" t="str">
        <f>'1. All Data'!C22</f>
        <v>Car Parking Initiatives</v>
      </c>
      <c r="C22" s="128" t="str">
        <f>'1. All Data'!D22</f>
        <v>Conclude the feasibility of introducing ANPR into ESBC car parks</v>
      </c>
      <c r="D22" s="124" t="str">
        <f>'1. All Data'!H22</f>
        <v>Not Yet Due</v>
      </c>
      <c r="E22" s="97"/>
      <c r="F22" s="125">
        <f>'1. All Data'!M22</f>
        <v>0</v>
      </c>
      <c r="G22" s="97"/>
      <c r="H22" s="126">
        <f>'1. All Data'!R22</f>
        <v>0</v>
      </c>
      <c r="I22" s="97"/>
      <c r="J22" s="126">
        <f>'1. All Data'!V22</f>
        <v>0</v>
      </c>
    </row>
    <row r="23" spans="1:10" ht="99.75" customHeight="1">
      <c r="A23" s="95" t="str">
        <f>'1. All Data'!B23</f>
        <v>PES02</v>
      </c>
      <c r="B23" s="127" t="str">
        <f>'1. All Data'!C23</f>
        <v>Car Parking Initiatives</v>
      </c>
      <c r="C23" s="128" t="str">
        <f>'1. All Data'!D23</f>
        <v xml:space="preserve">Review the delivery of car parking enforcement </v>
      </c>
      <c r="D23" s="124" t="str">
        <f>'1. All Data'!H23</f>
        <v>Not Yet Due</v>
      </c>
      <c r="E23" s="97"/>
      <c r="F23" s="125">
        <f>'1. All Data'!M23</f>
        <v>0</v>
      </c>
      <c r="G23" s="97"/>
      <c r="H23" s="126">
        <f>'1. All Data'!R23</f>
        <v>0</v>
      </c>
      <c r="I23" s="97"/>
      <c r="J23" s="126">
        <f>'1. All Data'!V23</f>
        <v>0</v>
      </c>
    </row>
    <row r="24" spans="1:10" ht="99.75" customHeight="1">
      <c r="A24" s="95" t="str">
        <f>'1. All Data'!B24</f>
        <v>PES03</v>
      </c>
      <c r="B24" s="127" t="str">
        <f>'1. All Data'!C24</f>
        <v>Building a fairer local economy</v>
      </c>
      <c r="C24" s="128" t="str">
        <f>'1. All Data'!D24</f>
        <v>Agree the way forward for insourcing council services</v>
      </c>
      <c r="D24" s="124" t="str">
        <f>'1. All Data'!H24</f>
        <v>On Track to be Achieved</v>
      </c>
      <c r="E24" s="97"/>
      <c r="F24" s="125">
        <f>'1. All Data'!M24</f>
        <v>0</v>
      </c>
      <c r="G24" s="97"/>
      <c r="H24" s="126">
        <f>'1. All Data'!R24</f>
        <v>0</v>
      </c>
      <c r="I24" s="97"/>
      <c r="J24" s="126">
        <f>'1. All Data'!V24</f>
        <v>0</v>
      </c>
    </row>
    <row r="25" spans="1:10" ht="99.75" customHeight="1">
      <c r="A25" s="95" t="str">
        <f>'1. All Data'!B25</f>
        <v>PES04</v>
      </c>
      <c r="B25" s="127" t="str">
        <f>'1. All Data'!C25</f>
        <v>Developing Tourism within the Borough</v>
      </c>
      <c r="C25" s="128" t="str">
        <f>'1. All Data'!D25</f>
        <v>Administer an increased Tourism Development Fund to support local attractions and Tourism sector businesses throughout the year</v>
      </c>
      <c r="D25" s="124" t="str">
        <f>'1. All Data'!H25</f>
        <v>On Track to be Achieved</v>
      </c>
      <c r="E25" s="97"/>
      <c r="F25" s="125">
        <f>'1. All Data'!M25</f>
        <v>0</v>
      </c>
      <c r="G25" s="97"/>
      <c r="H25" s="126">
        <f>'1. All Data'!R25</f>
        <v>0</v>
      </c>
      <c r="I25" s="97"/>
      <c r="J25" s="126">
        <f>'1. All Data'!V25</f>
        <v>0</v>
      </c>
    </row>
    <row r="26" spans="1:10" ht="99.75" customHeight="1">
      <c r="A26" s="95" t="str">
        <f>'1. All Data'!B26</f>
        <v>PES05</v>
      </c>
      <c r="B26" s="127" t="str">
        <f>'1. All Data'!C26</f>
        <v>Developing Tourism within the Borough</v>
      </c>
      <c r="C26" s="128" t="str">
        <f>'1. All Data'!D26</f>
        <v xml:space="preserve">Lead on the investigation of a solution to promote and encourage walking and cycling </v>
      </c>
      <c r="D26" s="124" t="str">
        <f>'1. All Data'!H26</f>
        <v>On Track to be Achieved</v>
      </c>
      <c r="E26" s="97"/>
      <c r="F26" s="125">
        <f>'1. All Data'!M26</f>
        <v>0</v>
      </c>
      <c r="G26" s="104"/>
      <c r="H26" s="126">
        <f>'1. All Data'!R26</f>
        <v>0</v>
      </c>
      <c r="I26" s="97"/>
      <c r="J26" s="126">
        <f>'1. All Data'!V26</f>
        <v>0</v>
      </c>
    </row>
    <row r="27" spans="1:10" ht="99.75" customHeight="1">
      <c r="A27" s="95" t="str">
        <f>'1. All Data'!B27</f>
        <v>PES06</v>
      </c>
      <c r="B27" s="127" t="str">
        <f>'1. All Data'!C27</f>
        <v>Developing Tourism within the Borough</v>
      </c>
      <c r="C27" s="128" t="str">
        <f>'1. All Data'!D27</f>
        <v>Monitor progress against the Tourism Development Framework action plan</v>
      </c>
      <c r="D27" s="124" t="str">
        <f>'1. All Data'!H27</f>
        <v>On Track to be Achieved</v>
      </c>
      <c r="E27" s="97"/>
      <c r="F27" s="125">
        <f>'1. All Data'!M27</f>
        <v>0</v>
      </c>
      <c r="G27" s="97"/>
      <c r="H27" s="126">
        <f>'1. All Data'!R27</f>
        <v>0</v>
      </c>
      <c r="I27" s="97"/>
      <c r="J27" s="126">
        <f>'1. All Data'!V27</f>
        <v>0</v>
      </c>
    </row>
    <row r="28" spans="1:10" ht="99.75" customHeight="1">
      <c r="A28" s="95" t="str">
        <f>'1. All Data'!B28</f>
        <v>PES07</v>
      </c>
      <c r="B28" s="127" t="str">
        <f>'1. All Data'!C28</f>
        <v>Deliver Council-wide Marketing Campaigns</v>
      </c>
      <c r="C28" s="128" t="str">
        <f>'1. All Data'!D28</f>
        <v>Deliver a minimum of four marketing campaigns, promoting council services and/or East Staffordshire</v>
      </c>
      <c r="D28" s="124" t="str">
        <f>'1. All Data'!H28</f>
        <v>On Track to be Achieved</v>
      </c>
      <c r="E28" s="96"/>
      <c r="F28" s="125">
        <f>'1. All Data'!M28</f>
        <v>0</v>
      </c>
      <c r="G28" s="97"/>
      <c r="H28" s="126">
        <f>'1. All Data'!R28</f>
        <v>0</v>
      </c>
      <c r="I28" s="97"/>
      <c r="J28" s="126">
        <f>'1. All Data'!V28</f>
        <v>0</v>
      </c>
    </row>
    <row r="29" spans="1:10" ht="99.75" customHeight="1">
      <c r="A29" s="95" t="str">
        <f>'1. All Data'!B29</f>
        <v>PES08</v>
      </c>
      <c r="B29" s="127" t="str">
        <f>'1. All Data'!C29</f>
        <v>Deliver Council-wide Marketing Campaigns</v>
      </c>
      <c r="C29" s="128" t="str">
        <f>'1. All Data'!D29</f>
        <v>Continue the success of the initial Burton Music Collective project, with a follow up live music programme or event</v>
      </c>
      <c r="D29" s="124" t="str">
        <f>'1. All Data'!H29</f>
        <v>On Track to be Achieved</v>
      </c>
      <c r="E29" s="97"/>
      <c r="F29" s="125">
        <f>'1. All Data'!M29</f>
        <v>0</v>
      </c>
      <c r="G29" s="105"/>
      <c r="H29" s="126">
        <f>'1. All Data'!R29</f>
        <v>0</v>
      </c>
      <c r="I29" s="97"/>
      <c r="J29" s="126">
        <f>'1. All Data'!V29</f>
        <v>0</v>
      </c>
    </row>
    <row r="30" spans="1:10" ht="99.75" customHeight="1">
      <c r="A30" s="95" t="str">
        <f>'1. All Data'!B30</f>
        <v>PES09</v>
      </c>
      <c r="B30" s="127" t="str">
        <f>'1. All Data'!C30</f>
        <v>Keeping the Arts Accessible</v>
      </c>
      <c r="C30" s="128" t="str">
        <f>'1. All Data'!D30</f>
        <v xml:space="preserve">Deliver a minimum of 6 outdoor events in Burton and Uttoxeter </v>
      </c>
      <c r="D30" s="124" t="str">
        <f>'1. All Data'!H30</f>
        <v>On Track to be Achieved</v>
      </c>
      <c r="E30" s="97"/>
      <c r="F30" s="125">
        <f>'1. All Data'!M30</f>
        <v>0</v>
      </c>
      <c r="G30" s="97"/>
      <c r="H30" s="126">
        <f>'1. All Data'!R30</f>
        <v>0</v>
      </c>
      <c r="I30" s="97"/>
      <c r="J30" s="126">
        <f>'1. All Data'!V30</f>
        <v>0</v>
      </c>
    </row>
    <row r="31" spans="1:10" ht="99.75" customHeight="1">
      <c r="A31" s="95" t="str">
        <f>'1. All Data'!B31</f>
        <v>PES10</v>
      </c>
      <c r="B31" s="127" t="str">
        <f>'1. All Data'!C31</f>
        <v>Take forward regeneration in Uttoxeter</v>
      </c>
      <c r="C31" s="128" t="str">
        <f>'1. All Data'!D31</f>
        <v>Complete the purchase of the Maltings Precinct</v>
      </c>
      <c r="D31" s="124" t="str">
        <f>'1. All Data'!H31</f>
        <v>In Danger of Falling Behind Target</v>
      </c>
      <c r="E31" s="97"/>
      <c r="F31" s="125">
        <f>'1. All Data'!M31</f>
        <v>0</v>
      </c>
      <c r="G31" s="97"/>
      <c r="H31" s="126">
        <f>'1. All Data'!R31</f>
        <v>0</v>
      </c>
      <c r="I31" s="97"/>
      <c r="J31" s="126">
        <f>'1. All Data'!V31</f>
        <v>0</v>
      </c>
    </row>
    <row r="32" spans="1:10" ht="99.75" customHeight="1">
      <c r="A32" s="95" t="str">
        <f>'1. All Data'!B32</f>
        <v>PES11</v>
      </c>
      <c r="B32" s="127" t="str">
        <f>'1. All Data'!C32</f>
        <v>Take forward regeneration in Uttoxeter</v>
      </c>
      <c r="C32" s="128" t="str">
        <f>'1. All Data'!D32</f>
        <v>Complete RIBA Stage 2 (Concept Design) for the Maltings Regeneration Project and brief Members, following public consultation</v>
      </c>
      <c r="D32" s="124" t="str">
        <f>'1. All Data'!H32</f>
        <v>On Track to be Achieved</v>
      </c>
      <c r="E32" s="96"/>
      <c r="F32" s="125">
        <f>'1. All Data'!M32</f>
        <v>0</v>
      </c>
      <c r="G32" s="97"/>
      <c r="H32" s="126">
        <f>'1. All Data'!R32</f>
        <v>0</v>
      </c>
      <c r="I32" s="97"/>
      <c r="J32" s="126">
        <f>'1. All Data'!V32</f>
        <v>0</v>
      </c>
    </row>
    <row r="33" spans="1:10" ht="99.75" customHeight="1">
      <c r="A33" s="95" t="str">
        <f>'1. All Data'!B33</f>
        <v>PES12</v>
      </c>
      <c r="B33" s="127" t="str">
        <f>'1. All Data'!C33</f>
        <v>Take forward regeneration in Uttoxeter</v>
      </c>
      <c r="C33" s="128" t="str">
        <f>'1. All Data'!D33</f>
        <v>Submit a planning application for the Maltings Regeneration Project</v>
      </c>
      <c r="D33" s="124" t="str">
        <f>'1. All Data'!H33</f>
        <v>On Track to be Achieved</v>
      </c>
      <c r="E33" s="97"/>
      <c r="F33" s="125">
        <f>'1. All Data'!M33</f>
        <v>0</v>
      </c>
      <c r="G33" s="97"/>
      <c r="H33" s="126">
        <f>'1. All Data'!R33</f>
        <v>0</v>
      </c>
      <c r="I33" s="97"/>
      <c r="J33" s="126">
        <f>'1. All Data'!V33</f>
        <v>0</v>
      </c>
    </row>
    <row r="34" spans="1:10" ht="99.75" customHeight="1">
      <c r="A34" s="95" t="str">
        <f>'1. All Data'!B34</f>
        <v>PES13</v>
      </c>
      <c r="B34" s="127" t="str">
        <f>'1. All Data'!C34</f>
        <v>Support economic growth in East Staffordshire</v>
      </c>
      <c r="C34" s="128" t="str">
        <f>'1. All Data'!D34</f>
        <v>Administer a second round of the Boosting Business Programme throughout the year with a minimum of £100,000 of funding available</v>
      </c>
      <c r="D34" s="124" t="str">
        <f>'1. All Data'!H34</f>
        <v>On Track to be Achieved</v>
      </c>
      <c r="E34" s="97"/>
      <c r="F34" s="125">
        <f>'1. All Data'!M34</f>
        <v>0</v>
      </c>
      <c r="G34" s="97"/>
      <c r="H34" s="126">
        <f>'1. All Data'!R34</f>
        <v>0</v>
      </c>
      <c r="I34" s="97"/>
      <c r="J34" s="126">
        <f>'1. All Data'!V34</f>
        <v>0</v>
      </c>
    </row>
    <row r="35" spans="1:10" ht="99.75" customHeight="1">
      <c r="A35" s="95" t="str">
        <f>'1. All Data'!B35</f>
        <v>PES14</v>
      </c>
      <c r="B35" s="127" t="str">
        <f>'1. All Data'!C35</f>
        <v xml:space="preserve">Delivering a high quality Planning service </v>
      </c>
      <c r="C35" s="128" t="str">
        <f>'1. All Data'!D35</f>
        <v>Improve on the percentage of major applications determined with statutory timeframes against a 2023 baseline (36.84%)</v>
      </c>
      <c r="D35" s="124" t="str">
        <f>'1. All Data'!H35</f>
        <v>On Track to be Achieved</v>
      </c>
      <c r="E35" s="96"/>
      <c r="F35" s="125">
        <f>'1. All Data'!M35</f>
        <v>0</v>
      </c>
      <c r="G35" s="97"/>
      <c r="H35" s="126">
        <f>'1. All Data'!R35</f>
        <v>0</v>
      </c>
      <c r="I35" s="97"/>
      <c r="J35" s="126">
        <f>'1. All Data'!V35</f>
        <v>0</v>
      </c>
    </row>
    <row r="36" spans="1:10" ht="99.75" customHeight="1">
      <c r="A36" s="95" t="str">
        <f>'1. All Data'!B36</f>
        <v>PES15</v>
      </c>
      <c r="B36" s="127" t="str">
        <f>'1. All Data'!C36</f>
        <v xml:space="preserve">Delivering a high quality Planning service </v>
      </c>
      <c r="C36" s="128" t="str">
        <f>'1. All Data'!D36</f>
        <v>Improve on the percentage of non-major applications determined with statutory timeframes against a 2023 baseline (42.32%)</v>
      </c>
      <c r="D36" s="124" t="str">
        <f>'1. All Data'!H36</f>
        <v>On Track to be Achieved</v>
      </c>
      <c r="E36" s="97"/>
      <c r="F36" s="125">
        <f>'1. All Data'!M36</f>
        <v>0</v>
      </c>
      <c r="G36" s="97"/>
      <c r="H36" s="126">
        <f>'1. All Data'!R36</f>
        <v>0</v>
      </c>
      <c r="I36" s="97"/>
      <c r="J36" s="126">
        <f>'1. All Data'!V36</f>
        <v>0</v>
      </c>
    </row>
    <row r="37" spans="1:10" ht="99.75" customHeight="1">
      <c r="A37" s="95" t="str">
        <f>'1. All Data'!B37</f>
        <v>PES16</v>
      </c>
      <c r="B37" s="127" t="str">
        <f>'1. All Data'!C37</f>
        <v>Delivering a high quality Planning service</v>
      </c>
      <c r="C37" s="128" t="str">
        <f>'1. All Data'!D37</f>
        <v>Launch updated pre-application advice service</v>
      </c>
      <c r="D37" s="124" t="str">
        <f>'1. All Data'!H37</f>
        <v>Fully Achieved</v>
      </c>
      <c r="E37" s="96"/>
      <c r="F37" s="125">
        <f>'1. All Data'!M37</f>
        <v>0</v>
      </c>
      <c r="G37" s="97"/>
      <c r="H37" s="126">
        <f>'1. All Data'!R37</f>
        <v>0</v>
      </c>
      <c r="I37" s="97"/>
      <c r="J37" s="126">
        <f>'1. All Data'!V37</f>
        <v>0</v>
      </c>
    </row>
    <row r="38" spans="1:10" ht="99.75" customHeight="1">
      <c r="A38" s="95" t="str">
        <f>'1. All Data'!B38</f>
        <v>PES17</v>
      </c>
      <c r="B38" s="127" t="str">
        <f>'1. All Data'!C38</f>
        <v>Delivering a high quality Planning service</v>
      </c>
      <c r="C38" s="128" t="str">
        <f>'1. All Data'!D38</f>
        <v>Complete the annual review of the Local Plan</v>
      </c>
      <c r="D38" s="124" t="str">
        <f>'1. All Data'!H38</f>
        <v>Not Yet Due</v>
      </c>
      <c r="E38" s="97"/>
      <c r="F38" s="125">
        <f>'1. All Data'!M38</f>
        <v>0</v>
      </c>
      <c r="G38" s="105"/>
      <c r="H38" s="126">
        <f>'1. All Data'!R38</f>
        <v>0</v>
      </c>
      <c r="I38" s="97"/>
      <c r="J38" s="126">
        <f>'1. All Data'!V38</f>
        <v>0</v>
      </c>
    </row>
    <row r="39" spans="1:10" ht="99.75" customHeight="1">
      <c r="A39" s="95" t="str">
        <f>'1. All Data'!B39</f>
        <v>PES18</v>
      </c>
      <c r="B39" s="127" t="str">
        <f>'1. All Data'!C39</f>
        <v>Further Enhancing Corporate Communications</v>
      </c>
      <c r="C39" s="128" t="str">
        <f>'1. All Data'!D39</f>
        <v>a.     Deliver a minimum of 6 Business e-newsletters
b.     Deliver a minimum of 12 Resident e-newsletters</v>
      </c>
      <c r="D39" s="124" t="str">
        <f>'1. All Data'!H39</f>
        <v>On Track to be Achieved</v>
      </c>
      <c r="E39" s="96"/>
      <c r="F39" s="125">
        <f>'1. All Data'!M39</f>
        <v>0</v>
      </c>
      <c r="G39" s="105"/>
      <c r="H39" s="126">
        <f>'1. All Data'!R39</f>
        <v>0</v>
      </c>
      <c r="I39" s="97"/>
      <c r="J39" s="126">
        <f>'1. All Data'!V39</f>
        <v>0</v>
      </c>
    </row>
    <row r="40" spans="1:10" ht="99.75" customHeight="1">
      <c r="A40" s="95" t="str">
        <f>'1. All Data'!B40</f>
        <v>PES19</v>
      </c>
      <c r="B40" s="127" t="str">
        <f>'1. All Data'!C40</f>
        <v>Further Enhancing Corporate Communications</v>
      </c>
      <c r="C40" s="128" t="str">
        <f>'1. All Data'!D40</f>
        <v>Undertake website accessibility testing to identify further enhancements to ensure it is fit for purpose</v>
      </c>
      <c r="D40" s="124" t="str">
        <f>'1. All Data'!H40</f>
        <v>Not Yet Due</v>
      </c>
      <c r="E40" s="97"/>
      <c r="F40" s="125">
        <f>'1. All Data'!M40</f>
        <v>0</v>
      </c>
      <c r="G40" s="97"/>
      <c r="H40" s="126">
        <f>'1. All Data'!R40</f>
        <v>0</v>
      </c>
      <c r="I40" s="97"/>
      <c r="J40" s="126">
        <f>'1. All Data'!V40</f>
        <v>0</v>
      </c>
    </row>
    <row r="41" spans="1:10" ht="99.75" customHeight="1">
      <c r="A41" s="95" t="str">
        <f>'1. All Data'!B41</f>
        <v>PES20</v>
      </c>
      <c r="B41" s="127" t="str">
        <f>'1. All Data'!C41</f>
        <v>Enhancing Procurement and Contract Management Processes</v>
      </c>
      <c r="C41" s="128" t="str">
        <f>'1. All Data'!D41</f>
        <v xml:space="preserve">Revised Contract Procedure Rules approved by Council, including (if Procurement Act implemented by national government) updated Procurement Policy </v>
      </c>
      <c r="D41" s="124" t="str">
        <f>'1. All Data'!H41</f>
        <v>On Track to be Achieved</v>
      </c>
      <c r="E41" s="97"/>
      <c r="F41" s="125">
        <f>'1. All Data'!M41</f>
        <v>0</v>
      </c>
      <c r="G41" s="97"/>
      <c r="H41" s="126">
        <f>'1. All Data'!R41</f>
        <v>0</v>
      </c>
      <c r="I41" s="97"/>
      <c r="J41" s="126">
        <f>'1. All Data'!V41</f>
        <v>0</v>
      </c>
    </row>
    <row r="42" spans="1:10" ht="99.75" customHeight="1">
      <c r="A42" s="95" t="str">
        <f>'1. All Data'!B42</f>
        <v>PES21</v>
      </c>
      <c r="B42" s="127" t="str">
        <f>'1. All Data'!C42</f>
        <v>Enhancing Corporate Services</v>
      </c>
      <c r="C42" s="128" t="str">
        <f>'1. All Data'!D42</f>
        <v>Recruit an apprentice to support the work of the Corporate and Commercial team</v>
      </c>
      <c r="D42" s="124" t="str">
        <f>'1. All Data'!H42</f>
        <v>On Track to be Achieved</v>
      </c>
      <c r="E42" s="96"/>
      <c r="F42" s="125">
        <f>'1. All Data'!M42</f>
        <v>0</v>
      </c>
      <c r="G42" s="105"/>
      <c r="H42" s="126">
        <f>'1. All Data'!R42</f>
        <v>0</v>
      </c>
      <c r="I42" s="105"/>
      <c r="J42" s="126">
        <f>'1. All Data'!V42</f>
        <v>0</v>
      </c>
    </row>
    <row r="43" spans="1:10" ht="99.75" customHeight="1">
      <c r="A43" s="95" t="str">
        <f>'1. All Data'!B43</f>
        <v>PES22</v>
      </c>
      <c r="B43" s="127" t="str">
        <f>'1. All Data'!C43</f>
        <v>Improving Council Assets</v>
      </c>
      <c r="C43" s="128" t="str">
        <f>'1. All Data'!D43</f>
        <v>Replace the shutters on the Yeoman’s Industrial estate</v>
      </c>
      <c r="D43" s="124" t="str">
        <f>'1. All Data'!H43</f>
        <v>On Track to be Achieved</v>
      </c>
      <c r="E43" s="96"/>
      <c r="F43" s="125">
        <f>'1. All Data'!M43</f>
        <v>0</v>
      </c>
      <c r="G43" s="97"/>
      <c r="H43" s="126">
        <f>'1. All Data'!R43</f>
        <v>0</v>
      </c>
      <c r="I43" s="97"/>
      <c r="J43" s="126">
        <f>'1. All Data'!V43</f>
        <v>0</v>
      </c>
    </row>
    <row r="44" spans="1:10" ht="99.75" customHeight="1">
      <c r="A44" s="95" t="str">
        <f>'1. All Data'!B44</f>
        <v>GND01</v>
      </c>
      <c r="B44" s="127" t="str">
        <f>'1. All Data'!C44</f>
        <v>Tackling Envirocrime</v>
      </c>
      <c r="C44" s="128" t="str">
        <f>'1. All Data'!D44</f>
        <v xml:space="preserve">Plot and map the deployment of the mobile CCTV provision over the course of 23/24 and review and report on the results of those deployments </v>
      </c>
      <c r="D44" s="124" t="str">
        <f>'1. All Data'!H44</f>
        <v>On Track to be Achieved</v>
      </c>
      <c r="E44" s="96"/>
      <c r="F44" s="125">
        <f>'1. All Data'!M44</f>
        <v>0</v>
      </c>
      <c r="G44" s="97"/>
      <c r="H44" s="126">
        <f>'1. All Data'!R44</f>
        <v>0</v>
      </c>
      <c r="I44" s="97"/>
      <c r="J44" s="126">
        <f>'1. All Data'!V44</f>
        <v>0</v>
      </c>
    </row>
    <row r="45" spans="1:10" ht="99.75" customHeight="1">
      <c r="A45" s="95" t="str">
        <f>'1. All Data'!B45</f>
        <v>GND02</v>
      </c>
      <c r="B45" s="127" t="str">
        <f>'1. All Data'!C45</f>
        <v>Tackling Envirocrime</v>
      </c>
      <c r="C45" s="128" t="str">
        <f>'1. All Data'!D45</f>
        <v>Undertake further ‘Tackle the Tippers Campaign’ initiatives in any newly identified fly-tipping hotspots and report progress</v>
      </c>
      <c r="D45" s="124" t="str">
        <f>'1. All Data'!H45</f>
        <v>Not Yet Due</v>
      </c>
      <c r="E45" s="97"/>
      <c r="F45" s="125">
        <f>'1. All Data'!M45</f>
        <v>0</v>
      </c>
      <c r="G45" s="97"/>
      <c r="H45" s="126">
        <f>'1. All Data'!R45</f>
        <v>0</v>
      </c>
      <c r="I45" s="97"/>
      <c r="J45" s="126">
        <f>'1. All Data'!V45</f>
        <v>0</v>
      </c>
    </row>
    <row r="46" spans="1:10" ht="99.75" customHeight="1">
      <c r="A46" s="95" t="str">
        <f>'1. All Data'!B47</f>
        <v>GND04</v>
      </c>
      <c r="B46" s="127" t="str">
        <f>'1. All Data'!C47</f>
        <v>Succeed at In Bloom Awards</v>
      </c>
      <c r="C46" s="128" t="str">
        <f>'1. All Data'!D47</f>
        <v>Burton and Winshill to achieve Silver Gilt or higher at the National in Bloom awards</v>
      </c>
      <c r="D46" s="124" t="str">
        <f>'1. All Data'!H47</f>
        <v>Not Yet Due</v>
      </c>
      <c r="E46" s="97"/>
      <c r="F46" s="125">
        <f>'1. All Data'!M47</f>
        <v>0</v>
      </c>
      <c r="G46" s="97"/>
      <c r="H46" s="126">
        <f>'1. All Data'!R47</f>
        <v>0</v>
      </c>
      <c r="I46" s="97"/>
      <c r="J46" s="126">
        <f>'1. All Data'!V47</f>
        <v>0</v>
      </c>
    </row>
    <row r="47" spans="1:10" ht="99.75" customHeight="1">
      <c r="A47" s="95" t="str">
        <f>'1. All Data'!B48</f>
        <v>GND05</v>
      </c>
      <c r="B47" s="127" t="str">
        <f>'1. All Data'!C48</f>
        <v>Succeed at It’s Your Neighbourhood Awards (IYN)</v>
      </c>
      <c r="C47" s="128" t="str">
        <f>'1. All Data'!D48</f>
        <v>Enter a minimum of 30 Parks and achieve a Silver gilt or higher standard in 80% of all entries</v>
      </c>
      <c r="D47" s="124" t="str">
        <f>'1. All Data'!H48</f>
        <v>Not Yet Due</v>
      </c>
      <c r="E47" s="97"/>
      <c r="F47" s="125">
        <f>'1. All Data'!M48</f>
        <v>0</v>
      </c>
      <c r="G47" s="97"/>
      <c r="H47" s="126">
        <f>'1. All Data'!R48</f>
        <v>0</v>
      </c>
      <c r="I47" s="97"/>
      <c r="J47" s="126">
        <f>'1. All Data'!V48</f>
        <v>0</v>
      </c>
    </row>
    <row r="48" spans="1:10" ht="99.75" customHeight="1">
      <c r="A48" s="95" t="str">
        <f>'1. All Data'!B49</f>
        <v>GND06</v>
      </c>
      <c r="B48" s="127" t="str">
        <f>'1. All Data'!C49</f>
        <v xml:space="preserve">Open Spaces Initiatives </v>
      </c>
      <c r="C48" s="128" t="str">
        <f>'1. All Data'!D49</f>
        <v>Review the Council’s Tree Policy</v>
      </c>
      <c r="D48" s="124" t="str">
        <f>'1. All Data'!H49</f>
        <v>Not Yet Due</v>
      </c>
      <c r="E48" s="97"/>
      <c r="F48" s="125">
        <f>'1. All Data'!M49</f>
        <v>0</v>
      </c>
      <c r="G48" s="97"/>
      <c r="H48" s="126">
        <f>'1. All Data'!R49</f>
        <v>0</v>
      </c>
      <c r="I48" s="97"/>
      <c r="J48" s="126">
        <f>'1. All Data'!V49</f>
        <v>0</v>
      </c>
    </row>
    <row r="49" spans="1:47" ht="99.75" customHeight="1">
      <c r="A49" s="95" t="str">
        <f>'1. All Data'!B50</f>
        <v>GND07</v>
      </c>
      <c r="B49" s="127" t="str">
        <f>'1. All Data'!C50</f>
        <v>Open Spaces Initiatives</v>
      </c>
      <c r="C49" s="128" t="str">
        <f>'1. All Data'!D50</f>
        <v>Establish tree nurseries at the Go Garden (Uttoxeter) and the Horticulture Centre (Burton)</v>
      </c>
      <c r="D49" s="124" t="str">
        <f>'1. All Data'!H50</f>
        <v>Not Yet Due</v>
      </c>
      <c r="E49" s="97"/>
      <c r="F49" s="125">
        <f>'1. All Data'!M50</f>
        <v>0</v>
      </c>
      <c r="G49" s="97"/>
      <c r="H49" s="126">
        <f>'1. All Data'!R50</f>
        <v>0</v>
      </c>
      <c r="I49" s="97"/>
      <c r="J49" s="126">
        <f>'1. All Data'!V50</f>
        <v>0</v>
      </c>
    </row>
    <row r="50" spans="1:47" ht="99.75" customHeight="1">
      <c r="A50" s="95" t="str">
        <f>'1. All Data'!B51</f>
        <v>GND08</v>
      </c>
      <c r="B50" s="127" t="str">
        <f>'1. All Data'!C51</f>
        <v>Open Spaces Initiatives</v>
      </c>
      <c r="C50" s="128" t="str">
        <f>'1. All Data'!D51</f>
        <v>Pilot opportunities to enhance nature and biodiversity on parks and open spaces including reduced mowing regimes and wildflower planting</v>
      </c>
      <c r="D50" s="124" t="str">
        <f>'1. All Data'!H51</f>
        <v>On Track to be Achieved</v>
      </c>
      <c r="E50" s="97"/>
      <c r="F50" s="125">
        <f>'1. All Data'!M51</f>
        <v>0</v>
      </c>
      <c r="G50" s="105"/>
      <c r="H50" s="126">
        <f>'1. All Data'!R51</f>
        <v>0</v>
      </c>
      <c r="I50" s="105"/>
      <c r="J50" s="126">
        <f>'1. All Data'!V51</f>
        <v>0</v>
      </c>
    </row>
    <row r="51" spans="1:47" ht="99.75" customHeight="1">
      <c r="A51" s="95" t="str">
        <f>'1. All Data'!B52</f>
        <v>GND09</v>
      </c>
      <c r="B51" s="127" t="str">
        <f>'1. All Data'!C52</f>
        <v>Open Spaces Initiatives</v>
      </c>
      <c r="C51" s="128" t="str">
        <f>'1. All Data'!D52</f>
        <v>Evaluate the impact of replacing Glyphosate with alternative methods of dealing with weeds</v>
      </c>
      <c r="D51" s="124" t="str">
        <f>'1. All Data'!H52</f>
        <v>On Track to be Achieved</v>
      </c>
      <c r="E51" s="96"/>
      <c r="F51" s="125">
        <f>'1. All Data'!M52</f>
        <v>0</v>
      </c>
      <c r="G51" s="97"/>
      <c r="H51" s="126">
        <f>'1. All Data'!R52</f>
        <v>0</v>
      </c>
      <c r="I51" s="97"/>
      <c r="J51" s="126">
        <f>'1. All Data'!V52</f>
        <v>0</v>
      </c>
    </row>
    <row r="52" spans="1:47" ht="99.75" customHeight="1">
      <c r="A52" s="95" t="str">
        <f>'1. All Data'!B53</f>
        <v>GND10</v>
      </c>
      <c r="B52" s="127" t="str">
        <f>'1. All Data'!C53</f>
        <v>Tackling Envirocrime</v>
      </c>
      <c r="C52" s="128" t="str">
        <f>'1. All Data'!D53</f>
        <v>Procure a mobile fly-tipping removal vehicle</v>
      </c>
      <c r="D52" s="124" t="str">
        <f>'1. All Data'!H53</f>
        <v>On Track to be Achieved</v>
      </c>
      <c r="E52" s="96"/>
      <c r="F52" s="125">
        <f>'1. All Data'!M53</f>
        <v>0</v>
      </c>
      <c r="G52" s="97"/>
      <c r="H52" s="126">
        <f>'1. All Data'!R53</f>
        <v>0</v>
      </c>
      <c r="I52" s="97"/>
      <c r="J52" s="126">
        <f>'1. All Data'!V53</f>
        <v>0</v>
      </c>
    </row>
    <row r="53" spans="1:47" ht="99.75" customHeight="1">
      <c r="A53" s="95" t="str">
        <f>'1. All Data'!B56</f>
        <v>GND13</v>
      </c>
      <c r="B53" s="127" t="str">
        <f>'1. All Data'!C56</f>
        <v xml:space="preserve">Minimise The Number Of Missed Bin Collections </v>
      </c>
      <c r="C53" s="128" t="str">
        <f>'1. All Data'!D56</f>
        <v>99.97% successful bin collections across the Borough</v>
      </c>
      <c r="D53" s="124" t="str">
        <f>'1. All Data'!H56</f>
        <v>On Track to be Achieved</v>
      </c>
      <c r="E53" s="97"/>
      <c r="F53" s="125">
        <f>'1. All Data'!M56</f>
        <v>0</v>
      </c>
      <c r="G53" s="97"/>
      <c r="H53" s="126">
        <f>'1. All Data'!R56</f>
        <v>0</v>
      </c>
      <c r="I53" s="97"/>
      <c r="J53" s="126">
        <f>'1. All Data'!V56</f>
        <v>0</v>
      </c>
    </row>
    <row r="54" spans="1:47" ht="87.6">
      <c r="A54" s="95" t="str">
        <f>'1. All Data'!B57</f>
        <v>GND14</v>
      </c>
      <c r="B54" s="127" t="str">
        <f>'1. All Data'!C57</f>
        <v>Separate Weekly Food Waste Collections</v>
      </c>
      <c r="C54" s="128" t="str">
        <f>'1. All Data'!D57</f>
        <v>Provide an update on the implementation of a weekly Food Waste collection service</v>
      </c>
      <c r="D54" s="124" t="str">
        <f>'1. All Data'!H57</f>
        <v>Not Yet Due</v>
      </c>
      <c r="E54" s="96"/>
      <c r="F54" s="125">
        <f>'1. All Data'!M57</f>
        <v>0</v>
      </c>
      <c r="G54" s="105"/>
      <c r="H54" s="126">
        <f>'1. All Data'!R57</f>
        <v>0</v>
      </c>
      <c r="I54" s="97"/>
      <c r="J54" s="126">
        <f>'1. All Data'!V57</f>
        <v>0</v>
      </c>
    </row>
    <row r="55" spans="1:47" ht="99.75" customHeight="1">
      <c r="A55" s="95" t="str">
        <f>'1. All Data'!B58</f>
        <v>GND15</v>
      </c>
      <c r="B55" s="127" t="str">
        <f>'1. All Data'!C58</f>
        <v>Garden Waste Collections</v>
      </c>
      <c r="C55" s="128" t="str">
        <f>'1. All Data'!D58</f>
        <v>Implement a charging scheme for garden waste (Subscriptions to commence from October 2024)</v>
      </c>
      <c r="D55" s="124" t="str">
        <f>'1. All Data'!H58</f>
        <v>On Track to be Achieved</v>
      </c>
      <c r="E55" s="97"/>
      <c r="F55" s="125">
        <f>'1. All Data'!M58</f>
        <v>0</v>
      </c>
      <c r="G55" s="97"/>
      <c r="H55" s="126">
        <f>'1. All Data'!R58</f>
        <v>0</v>
      </c>
      <c r="I55" s="97"/>
      <c r="J55" s="126">
        <f>'1. All Data'!V58</f>
        <v>0</v>
      </c>
    </row>
    <row r="56" spans="1:47" ht="99.75" customHeight="1">
      <c r="A56" s="95" t="str">
        <f>'1. All Data'!B59</f>
        <v>GND16</v>
      </c>
      <c r="B56" s="127" t="str">
        <f>'1. All Data'!C59</f>
        <v>Implement Climate Change Initiatives</v>
      </c>
      <c r="C56" s="128" t="str">
        <f>'1. All Data'!D59</f>
        <v>Following the identification of the Maltings as an appropriate site, implement the Papilio solar charging and EV charging hub</v>
      </c>
      <c r="D56" s="124" t="str">
        <f>'1. All Data'!H59</f>
        <v>On Track to be Achieved</v>
      </c>
      <c r="E56" s="97"/>
      <c r="F56" s="125">
        <f>'1. All Data'!M59</f>
        <v>0</v>
      </c>
      <c r="G56" s="97"/>
      <c r="H56" s="126">
        <f>'1. All Data'!R59</f>
        <v>0</v>
      </c>
      <c r="I56" s="97"/>
      <c r="J56" s="126">
        <f>'1. All Data'!V59</f>
        <v>0</v>
      </c>
      <c r="AU56" s="98"/>
    </row>
    <row r="57" spans="1:47" s="111" customFormat="1" ht="126">
      <c r="A57" s="95" t="str">
        <f>'1. All Data'!B60</f>
        <v>GND17</v>
      </c>
      <c r="B57" s="127" t="str">
        <f>'1. All Data'!C60</f>
        <v>Implement Climate Change Initiatives</v>
      </c>
      <c r="C57" s="128" t="str">
        <f>'1. All Data'!D60</f>
        <v>Research, consider and present possible staff incentives and infrastructure to encourage use of sustainable travel, such as electric vehicles or bicycles</v>
      </c>
      <c r="D57" s="124" t="str">
        <f>'1. All Data'!H60</f>
        <v>On Track to be Achieved</v>
      </c>
      <c r="E57" s="96"/>
      <c r="F57" s="125">
        <f>'1. All Data'!M60</f>
        <v>0</v>
      </c>
      <c r="G57" s="97"/>
      <c r="H57" s="126">
        <f>'1. All Data'!R60</f>
        <v>0</v>
      </c>
      <c r="I57" s="97"/>
      <c r="J57" s="126">
        <f>'1. All Data'!V60</f>
        <v>0</v>
      </c>
      <c r="K57" s="106"/>
      <c r="L57" s="106"/>
      <c r="M57" s="106"/>
      <c r="N57" s="107"/>
      <c r="O57" s="107"/>
      <c r="P57" s="107"/>
      <c r="Q57" s="107"/>
      <c r="R57" s="107"/>
      <c r="S57" s="106"/>
      <c r="T57" s="106"/>
      <c r="U57" s="106"/>
      <c r="V57" s="106"/>
      <c r="W57" s="106"/>
      <c r="X57" s="108"/>
      <c r="Y57" s="108"/>
      <c r="Z57" s="108"/>
      <c r="AA57" s="108"/>
      <c r="AB57" s="109"/>
      <c r="AC57" s="94"/>
      <c r="AD57" s="110"/>
      <c r="AE57" s="110"/>
      <c r="AF57" s="110"/>
      <c r="AG57" s="110"/>
      <c r="AH57" s="110"/>
      <c r="AI57" s="110"/>
      <c r="AJ57" s="110"/>
      <c r="AK57" s="110"/>
      <c r="AL57" s="110"/>
      <c r="AM57" s="110"/>
      <c r="AN57" s="110"/>
      <c r="AO57" s="110"/>
      <c r="AP57" s="110"/>
      <c r="AQ57" s="110"/>
      <c r="AR57" s="110"/>
      <c r="AS57" s="110"/>
      <c r="AT57" s="110"/>
      <c r="AU57" s="110"/>
    </row>
    <row r="58" spans="1:47" ht="99.75" customHeight="1">
      <c r="A58" s="95" t="str">
        <f>'1. All Data'!B63</f>
        <v>GND20</v>
      </c>
      <c r="B58" s="127" t="str">
        <f>'1. All Data'!C63</f>
        <v>Implement Climate Change Initiatives</v>
      </c>
      <c r="C58" s="128" t="str">
        <f>'1. All Data'!D63</f>
        <v>Produce an education programme to help individuals, parish councils, schools and other organisations calculate their carbon footprint and understand how to reduce it</v>
      </c>
      <c r="D58" s="124" t="str">
        <f>'1. All Data'!H63</f>
        <v>On Track to be Achieved</v>
      </c>
      <c r="E58" s="97"/>
      <c r="F58" s="125">
        <f>'1. All Data'!M63</f>
        <v>0</v>
      </c>
      <c r="G58" s="97"/>
      <c r="H58" s="126">
        <f>'1. All Data'!R63</f>
        <v>0</v>
      </c>
      <c r="I58" s="97"/>
      <c r="J58" s="126">
        <f>'1. All Data'!V63</f>
        <v>0</v>
      </c>
    </row>
    <row r="59" spans="1:47" ht="99.75" customHeight="1">
      <c r="A59" s="95" t="str">
        <f>'1. All Data'!B64</f>
        <v>GND21</v>
      </c>
      <c r="B59" s="127" t="str">
        <f>'1. All Data'!C64</f>
        <v>Developing Tourism within the Borough</v>
      </c>
      <c r="C59" s="128" t="str">
        <f>'1. All Data'!D64</f>
        <v>Champion sustainability with an event or initiative to celebrate national Green Week</v>
      </c>
      <c r="D59" s="124" t="str">
        <f>'1. All Data'!H64</f>
        <v>Fully Achieved</v>
      </c>
      <c r="E59" s="96"/>
      <c r="F59" s="125">
        <f>'1. All Data'!M64</f>
        <v>0</v>
      </c>
      <c r="G59" s="97"/>
      <c r="H59" s="126">
        <f>'1. All Data'!R64</f>
        <v>0</v>
      </c>
      <c r="I59" s="97"/>
      <c r="J59" s="126">
        <f>'1. All Data'!V64</f>
        <v>0</v>
      </c>
    </row>
    <row r="60" spans="1:47" ht="99.75" customHeight="1">
      <c r="A60" s="95" t="str">
        <f>'1. All Data'!B65</f>
        <v>GND22</v>
      </c>
      <c r="B60" s="127" t="str">
        <f>'1. All Data'!C65</f>
        <v>Improve the Washlands as a regional attraction</v>
      </c>
      <c r="C60" s="128" t="str">
        <f>'1. All Data'!D65</f>
        <v xml:space="preserve">Practically complete the Washlands Enhancement Project capital works </v>
      </c>
      <c r="D60" s="124" t="str">
        <f>'1. All Data'!H65</f>
        <v>On Track to be Achieved</v>
      </c>
      <c r="E60" s="97"/>
      <c r="F60" s="125">
        <f>'1. All Data'!M65</f>
        <v>0</v>
      </c>
      <c r="G60" s="112"/>
      <c r="H60" s="126">
        <f>'1. All Data'!R65</f>
        <v>0</v>
      </c>
      <c r="I60" s="112"/>
      <c r="J60" s="126">
        <f>'1. All Data'!V65</f>
        <v>0</v>
      </c>
    </row>
    <row r="61" spans="1:47" s="116" customFormat="1" ht="69.75" customHeight="1">
      <c r="A61" s="95" t="str">
        <f>'1. All Data'!B69</f>
        <v>POH03</v>
      </c>
      <c r="B61" s="127" t="str">
        <f>'1. All Data'!C69</f>
        <v>Safeguarding the Market Hall</v>
      </c>
      <c r="C61" s="128" t="str">
        <f>'1. All Data'!D69</f>
        <v>Complete the necessary repairs to the Market Hall roof</v>
      </c>
      <c r="D61" s="124" t="str">
        <f>'1. All Data'!H69</f>
        <v>On Track to be Achieved</v>
      </c>
      <c r="E61" s="96"/>
      <c r="F61" s="125">
        <f>'1. All Data'!M69</f>
        <v>0</v>
      </c>
      <c r="G61" s="114"/>
      <c r="H61" s="126">
        <f>'1. All Data'!R69</f>
        <v>0</v>
      </c>
      <c r="I61" s="114"/>
      <c r="J61" s="126">
        <f>'1. All Data'!V69</f>
        <v>0</v>
      </c>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row>
    <row r="62" spans="1:47" ht="99.75" customHeight="1">
      <c r="A62" s="95" t="str">
        <f>'1. All Data'!B70</f>
        <v>POH04</v>
      </c>
      <c r="B62" s="127" t="str">
        <f>'1. All Data'!C70</f>
        <v>Safeguarding the Market Hall</v>
      </c>
      <c r="C62" s="128" t="str">
        <f>'1. All Data'!D70</f>
        <v>Report on the findings of the Market Hall consultation and establish the way ahead</v>
      </c>
      <c r="D62" s="124" t="str">
        <f>'1. All Data'!H70</f>
        <v>On Track to be Achieved</v>
      </c>
      <c r="E62" s="97"/>
      <c r="F62" s="125">
        <f>'1. All Data'!M70</f>
        <v>0</v>
      </c>
      <c r="G62" s="97"/>
      <c r="H62" s="126">
        <f>'1. All Data'!R70</f>
        <v>0</v>
      </c>
      <c r="I62" s="97"/>
      <c r="J62" s="126">
        <f>'1. All Data'!V70</f>
        <v>0</v>
      </c>
    </row>
    <row r="63" spans="1:47" ht="99.75" customHeight="1">
      <c r="A63" s="95" t="str">
        <f>'1. All Data'!B71</f>
        <v>POH05</v>
      </c>
      <c r="B63" s="127" t="str">
        <f>'1. All Data'!C71</f>
        <v>Preserving the Brewhouse</v>
      </c>
      <c r="C63" s="128" t="str">
        <f>'1. All Data'!D71</f>
        <v>Commence repair works on the Brewhouse roof following the tender exercise</v>
      </c>
      <c r="D63" s="124" t="str">
        <f>'1. All Data'!H71</f>
        <v>Off Target</v>
      </c>
      <c r="E63" s="97"/>
      <c r="F63" s="125">
        <f>'1. All Data'!M71</f>
        <v>0</v>
      </c>
      <c r="G63" s="97"/>
      <c r="H63" s="126">
        <f>'1. All Data'!R71</f>
        <v>0</v>
      </c>
      <c r="I63" s="97"/>
      <c r="J63" s="126">
        <f>'1. All Data'!V71</f>
        <v>0</v>
      </c>
    </row>
    <row r="64" spans="1:47" ht="99.75" customHeight="1">
      <c r="A64" s="95" t="str">
        <f>'1. All Data'!B72</f>
        <v>POH06</v>
      </c>
      <c r="B64" s="127" t="str">
        <f>'1. All Data'!C72</f>
        <v>Deliver the Burton upon Trent High Street Regeneration Project</v>
      </c>
      <c r="C64" s="128" t="str">
        <f>'1. All Data'!D72</f>
        <v>Complete RIBA Stage 2 (Concept Design) for the Reimagined Brewing Centre and Washlands Visitor Centre and brief Members and the Town Deal Board</v>
      </c>
      <c r="D64" s="124" t="str">
        <f>'1. All Data'!H72</f>
        <v>On Track to be Achieved</v>
      </c>
      <c r="E64" s="97"/>
      <c r="F64" s="125">
        <f>'1. All Data'!M72</f>
        <v>0</v>
      </c>
      <c r="G64" s="97"/>
      <c r="H64" s="126">
        <f>'1. All Data'!R72</f>
        <v>0</v>
      </c>
      <c r="I64" s="97"/>
      <c r="J64" s="126">
        <f>'1. All Data'!V72</f>
        <v>0</v>
      </c>
    </row>
    <row r="65" spans="1:10" ht="99.75" customHeight="1">
      <c r="A65" s="95" t="str">
        <f>'1. All Data'!B73</f>
        <v>POH07</v>
      </c>
      <c r="B65" s="127" t="str">
        <f>'1. All Data'!C73</f>
        <v>Deliver the Burton upon Trent High Street Regeneration Project</v>
      </c>
      <c r="C65" s="128" t="str">
        <f>'1. All Data'!D73</f>
        <v>Develop a funding bid for the Heritage Lottery Fund’s Heritage 2033 programme for the Reimagined Brewing Centre project</v>
      </c>
      <c r="D65" s="124" t="str">
        <f>'1. All Data'!H73</f>
        <v>On Track to be Achieved</v>
      </c>
      <c r="E65" s="97"/>
      <c r="F65" s="125">
        <f>'1. All Data'!M73</f>
        <v>0</v>
      </c>
      <c r="G65" s="97"/>
      <c r="H65" s="126">
        <f>'1. All Data'!R73</f>
        <v>0</v>
      </c>
      <c r="I65" s="97"/>
      <c r="J65" s="126">
        <f>'1. All Data'!V73</f>
        <v>0</v>
      </c>
    </row>
    <row r="66" spans="1:10" ht="99.75" customHeight="1">
      <c r="A66" s="95" t="str">
        <f>'1. All Data'!B74</f>
        <v>POH08</v>
      </c>
      <c r="B66" s="127" t="str">
        <f>'1. All Data'!C74</f>
        <v>Deliver the Burton upon Trent High Street Regeneration Project</v>
      </c>
      <c r="C66" s="128" t="str">
        <f>'1. All Data'!D74</f>
        <v>Complete RIBA Stage 3 (Spatial Co-ordination) for the Reimagined Brewing Centre and submit planning application</v>
      </c>
      <c r="D66" s="124" t="str">
        <f>'1. All Data'!H74</f>
        <v>On Track to be Achieved</v>
      </c>
      <c r="E66" s="97"/>
      <c r="F66" s="125">
        <f>'1. All Data'!M74</f>
        <v>0</v>
      </c>
      <c r="G66" s="97"/>
      <c r="H66" s="126">
        <f>'1. All Data'!R74</f>
        <v>0</v>
      </c>
      <c r="I66" s="97"/>
      <c r="J66" s="126">
        <f>'1. All Data'!V74</f>
        <v>0</v>
      </c>
    </row>
    <row r="67" spans="1:10" ht="99.75" customHeight="1">
      <c r="A67" s="95" t="str">
        <f>'1. All Data'!B75</f>
        <v>POH09</v>
      </c>
      <c r="B67" s="127" t="str">
        <f>'1. All Data'!C75</f>
        <v>Deliver the Burton upon Trent High Street Regeneration Project</v>
      </c>
      <c r="C67" s="128" t="str">
        <f>'1. All Data'!D75</f>
        <v>Complete RIBA Stage 4 (Technical Design) for the Reimagined Brewing Centre and brief Members and the Town Deal Board</v>
      </c>
      <c r="D67" s="124" t="str">
        <f>'1. All Data'!H75</f>
        <v>On Track to be Achieved</v>
      </c>
      <c r="E67" s="97"/>
      <c r="F67" s="125">
        <f>'1. All Data'!M75</f>
        <v>0</v>
      </c>
      <c r="G67" s="97"/>
      <c r="H67" s="126">
        <f>'1. All Data'!R75</f>
        <v>0</v>
      </c>
      <c r="I67" s="97"/>
      <c r="J67" s="126">
        <f>'1. All Data'!V75</f>
        <v>0</v>
      </c>
    </row>
    <row r="68" spans="1:10" ht="99.75" customHeight="1">
      <c r="A68" s="95" t="str">
        <f>'1. All Data'!B76</f>
        <v>POH10</v>
      </c>
      <c r="B68" s="127" t="str">
        <f>'1. All Data'!C76</f>
        <v>Deliver the Burton upon Trent High Street Regeneration Project</v>
      </c>
      <c r="C68" s="128" t="str">
        <f>'1. All Data'!D76</f>
        <v>Commence enhancement works at the Garden of Remembrance and agree a complementary improvement scheme for Andressey Passage</v>
      </c>
      <c r="D68" s="124" t="str">
        <f>'1. All Data'!H76</f>
        <v>On Track to be Achieved</v>
      </c>
      <c r="E68" s="97"/>
      <c r="F68" s="125">
        <f>'1. All Data'!M76</f>
        <v>0</v>
      </c>
      <c r="G68" s="97"/>
      <c r="H68" s="126">
        <f>'1. All Data'!R76</f>
        <v>0</v>
      </c>
      <c r="I68" s="97"/>
      <c r="J68" s="126">
        <f>'1. All Data'!V76</f>
        <v>0</v>
      </c>
    </row>
    <row r="69" spans="1:10" ht="99.75" customHeight="1">
      <c r="A69" s="95" t="str">
        <f>'1. All Data'!B77</f>
        <v>COM01</v>
      </c>
      <c r="B69" s="127" t="str">
        <f>'1. All Data'!C77</f>
        <v>Enhancing our Communities</v>
      </c>
      <c r="C69" s="128" t="str">
        <f>'1. All Data'!D77</f>
        <v>Update on the first year of the Community Lottery</v>
      </c>
      <c r="D69" s="124" t="str">
        <f>'1. All Data'!H77</f>
        <v>Not Yet Due</v>
      </c>
      <c r="E69" s="97"/>
      <c r="F69" s="125">
        <f>'1. All Data'!M77</f>
        <v>0</v>
      </c>
      <c r="G69" s="105"/>
      <c r="H69" s="126">
        <f>'1. All Data'!R77</f>
        <v>0</v>
      </c>
      <c r="I69" s="105"/>
      <c r="J69" s="126">
        <f>'1. All Data'!V77</f>
        <v>0</v>
      </c>
    </row>
    <row r="70" spans="1:10" ht="99.75" customHeight="1">
      <c r="A70" s="95" t="str">
        <f>'1. All Data'!B78</f>
        <v>COM02</v>
      </c>
      <c r="B70" s="127" t="str">
        <f>'1. All Data'!C78</f>
        <v>Enhancing our Communities</v>
      </c>
      <c r="C70" s="128" t="str">
        <f>'1. All Data'!D78</f>
        <v>Deliver the Councillors Community Fund ensuring support for our communities</v>
      </c>
      <c r="D70" s="124" t="str">
        <f>'1. All Data'!H78</f>
        <v>On Track to be Achieved</v>
      </c>
      <c r="E70" s="97"/>
      <c r="F70" s="125">
        <f>'1. All Data'!M78</f>
        <v>0</v>
      </c>
      <c r="G70" s="105"/>
      <c r="H70" s="126">
        <f>'1. All Data'!R78</f>
        <v>0</v>
      </c>
      <c r="I70" s="105"/>
      <c r="J70" s="126">
        <f>'1. All Data'!V78</f>
        <v>0</v>
      </c>
    </row>
    <row r="71" spans="1:10" ht="99.75" customHeight="1">
      <c r="A71" s="95" t="str">
        <f>'1. All Data'!B79</f>
        <v>COM03</v>
      </c>
      <c r="B71" s="127" t="str">
        <f>'1. All Data'!C79</f>
        <v>Enhancing our Communities</v>
      </c>
      <c r="C71" s="128" t="str">
        <f>'1. All Data'!D79</f>
        <v>Deliver a Community Regeneration Fund (CRF) to help enhance local areas and update the application criteria</v>
      </c>
      <c r="D71" s="124" t="str">
        <f>'1. All Data'!H79</f>
        <v>On Track to be Achieved</v>
      </c>
      <c r="E71" s="97"/>
      <c r="F71" s="125">
        <f>'1. All Data'!M79</f>
        <v>0</v>
      </c>
      <c r="G71" s="105"/>
      <c r="H71" s="126">
        <f>'1. All Data'!R79</f>
        <v>0</v>
      </c>
      <c r="I71" s="105"/>
      <c r="J71" s="126">
        <f>'1. All Data'!V79</f>
        <v>0</v>
      </c>
    </row>
    <row r="72" spans="1:10" ht="99.75" customHeight="1">
      <c r="A72" s="95" t="str">
        <f>'1. All Data'!B80</f>
        <v>COM04</v>
      </c>
      <c r="B72" s="127" t="str">
        <f>'1. All Data'!C80</f>
        <v>Protecting our Communities</v>
      </c>
      <c r="C72" s="128" t="str">
        <f>'1. All Data'!D80</f>
        <v>Implement Martyn’s Law ensuring residents’ and staff safety around public events including council meetings</v>
      </c>
      <c r="D72" s="124" t="str">
        <f>'1. All Data'!H80</f>
        <v>On Track to be Achieved</v>
      </c>
      <c r="E72" s="96"/>
      <c r="F72" s="125">
        <f>'1. All Data'!M80</f>
        <v>0</v>
      </c>
      <c r="G72" s="97"/>
      <c r="H72" s="126">
        <f>'1. All Data'!R80</f>
        <v>0</v>
      </c>
      <c r="I72" s="97"/>
      <c r="J72" s="126">
        <f>'1. All Data'!V80</f>
        <v>0</v>
      </c>
    </row>
    <row r="73" spans="1:10" ht="99.75" customHeight="1">
      <c r="A73" s="95" t="str">
        <f>'1. All Data'!B81</f>
        <v>COM05</v>
      </c>
      <c r="B73" s="127" t="str">
        <f>'1. All Data'!C81</f>
        <v>Delivering Cost of Living Support</v>
      </c>
      <c r="C73" s="128" t="str">
        <f>'1. All Data'!D81</f>
        <v>Review and report on progress on delivery of cost of living support, including reducing fuel and food poverty and promote further engagement with low-income and vulnerable households</v>
      </c>
      <c r="D73" s="124" t="str">
        <f>'1. All Data'!H81</f>
        <v>Not Yet Due</v>
      </c>
      <c r="E73" s="97"/>
      <c r="F73" s="125">
        <f>'1. All Data'!M81</f>
        <v>0</v>
      </c>
      <c r="G73" s="97"/>
      <c r="H73" s="126">
        <f>'1. All Data'!R81</f>
        <v>0</v>
      </c>
      <c r="I73" s="97"/>
      <c r="J73" s="126">
        <f>'1. All Data'!V81</f>
        <v>0</v>
      </c>
    </row>
    <row r="74" spans="1:10" ht="99.75" customHeight="1">
      <c r="A74" s="95" t="str">
        <f>'1. All Data'!B83</f>
        <v>COM07</v>
      </c>
      <c r="B74" s="127" t="str">
        <f>'1. All Data'!C83</f>
        <v>Delivering Housing and Homelessness Support</v>
      </c>
      <c r="C74" s="128" t="str">
        <f>'1. All Data'!D83</f>
        <v>Average time from appointment to initial decision for homeless applicants of 3 days</v>
      </c>
      <c r="D74" s="124" t="str">
        <f>'1. All Data'!H83</f>
        <v>On Track to be Achieved</v>
      </c>
      <c r="E74" s="97"/>
      <c r="F74" s="125">
        <f>'1. All Data'!M83</f>
        <v>0</v>
      </c>
      <c r="G74" s="105"/>
      <c r="H74" s="126">
        <f>'1. All Data'!R83</f>
        <v>0</v>
      </c>
      <c r="I74" s="97"/>
      <c r="J74" s="126">
        <f>'1. All Data'!V83</f>
        <v>0</v>
      </c>
    </row>
    <row r="75" spans="1:10" ht="99.75" customHeight="1">
      <c r="A75" s="95" t="str">
        <f>'1. All Data'!B86</f>
        <v>COM10</v>
      </c>
      <c r="B75" s="127" t="str">
        <f>'1. All Data'!C86</f>
        <v>Development of Rough Sleeper Interventions</v>
      </c>
      <c r="C75" s="128" t="str">
        <f>'1. All Data'!D86</f>
        <v>Evaluate the existing DLUHC Rough Sleeper projects and make recommendations for next steps when funding for these end in March 2025</v>
      </c>
      <c r="D75" s="124" t="str">
        <f>'1. All Data'!H86</f>
        <v>Not Yet Due</v>
      </c>
      <c r="E75" s="97"/>
      <c r="F75" s="125">
        <f>'1. All Data'!M86</f>
        <v>0</v>
      </c>
      <c r="G75" s="97"/>
      <c r="H75" s="126">
        <f>'1. All Data'!R86</f>
        <v>0</v>
      </c>
      <c r="I75" s="97"/>
      <c r="J75" s="126">
        <f>'1. All Data'!V86</f>
        <v>0</v>
      </c>
    </row>
    <row r="76" spans="1:10" ht="99.75" customHeight="1">
      <c r="A76" s="95" t="str">
        <f>'1. All Data'!B89</f>
        <v>COM13</v>
      </c>
      <c r="B76" s="127" t="str">
        <f>'1. All Data'!C89</f>
        <v>Maintain Performance On Recycling</v>
      </c>
      <c r="C76" s="128" t="str">
        <f>'1. All Data'!D89</f>
        <v>Household Waste Recycled and Composted: Upper Quartile</v>
      </c>
      <c r="D76" s="124" t="str">
        <f>'1. All Data'!H89</f>
        <v>On Track to be Achieved</v>
      </c>
      <c r="E76" s="97"/>
      <c r="F76" s="125">
        <f>'1. All Data'!M89</f>
        <v>0</v>
      </c>
      <c r="G76" s="97"/>
      <c r="H76" s="126">
        <f>'1. All Data'!R89</f>
        <v>0</v>
      </c>
      <c r="I76" s="97"/>
      <c r="J76" s="126">
        <f>'1. All Data'!V89</f>
        <v>0</v>
      </c>
    </row>
    <row r="77" spans="1:10" ht="87.6">
      <c r="A77" s="95" t="str">
        <f>'1. All Data'!B90</f>
        <v>COM14</v>
      </c>
      <c r="B77" s="127" t="str">
        <f>'1. All Data'!C90</f>
        <v>Preparing Waste Management for the Future</v>
      </c>
      <c r="C77" s="128" t="str">
        <f>'1. All Data'!D90</f>
        <v>Provide a plan on developments to deliver an upgraded (or new) Waste Depot</v>
      </c>
      <c r="D77" s="124" t="str">
        <f>'1. All Data'!H90</f>
        <v>On Track to be Achieved</v>
      </c>
      <c r="E77" s="96"/>
      <c r="F77" s="125">
        <f>'1. All Data'!M90</f>
        <v>0</v>
      </c>
      <c r="G77" s="97"/>
      <c r="H77" s="126">
        <f>'1. All Data'!R90</f>
        <v>0</v>
      </c>
      <c r="I77" s="97"/>
      <c r="J77" s="126">
        <f>'1. All Data'!V90</f>
        <v>0</v>
      </c>
    </row>
    <row r="78" spans="1:10" ht="99.75" customHeight="1">
      <c r="A78" s="95" t="str">
        <f>'1. All Data'!B93</f>
        <v>COM17</v>
      </c>
      <c r="B78" s="127" t="str">
        <f>'1. All Data'!C93</f>
        <v>Managing Sport and Leisure Contracts</v>
      </c>
      <c r="C78" s="128" t="str">
        <f>'1. All Data'!D93</f>
        <v>Report on grant funding issued via East Staffordshire Sports Council on a quarterly basis through the Member briefing.</v>
      </c>
      <c r="D78" s="124" t="str">
        <f>'1. All Data'!H93</f>
        <v>On Track to be Achieved</v>
      </c>
      <c r="E78" s="96"/>
      <c r="F78" s="125">
        <f>'1. All Data'!M93</f>
        <v>0</v>
      </c>
      <c r="G78" s="104"/>
      <c r="H78" s="126">
        <f>'1. All Data'!R93</f>
        <v>0</v>
      </c>
      <c r="I78" s="104"/>
      <c r="J78" s="126">
        <f>'1. All Data'!V93</f>
        <v>0</v>
      </c>
    </row>
    <row r="79" spans="1:10" ht="99.75" customHeight="1">
      <c r="A79" s="95" t="str">
        <f>'1. All Data'!B94</f>
        <v>COM18</v>
      </c>
      <c r="B79" s="127" t="str">
        <f>'1. All Data'!C94</f>
        <v>Regenerating for Communities</v>
      </c>
      <c r="C79" s="128" t="str">
        <f>'1. All Data'!D94</f>
        <v>Administer the final year of the UK Shared Prosperity Fund programme</v>
      </c>
      <c r="D79" s="124" t="str">
        <f>'1. All Data'!H94</f>
        <v>On Track to be Achieved</v>
      </c>
      <c r="E79" s="96"/>
      <c r="F79" s="125">
        <f>'1. All Data'!M94</f>
        <v>0</v>
      </c>
      <c r="G79" s="97"/>
      <c r="H79" s="126">
        <f>'1. All Data'!R94</f>
        <v>0</v>
      </c>
      <c r="I79" s="97"/>
      <c r="J79" s="126">
        <f>'1. All Data'!V94</f>
        <v>0</v>
      </c>
    </row>
    <row r="80" spans="1:10" ht="99.75" customHeight="1">
      <c r="A80" s="95" t="str">
        <f>'1. All Data'!B95</f>
        <v>COM19</v>
      </c>
      <c r="B80" s="127" t="str">
        <f>'1. All Data'!C95</f>
        <v>Regenerating for Communities</v>
      </c>
      <c r="C80" s="128" t="str">
        <f>'1. All Data'!D95</f>
        <v xml:space="preserve">Approve a Play Area Improvement Project through the UK Shared Prosperity Fund to deliver enhancements across 16 play areas in the Borough, one in each Ward </v>
      </c>
      <c r="D80" s="124" t="str">
        <f>'1. All Data'!H95</f>
        <v>Fully Achieved</v>
      </c>
      <c r="E80" s="97"/>
      <c r="F80" s="125">
        <f>'1. All Data'!M95</f>
        <v>0</v>
      </c>
      <c r="G80" s="97"/>
      <c r="H80" s="126">
        <f>'1. All Data'!R95</f>
        <v>0</v>
      </c>
      <c r="I80" s="97"/>
      <c r="J80" s="126">
        <f>'1. All Data'!V95</f>
        <v>0</v>
      </c>
    </row>
    <row r="81" spans="1:46" ht="99.75" customHeight="1">
      <c r="A81" s="95" t="str">
        <f>'1. All Data'!B96</f>
        <v>COM20</v>
      </c>
      <c r="B81" s="127" t="str">
        <f>'1. All Data'!C96</f>
        <v>Regenerating for Communities</v>
      </c>
      <c r="C81" s="128" t="str">
        <f>'1. All Data'!D96</f>
        <v xml:space="preserve">Update the Brownfield Regeneration Framework with a renewed focus on social housing regeneration </v>
      </c>
      <c r="D81" s="124" t="str">
        <f>'1. All Data'!H96</f>
        <v>Fully Achieved</v>
      </c>
      <c r="E81" s="97"/>
      <c r="F81" s="125">
        <f>'1. All Data'!M96</f>
        <v>0</v>
      </c>
      <c r="G81" s="97"/>
      <c r="H81" s="126">
        <f>'1. All Data'!R96</f>
        <v>0</v>
      </c>
      <c r="I81" s="97"/>
      <c r="J81" s="126">
        <f>'1. All Data'!V96</f>
        <v>0</v>
      </c>
    </row>
    <row r="82" spans="1:46" s="111" customFormat="1" ht="105">
      <c r="A82" s="95" t="str">
        <f>'1. All Data'!B97</f>
        <v>COM21</v>
      </c>
      <c r="B82" s="127" t="str">
        <f>'1. All Data'!C97</f>
        <v>Regenerating for Communities</v>
      </c>
      <c r="C82" s="128" t="str">
        <f>'1. All Data'!D97</f>
        <v xml:space="preserve">Identify at least one social housing regeneration project for funding through the updated Brownfield Regeneration Framework </v>
      </c>
      <c r="D82" s="124" t="str">
        <f>'1. All Data'!H97</f>
        <v>On Track to be Achieved</v>
      </c>
      <c r="E82" s="96"/>
      <c r="F82" s="125">
        <f>'1. All Data'!M97</f>
        <v>0</v>
      </c>
      <c r="G82" s="97"/>
      <c r="H82" s="126">
        <f>'1. All Data'!R97</f>
        <v>0</v>
      </c>
      <c r="I82" s="97"/>
      <c r="J82" s="126">
        <f>'1. All Data'!V97</f>
        <v>0</v>
      </c>
      <c r="K82" s="117"/>
      <c r="L82" s="117"/>
      <c r="M82" s="118"/>
      <c r="N82" s="119"/>
      <c r="O82" s="119"/>
      <c r="P82" s="119"/>
      <c r="Q82" s="119"/>
      <c r="R82" s="118"/>
      <c r="S82" s="117"/>
      <c r="T82" s="117"/>
      <c r="U82" s="117"/>
      <c r="V82" s="120"/>
      <c r="W82" s="117"/>
      <c r="X82" s="118"/>
      <c r="Y82" s="118"/>
      <c r="Z82" s="118"/>
      <c r="AA82" s="118"/>
      <c r="AB82" s="109"/>
      <c r="AC82" s="94"/>
      <c r="AD82" s="110"/>
      <c r="AE82" s="110"/>
      <c r="AF82" s="110"/>
      <c r="AG82" s="110"/>
      <c r="AH82" s="110"/>
      <c r="AI82" s="110"/>
      <c r="AJ82" s="110"/>
      <c r="AK82" s="110"/>
      <c r="AL82" s="110"/>
      <c r="AM82" s="110"/>
      <c r="AN82" s="110"/>
      <c r="AO82" s="110"/>
      <c r="AP82" s="110"/>
      <c r="AQ82" s="110"/>
      <c r="AR82" s="110"/>
      <c r="AS82" s="110"/>
      <c r="AT82" s="110"/>
    </row>
    <row r="83" spans="1:46" s="116" customFormat="1" ht="103.5" customHeight="1">
      <c r="A83" s="95" t="str">
        <f>'1. All Data'!B98</f>
        <v>COM22</v>
      </c>
      <c r="B83" s="127" t="str">
        <f>'1. All Data'!C98</f>
        <v xml:space="preserve">Delivering Better Services to Support the Cost of Living Crisis </v>
      </c>
      <c r="C83" s="128" t="str">
        <f>'1. All Data'!D98</f>
        <v>Development and installation of system upgrades to support a digital portal, electronic forms and communications for Revenues and Benefits</v>
      </c>
      <c r="D83" s="124" t="str">
        <f>'1. All Data'!H98</f>
        <v>On Track to be Achieved</v>
      </c>
      <c r="E83" s="97"/>
      <c r="F83" s="125">
        <f>'1. All Data'!M98</f>
        <v>0</v>
      </c>
      <c r="G83" s="121"/>
      <c r="H83" s="126">
        <f>'1. All Data'!R98</f>
        <v>0</v>
      </c>
      <c r="I83" s="121"/>
      <c r="J83" s="126">
        <f>'1. All Data'!V98</f>
        <v>0</v>
      </c>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row>
    <row r="84" spans="1:46" ht="99.75" customHeight="1">
      <c r="A84" s="95" t="str">
        <f>'1. All Data'!B99</f>
        <v>COM23</v>
      </c>
      <c r="B84" s="127" t="str">
        <f>'1. All Data'!C99</f>
        <v>Delivering Better Services to Support the Cost of Living Crisis</v>
      </c>
      <c r="C84" s="128" t="str">
        <f>'1. All Data'!D99</f>
        <v>Conduct a review of Local Council Tax Reduction Scheme to improve lives</v>
      </c>
      <c r="D84" s="124" t="str">
        <f>'1. All Data'!H99</f>
        <v>On Track to be Achieved</v>
      </c>
      <c r="E84" s="96"/>
      <c r="F84" s="125">
        <f>'1. All Data'!M99</f>
        <v>0</v>
      </c>
      <c r="G84" s="97"/>
      <c r="H84" s="126">
        <f>'1. All Data'!R99</f>
        <v>0</v>
      </c>
      <c r="I84" s="97"/>
      <c r="J84" s="126">
        <f>'1. All Data'!V99</f>
        <v>0</v>
      </c>
    </row>
    <row r="85" spans="1:46" ht="99.75" customHeight="1">
      <c r="A85" s="95" t="str">
        <f>'1. All Data'!B100</f>
        <v>COM24</v>
      </c>
      <c r="B85" s="127" t="str">
        <f>'1. All Data'!C100</f>
        <v>Delivering Better Services to Support the Cost of Living Crisis</v>
      </c>
      <c r="C85" s="128" t="str">
        <f>'1. All Data'!D100</f>
        <v>Time Taken to Process Benefit New Claims and Change Events (Previously NI 181) 
Average time: 4.5 days</v>
      </c>
      <c r="D85" s="124" t="str">
        <f>'1. All Data'!H100</f>
        <v>On Track to be Achieved</v>
      </c>
      <c r="E85" s="96"/>
      <c r="F85" s="125">
        <f>'1. All Data'!M100</f>
        <v>0</v>
      </c>
      <c r="G85" s="97"/>
      <c r="H85" s="126">
        <f>'1. All Data'!R100</f>
        <v>0</v>
      </c>
      <c r="I85" s="97"/>
      <c r="J85" s="126">
        <f>'1. All Data'!V100</f>
        <v>0</v>
      </c>
    </row>
    <row r="86" spans="1:46" ht="99.75" customHeight="1">
      <c r="A86" s="95" t="str">
        <f>'1. All Data'!B101</f>
        <v>COM25</v>
      </c>
      <c r="B86" s="127" t="str">
        <f>'1. All Data'!C101</f>
        <v>Continue to Maximise Income Through Effective Collection Processes</v>
      </c>
      <c r="C86" s="128" t="str">
        <f>'1. All Data'!D101</f>
        <v>Former Years Arrears for: 
ongoing reduction of all prior years debt of 
Council Tax: 25%
NNDR: 35%
Sundry Debts: 50%
HBOP: 30%</v>
      </c>
      <c r="D86" s="124" t="str">
        <f>'1. All Data'!H101</f>
        <v>On Track to be Achieved</v>
      </c>
      <c r="E86" s="96"/>
      <c r="F86" s="125">
        <f>'1. All Data'!M101</f>
        <v>0</v>
      </c>
      <c r="G86" s="105"/>
      <c r="H86" s="126">
        <f>'1. All Data'!R101</f>
        <v>0</v>
      </c>
      <c r="I86" s="97"/>
      <c r="J86" s="126">
        <f>'1. All Data'!V101</f>
        <v>0</v>
      </c>
    </row>
    <row r="87" spans="1:46" ht="99.75" customHeight="1">
      <c r="A87" s="95" t="str">
        <f>'1. All Data'!B102</f>
        <v>COM26</v>
      </c>
      <c r="B87" s="127" t="str">
        <f>'1. All Data'!C102</f>
        <v>Continue to Maximise Income Through Effective Collection Processes (Previously BVPI 9 &amp; 10)</v>
      </c>
      <c r="C87" s="128" t="str">
        <f>'1. All Data'!D102</f>
        <v>Collection Rates of – 
Council Tax: 98% over 6 years
With an in year collection of 90%
NNDR: 99% over 6 years
With an in year collection of 92%</v>
      </c>
      <c r="D87" s="124" t="str">
        <f>'1. All Data'!H102</f>
        <v>On Track to be Achieved</v>
      </c>
      <c r="E87" s="96"/>
      <c r="F87" s="125">
        <f>'1. All Data'!M102</f>
        <v>0</v>
      </c>
      <c r="G87" s="97"/>
      <c r="H87" s="126">
        <f>'1. All Data'!R102</f>
        <v>0</v>
      </c>
      <c r="I87" s="97"/>
      <c r="J87" s="126">
        <f>'1. All Data'!V102</f>
        <v>0</v>
      </c>
    </row>
    <row r="88" spans="1:46" ht="99.75" customHeight="1">
      <c r="A88" s="95" t="str">
        <f>'1. All Data'!B103</f>
        <v>COM27</v>
      </c>
      <c r="B88" s="127" t="str">
        <f>'1. All Data'!C103</f>
        <v>Increasing Staffing Availability Through Reduced Sickness</v>
      </c>
      <c r="C88" s="128" t="str">
        <f>'1. All Data'!D103</f>
        <v>Short Term Sickness Days Average: Short Term Sickness Days Average:
[To be Agreed Post Outturn]</v>
      </c>
      <c r="D88" s="124" t="str">
        <f>'1. All Data'!H103</f>
        <v>On Track to be Achieved</v>
      </c>
      <c r="E88" s="96"/>
      <c r="F88" s="125">
        <f>'1. All Data'!M103</f>
        <v>0</v>
      </c>
      <c r="G88" s="97"/>
      <c r="H88" s="126">
        <f>'1. All Data'!R103</f>
        <v>0</v>
      </c>
      <c r="I88" s="97"/>
      <c r="J88" s="126">
        <f>'1. All Data'!V103</f>
        <v>0</v>
      </c>
    </row>
    <row r="89" spans="1:46" ht="99.75" customHeight="1">
      <c r="A89" s="95" t="str">
        <f>'1. All Data'!B104</f>
        <v>COM28</v>
      </c>
      <c r="B89" s="127" t="str">
        <f>'1. All Data'!C104</f>
        <v>Improve On The Average Time To Pay Creditors</v>
      </c>
      <c r="C89" s="128" t="str">
        <f>'1. All Data'!D104</f>
        <v>Average Time To Pay Creditors: 
[To be Agreed Post Outturn]</v>
      </c>
      <c r="D89" s="124" t="str">
        <f>'1. All Data'!H104</f>
        <v>On Track to be Achieved</v>
      </c>
      <c r="E89" s="97"/>
      <c r="F89" s="125">
        <f>'1. All Data'!M104</f>
        <v>0</v>
      </c>
      <c r="G89" s="97"/>
      <c r="H89" s="126">
        <f>'1. All Data'!R104</f>
        <v>0</v>
      </c>
      <c r="I89" s="97"/>
      <c r="J89" s="126">
        <f>'1. All Data'!V104</f>
        <v>0</v>
      </c>
    </row>
    <row r="90" spans="1:46" ht="99.75" customHeight="1">
      <c r="A90" s="95">
        <f>'1. All Data'!B106</f>
        <v>0</v>
      </c>
      <c r="B90" s="127">
        <f>'1. All Data'!C106</f>
        <v>0</v>
      </c>
      <c r="C90" s="128">
        <f>'1. All Data'!D106</f>
        <v>0</v>
      </c>
      <c r="D90" s="124">
        <f>'1. All Data'!H106</f>
        <v>0</v>
      </c>
      <c r="E90" s="96"/>
      <c r="F90" s="125">
        <f>'1. All Data'!M106</f>
        <v>0</v>
      </c>
      <c r="G90" s="97"/>
      <c r="H90" s="126">
        <f>'1. All Data'!R106</f>
        <v>0</v>
      </c>
      <c r="I90" s="97"/>
      <c r="J90" s="126">
        <f>'1. All Data'!V106</f>
        <v>0</v>
      </c>
    </row>
    <row r="91" spans="1:46" ht="99.75" customHeight="1">
      <c r="A91" s="95">
        <f>'1. All Data'!B107</f>
        <v>0</v>
      </c>
      <c r="B91" s="127">
        <f>'1. All Data'!C107</f>
        <v>0</v>
      </c>
      <c r="C91" s="128">
        <f>'1. All Data'!D107</f>
        <v>0</v>
      </c>
      <c r="D91" s="124">
        <f>'1. All Data'!H107</f>
        <v>0</v>
      </c>
      <c r="E91" s="97"/>
      <c r="F91" s="125">
        <f>'1. All Data'!M107</f>
        <v>0</v>
      </c>
      <c r="G91" s="97"/>
      <c r="H91" s="126">
        <f>'1. All Data'!R107</f>
        <v>0</v>
      </c>
      <c r="I91" s="97"/>
      <c r="J91" s="126">
        <f>'1. All Data'!V107</f>
        <v>0</v>
      </c>
    </row>
    <row r="92" spans="1:46" ht="99.75" customHeight="1">
      <c r="A92" s="95">
        <f>'1. All Data'!B108</f>
        <v>0</v>
      </c>
      <c r="B92" s="127">
        <f>'1. All Data'!C108</f>
        <v>0</v>
      </c>
      <c r="C92" s="128">
        <f>'1. All Data'!D108</f>
        <v>0</v>
      </c>
      <c r="D92" s="124">
        <f>'1. All Data'!H108</f>
        <v>0</v>
      </c>
      <c r="E92" s="96"/>
      <c r="F92" s="125">
        <f>'1. All Data'!M108</f>
        <v>0</v>
      </c>
      <c r="G92" s="97"/>
      <c r="H92" s="126">
        <f>'1. All Data'!R108</f>
        <v>0</v>
      </c>
      <c r="I92" s="97"/>
      <c r="J92" s="126">
        <f>'1. All Data'!V108</f>
        <v>0</v>
      </c>
    </row>
    <row r="93" spans="1:46" ht="99.75" customHeight="1">
      <c r="A93" s="95">
        <f>'1. All Data'!B109</f>
        <v>0</v>
      </c>
      <c r="B93" s="127">
        <f>'1. All Data'!C109</f>
        <v>0</v>
      </c>
      <c r="C93" s="128">
        <f>'1. All Data'!D109</f>
        <v>0</v>
      </c>
      <c r="D93" s="124">
        <f>'1. All Data'!H109</f>
        <v>0</v>
      </c>
      <c r="E93" s="96"/>
      <c r="F93" s="125">
        <f>'1. All Data'!M109</f>
        <v>0</v>
      </c>
      <c r="G93" s="97"/>
      <c r="H93" s="126">
        <f>'1. All Data'!R109</f>
        <v>0</v>
      </c>
      <c r="I93" s="97"/>
      <c r="J93" s="126">
        <f>'1. All Data'!V109</f>
        <v>0</v>
      </c>
    </row>
    <row r="94" spans="1:46" ht="99.75" customHeight="1">
      <c r="A94" s="95">
        <f>'1. All Data'!B110</f>
        <v>0</v>
      </c>
      <c r="B94" s="127">
        <f>'1. All Data'!C110</f>
        <v>0</v>
      </c>
      <c r="C94" s="128">
        <f>'1. All Data'!D110</f>
        <v>0</v>
      </c>
      <c r="D94" s="124">
        <f>'1. All Data'!H110</f>
        <v>0</v>
      </c>
      <c r="E94" s="96"/>
      <c r="F94" s="125">
        <f>'1. All Data'!M110</f>
        <v>0</v>
      </c>
      <c r="G94" s="97"/>
      <c r="H94" s="126">
        <f>'1. All Data'!R110</f>
        <v>0</v>
      </c>
      <c r="I94" s="97"/>
      <c r="J94" s="126">
        <f>'1. All Data'!V110</f>
        <v>0</v>
      </c>
    </row>
    <row r="95" spans="1:46" ht="99.75" customHeight="1">
      <c r="A95" s="95">
        <f>'1. All Data'!B111</f>
        <v>0</v>
      </c>
      <c r="B95" s="127">
        <f>'1. All Data'!C111</f>
        <v>0</v>
      </c>
      <c r="C95" s="128">
        <f>'1. All Data'!D111</f>
        <v>0</v>
      </c>
      <c r="D95" s="124">
        <f>'1. All Data'!H111</f>
        <v>0</v>
      </c>
      <c r="E95" s="96"/>
      <c r="F95" s="125">
        <f>'1. All Data'!M111</f>
        <v>0</v>
      </c>
      <c r="G95" s="97"/>
      <c r="H95" s="126">
        <f>'1. All Data'!R111</f>
        <v>0</v>
      </c>
      <c r="I95" s="97"/>
      <c r="J95" s="126">
        <f>'1. All Data'!V111</f>
        <v>0</v>
      </c>
    </row>
    <row r="96" spans="1:46" ht="99.75" customHeight="1">
      <c r="A96" s="95">
        <f>'1. All Data'!B112</f>
        <v>0</v>
      </c>
      <c r="B96" s="127">
        <f>'1. All Data'!C112</f>
        <v>0</v>
      </c>
      <c r="C96" s="128">
        <f>'1. All Data'!D112</f>
        <v>0</v>
      </c>
      <c r="D96" s="124">
        <f>'1. All Data'!H112</f>
        <v>0</v>
      </c>
      <c r="E96" s="97"/>
      <c r="F96" s="125">
        <f>'1. All Data'!M112</f>
        <v>0</v>
      </c>
      <c r="G96" s="97"/>
      <c r="H96" s="126">
        <f>'1. All Data'!R112</f>
        <v>0</v>
      </c>
      <c r="I96" s="97"/>
      <c r="J96" s="126">
        <f>'1. All Data'!V112</f>
        <v>0</v>
      </c>
    </row>
    <row r="97" spans="1:10" ht="99.75" customHeight="1">
      <c r="A97" s="95">
        <f>'1. All Data'!B114</f>
        <v>0</v>
      </c>
      <c r="B97" s="127">
        <f>'1. All Data'!C114</f>
        <v>0</v>
      </c>
      <c r="C97" s="128">
        <f>'1. All Data'!D114</f>
        <v>0</v>
      </c>
      <c r="D97" s="124">
        <f>'1. All Data'!H114</f>
        <v>0</v>
      </c>
      <c r="E97" s="97"/>
      <c r="F97" s="125">
        <f>'1. All Data'!M114</f>
        <v>0</v>
      </c>
      <c r="G97" s="97"/>
      <c r="H97" s="126">
        <f>'1. All Data'!R114</f>
        <v>0</v>
      </c>
      <c r="I97" s="97"/>
      <c r="J97" s="126">
        <f>'1. All Data'!V114</f>
        <v>0</v>
      </c>
    </row>
    <row r="98" spans="1:10" ht="99.75" customHeight="1">
      <c r="A98" s="95">
        <f>'1. All Data'!B115</f>
        <v>0</v>
      </c>
      <c r="B98" s="127">
        <f>'1. All Data'!C115</f>
        <v>0</v>
      </c>
      <c r="C98" s="128">
        <f>'1. All Data'!D115</f>
        <v>0</v>
      </c>
      <c r="D98" s="124">
        <f>'1. All Data'!H115</f>
        <v>0</v>
      </c>
      <c r="E98" s="96"/>
      <c r="F98" s="125">
        <f>'1. All Data'!M115</f>
        <v>0</v>
      </c>
      <c r="G98" s="105"/>
      <c r="H98" s="126">
        <f>'1. All Data'!R115</f>
        <v>0</v>
      </c>
      <c r="I98" s="97"/>
      <c r="J98" s="126">
        <f>'1. All Data'!V115</f>
        <v>0</v>
      </c>
    </row>
    <row r="99" spans="1:10" ht="99.75" customHeight="1">
      <c r="A99" s="95">
        <f>'1. All Data'!B116</f>
        <v>0</v>
      </c>
      <c r="B99" s="127">
        <f>'1. All Data'!C116</f>
        <v>0</v>
      </c>
      <c r="C99" s="128">
        <f>'1. All Data'!D116</f>
        <v>0</v>
      </c>
      <c r="D99" s="124">
        <f>'1. All Data'!H116</f>
        <v>0</v>
      </c>
      <c r="E99" s="97"/>
      <c r="F99" s="125">
        <f>'1. All Data'!M116</f>
        <v>0</v>
      </c>
      <c r="G99" s="104"/>
      <c r="H99" s="126">
        <f>'1. All Data'!R116</f>
        <v>0</v>
      </c>
      <c r="I99" s="97"/>
      <c r="J99" s="126">
        <f>'1. All Data'!V116</f>
        <v>0</v>
      </c>
    </row>
    <row r="100" spans="1:10" ht="99.75" customHeight="1">
      <c r="A100" s="95">
        <f>'1. All Data'!B117</f>
        <v>0</v>
      </c>
      <c r="B100" s="127">
        <f>'1. All Data'!C117</f>
        <v>0</v>
      </c>
      <c r="C100" s="128">
        <f>'1. All Data'!D117</f>
        <v>0</v>
      </c>
      <c r="D100" s="124">
        <f>'1. All Data'!H117</f>
        <v>0</v>
      </c>
      <c r="E100" s="97"/>
      <c r="F100" s="125">
        <f>'1. All Data'!M117</f>
        <v>0</v>
      </c>
      <c r="G100" s="97"/>
      <c r="H100" s="126">
        <f>'1. All Data'!R117</f>
        <v>0</v>
      </c>
      <c r="I100" s="97"/>
      <c r="J100" s="126">
        <f>'1. All Data'!V117</f>
        <v>0</v>
      </c>
    </row>
    <row r="101" spans="1:10" ht="99.75" customHeight="1">
      <c r="A101" s="95">
        <f>'1. All Data'!B120</f>
        <v>0</v>
      </c>
      <c r="B101" s="127">
        <f>'1. All Data'!C120</f>
        <v>0</v>
      </c>
      <c r="C101" s="128">
        <f>'1. All Data'!D120</f>
        <v>0</v>
      </c>
      <c r="D101" s="124">
        <f>'1. All Data'!H120</f>
        <v>0</v>
      </c>
      <c r="E101" s="97"/>
      <c r="F101" s="125">
        <f>'1. All Data'!M120</f>
        <v>0</v>
      </c>
      <c r="G101" s="97"/>
      <c r="H101" s="126">
        <f>'1. All Data'!R120</f>
        <v>0</v>
      </c>
      <c r="I101" s="97"/>
      <c r="J101" s="126">
        <f>'1. All Data'!V120</f>
        <v>0</v>
      </c>
    </row>
    <row r="102" spans="1:10" ht="99.75" customHeight="1">
      <c r="A102" s="95">
        <f>'1. All Data'!B123</f>
        <v>0</v>
      </c>
      <c r="B102" s="127">
        <f>'1. All Data'!C123</f>
        <v>0</v>
      </c>
      <c r="C102" s="128">
        <f>'1. All Data'!D123</f>
        <v>0</v>
      </c>
      <c r="D102" s="124">
        <f>'1. All Data'!H123</f>
        <v>0</v>
      </c>
      <c r="E102" s="96"/>
      <c r="F102" s="125">
        <f>'1. All Data'!M123</f>
        <v>0</v>
      </c>
      <c r="G102" s="97"/>
      <c r="H102" s="126">
        <f>'1. All Data'!R123</f>
        <v>0</v>
      </c>
      <c r="I102" s="97"/>
      <c r="J102" s="126">
        <f>'1. All Data'!V123</f>
        <v>0</v>
      </c>
    </row>
    <row r="103" spans="1:10" ht="99.75" customHeight="1">
      <c r="A103" s="95">
        <f>'1. All Data'!B125</f>
        <v>0</v>
      </c>
      <c r="B103" s="127">
        <f>'1. All Data'!C125</f>
        <v>0</v>
      </c>
      <c r="C103" s="128">
        <f>'1. All Data'!D125</f>
        <v>0</v>
      </c>
      <c r="D103" s="124">
        <f>'1. All Data'!H125</f>
        <v>0</v>
      </c>
      <c r="E103" s="96"/>
      <c r="F103" s="125">
        <f>'1. All Data'!M125</f>
        <v>0</v>
      </c>
      <c r="G103" s="97"/>
      <c r="H103" s="126">
        <f>'1. All Data'!R125</f>
        <v>0</v>
      </c>
      <c r="I103" s="97"/>
      <c r="J103" s="126">
        <f>'1. All Data'!V125</f>
        <v>0</v>
      </c>
    </row>
    <row r="104" spans="1:10" ht="99.75" customHeight="1">
      <c r="A104" s="95">
        <f>'1. All Data'!B126</f>
        <v>0</v>
      </c>
      <c r="B104" s="127">
        <f>'1. All Data'!C126</f>
        <v>0</v>
      </c>
      <c r="C104" s="128">
        <f>'1. All Data'!D126</f>
        <v>0</v>
      </c>
      <c r="D104" s="124">
        <f>'1. All Data'!H126</f>
        <v>0</v>
      </c>
      <c r="E104" s="97"/>
      <c r="F104" s="125">
        <f>'1. All Data'!M126</f>
        <v>0</v>
      </c>
      <c r="G104" s="97"/>
      <c r="H104" s="126">
        <f>'1. All Data'!R126</f>
        <v>0</v>
      </c>
      <c r="I104" s="97"/>
      <c r="J104" s="126">
        <f>'1. All Data'!V126</f>
        <v>0</v>
      </c>
    </row>
    <row r="105" spans="1:10" ht="99.75" customHeight="1">
      <c r="A105" s="95" t="e">
        <f>'1. All Data'!#REF!</f>
        <v>#REF!</v>
      </c>
      <c r="B105" s="127" t="e">
        <f>'1. All Data'!#REF!</f>
        <v>#REF!</v>
      </c>
      <c r="C105" s="128" t="e">
        <f>'1. All Data'!#REF!</f>
        <v>#REF!</v>
      </c>
      <c r="D105" s="124" t="e">
        <f>'1. All Data'!#REF!</f>
        <v>#REF!</v>
      </c>
      <c r="E105" s="97"/>
      <c r="F105" s="125" t="e">
        <f>'1. All Data'!#REF!</f>
        <v>#REF!</v>
      </c>
      <c r="G105" s="97"/>
      <c r="H105" s="126" t="e">
        <f>'1. All Data'!#REF!</f>
        <v>#REF!</v>
      </c>
      <c r="I105" s="97"/>
      <c r="J105" s="126" t="e">
        <f>'1. All Data'!#REF!</f>
        <v>#REF!</v>
      </c>
    </row>
    <row r="106" spans="1:10" ht="99.75" customHeight="1">
      <c r="A106" s="95" t="e">
        <f>'1. All Data'!#REF!</f>
        <v>#REF!</v>
      </c>
      <c r="B106" s="127" t="e">
        <f>'1. All Data'!#REF!</f>
        <v>#REF!</v>
      </c>
      <c r="C106" s="128" t="e">
        <f>'1. All Data'!#REF!</f>
        <v>#REF!</v>
      </c>
      <c r="D106" s="124" t="e">
        <f>'1. All Data'!#REF!</f>
        <v>#REF!</v>
      </c>
      <c r="E106" s="97"/>
      <c r="F106" s="125" t="e">
        <f>'1. All Data'!#REF!</f>
        <v>#REF!</v>
      </c>
      <c r="G106" s="97"/>
      <c r="H106" s="126" t="e">
        <f>'1. All Data'!#REF!</f>
        <v>#REF!</v>
      </c>
      <c r="I106" s="97"/>
      <c r="J106" s="126" t="e">
        <f>'1. All Data'!#REF!</f>
        <v>#REF!</v>
      </c>
    </row>
    <row r="107" spans="1:10" ht="99.75" customHeight="1">
      <c r="A107" s="95" t="e">
        <f>'1. All Data'!#REF!</f>
        <v>#REF!</v>
      </c>
      <c r="B107" s="127" t="e">
        <f>'1. All Data'!#REF!</f>
        <v>#REF!</v>
      </c>
      <c r="C107" s="128" t="e">
        <f>'1. All Data'!#REF!</f>
        <v>#REF!</v>
      </c>
      <c r="D107" s="124" t="e">
        <f>'1. All Data'!#REF!</f>
        <v>#REF!</v>
      </c>
      <c r="E107" s="97"/>
      <c r="F107" s="125" t="e">
        <f>'1. All Data'!#REF!</f>
        <v>#REF!</v>
      </c>
      <c r="G107" s="97"/>
      <c r="H107" s="126" t="e">
        <f>'1. All Data'!#REF!</f>
        <v>#REF!</v>
      </c>
      <c r="I107" s="97"/>
      <c r="J107" s="126" t="e">
        <f>'1. All Data'!#REF!</f>
        <v>#REF!</v>
      </c>
    </row>
    <row r="108" spans="1:10" ht="99.75" customHeight="1">
      <c r="A108" s="95" t="e">
        <f>'1. All Data'!#REF!</f>
        <v>#REF!</v>
      </c>
      <c r="B108" s="127" t="e">
        <f>'1. All Data'!#REF!</f>
        <v>#REF!</v>
      </c>
      <c r="C108" s="128" t="e">
        <f>'1. All Data'!#REF!</f>
        <v>#REF!</v>
      </c>
      <c r="D108" s="124" t="e">
        <f>'1. All Data'!#REF!</f>
        <v>#REF!</v>
      </c>
      <c r="E108" s="97"/>
      <c r="F108" s="125" t="e">
        <f>'1. All Data'!#REF!</f>
        <v>#REF!</v>
      </c>
      <c r="G108" s="97"/>
      <c r="H108" s="126" t="e">
        <f>'1. All Data'!#REF!</f>
        <v>#REF!</v>
      </c>
      <c r="I108" s="97"/>
      <c r="J108" s="126" t="e">
        <f>'1. All Data'!#REF!</f>
        <v>#REF!</v>
      </c>
    </row>
    <row r="109" spans="1:10" ht="99.75" customHeight="1">
      <c r="A109" s="95" t="e">
        <f>'1. All Data'!#REF!</f>
        <v>#REF!</v>
      </c>
      <c r="B109" s="127" t="e">
        <f>'1. All Data'!#REF!</f>
        <v>#REF!</v>
      </c>
      <c r="C109" s="128" t="e">
        <f>'1. All Data'!#REF!</f>
        <v>#REF!</v>
      </c>
      <c r="D109" s="124" t="e">
        <f>'1. All Data'!#REF!</f>
        <v>#REF!</v>
      </c>
      <c r="E109" s="97"/>
      <c r="F109" s="125" t="e">
        <f>'1. All Data'!#REF!</f>
        <v>#REF!</v>
      </c>
      <c r="G109" s="97"/>
      <c r="H109" s="126" t="e">
        <f>'1. All Data'!#REF!</f>
        <v>#REF!</v>
      </c>
      <c r="I109" s="97"/>
      <c r="J109" s="126" t="e">
        <f>'1. All Data'!#REF!</f>
        <v>#REF!</v>
      </c>
    </row>
    <row r="110" spans="1:10" ht="99.75" customHeight="1">
      <c r="A110" s="95" t="e">
        <f>'1. All Data'!#REF!</f>
        <v>#REF!</v>
      </c>
      <c r="B110" s="127" t="e">
        <f>'1. All Data'!#REF!</f>
        <v>#REF!</v>
      </c>
      <c r="C110" s="128" t="e">
        <f>'1. All Data'!#REF!</f>
        <v>#REF!</v>
      </c>
      <c r="D110" s="124" t="e">
        <f>'1. All Data'!#REF!</f>
        <v>#REF!</v>
      </c>
      <c r="E110" s="96"/>
      <c r="F110" s="125" t="e">
        <f>'1. All Data'!#REF!</f>
        <v>#REF!</v>
      </c>
      <c r="G110" s="97"/>
      <c r="H110" s="126" t="e">
        <f>'1. All Data'!#REF!</f>
        <v>#REF!</v>
      </c>
      <c r="I110" s="104"/>
      <c r="J110" s="126" t="e">
        <f>'1. All Data'!#REF!</f>
        <v>#REF!</v>
      </c>
    </row>
    <row r="111" spans="1:10" s="98" customFormat="1">
      <c r="C111" s="122"/>
    </row>
    <row r="112" spans="1:10" s="98" customFormat="1">
      <c r="C112" s="122"/>
    </row>
    <row r="113" spans="3:3" s="98" customFormat="1">
      <c r="C113" s="122"/>
    </row>
    <row r="114" spans="3:3" s="98" customFormat="1">
      <c r="C114" s="122"/>
    </row>
    <row r="115" spans="3:3" s="98" customFormat="1">
      <c r="C115" s="122"/>
    </row>
    <row r="116" spans="3:3" s="98" customFormat="1">
      <c r="C116" s="122"/>
    </row>
    <row r="117" spans="3:3" s="98" customFormat="1">
      <c r="C117" s="122"/>
    </row>
    <row r="118" spans="3:3" s="98" customFormat="1">
      <c r="C118" s="122"/>
    </row>
    <row r="119" spans="3:3" s="98" customFormat="1">
      <c r="C119" s="122"/>
    </row>
    <row r="120" spans="3:3" s="98" customFormat="1">
      <c r="C120" s="122"/>
    </row>
    <row r="121" spans="3:3" s="98" customFormat="1">
      <c r="C121" s="122"/>
    </row>
    <row r="122" spans="3:3" s="98" customFormat="1">
      <c r="C122" s="122"/>
    </row>
    <row r="123" spans="3:3" s="98" customFormat="1">
      <c r="C123" s="122"/>
    </row>
    <row r="124" spans="3:3" s="98" customFormat="1">
      <c r="C124" s="122"/>
    </row>
    <row r="125" spans="3:3" s="98" customFormat="1">
      <c r="C125" s="122"/>
    </row>
    <row r="126" spans="3:3" s="98" customFormat="1">
      <c r="C126" s="122"/>
    </row>
    <row r="127" spans="3:3" s="98" customFormat="1">
      <c r="C127" s="122"/>
    </row>
    <row r="128" spans="3:3" s="98" customFormat="1">
      <c r="C128" s="122"/>
    </row>
    <row r="129" spans="3:3">
      <c r="C129" s="122"/>
    </row>
  </sheetData>
  <sheetProtection algorithmName="SHA-512" hashValue="L3arEyeHf5a4zH0743XXLpI0ht9EBVHJsTcbfqzSfi+t8XSRwTUfH5SDf9sA/hDEIUmXLfLCZX+h/Ga1164o9w==" saltValue="bqVGGwlDANYn+Etvvzyt3g==" spinCount="100000" sheet="1" objects="1" scenarios="1"/>
  <conditionalFormatting sqref="V82">
    <cfRule type="containsText" dxfId="3934" priority="4241" operator="containsText" text="Numerical Outturn Within 10% Tolerance">
      <formula>NOT(ISERROR(SEARCH("Numerical Outturn Within 10% Tolerance",V82)))</formula>
    </cfRule>
    <cfRule type="containsText" dxfId="3933" priority="4242" operator="containsText" text="Numerical Outturn Within 5% Tolerance">
      <formula>NOT(ISERROR(SEARCH("Numerical Outturn Within 5% Tolerance",V82)))</formula>
    </cfRule>
    <cfRule type="containsText" dxfId="3932" priority="4243" operator="containsText" text="Target Achieved / Exceeded">
      <formula>NOT(ISERROR(SEARCH("Target Achieved / Exceeded",V82)))</formula>
    </cfRule>
    <cfRule type="containsText" dxfId="3931" priority="4244" operator="containsText" text="Full Update Not Yet Available">
      <formula>NOT(ISERROR(SEARCH("Full Update Not Yet Available",V82)))</formula>
    </cfRule>
    <cfRule type="containsText" dxfId="3930" priority="4245" operator="containsText" text="Full Update Not Yet Available">
      <formula>NOT(ISERROR(SEARCH("Full Update Not Yet Available",V82)))</formula>
    </cfRule>
  </conditionalFormatting>
  <conditionalFormatting sqref="M82 R82">
    <cfRule type="containsText" dxfId="3929" priority="4223" operator="containsText" text="Deferred">
      <formula>NOT(ISERROR(SEARCH("Deferred",M82)))</formula>
    </cfRule>
  </conditionalFormatting>
  <conditionalFormatting sqref="G29 G42 G50 G54 G61 G69:G71 G74 G83 G86 G98 I42 I50 I61 I69:I71 I83 D3:D110 F3:F110 H3:H110 J3:J110">
    <cfRule type="containsText" dxfId="3928" priority="4218" operator="containsText" text="On track to be achieved">
      <formula>NOT(ISERROR(SEARCH("On track to be achieved",D3)))</formula>
    </cfRule>
    <cfRule type="containsText" dxfId="3927" priority="4219" operator="containsText" text="Deferred">
      <formula>NOT(ISERROR(SEARCH("Deferred",D3)))</formula>
    </cfRule>
    <cfRule type="containsText" dxfId="3926" priority="4220" operator="containsText" text="Deleted">
      <formula>NOT(ISERROR(SEARCH("Deleted",D3)))</formula>
    </cfRule>
    <cfRule type="containsText" dxfId="3925" priority="4221" operator="containsText" text="In Danger of Falling Behind Target">
      <formula>NOT(ISERROR(SEARCH("In Danger of Falling Behind Target",D3)))</formula>
    </cfRule>
    <cfRule type="containsText" dxfId="3924" priority="4222" operator="containsText" text="Not yet due">
      <formula>NOT(ISERROR(SEARCH("Not yet due",D3)))</formula>
    </cfRule>
    <cfRule type="containsText" dxfId="3923" priority="4224" operator="containsText" text="Update not Provided">
      <formula>NOT(ISERROR(SEARCH("Update not Provided",D3)))</formula>
    </cfRule>
    <cfRule type="containsText" dxfId="3922" priority="4225" operator="containsText" text="Not yet due">
      <formula>NOT(ISERROR(SEARCH("Not yet due",D3)))</formula>
    </cfRule>
    <cfRule type="containsText" dxfId="3921" priority="4226" operator="containsText" text="Completed Behind Schedule">
      <formula>NOT(ISERROR(SEARCH("Completed Behind Schedule",D3)))</formula>
    </cfRule>
    <cfRule type="containsText" dxfId="3920" priority="4227" operator="containsText" text="Off Target">
      <formula>NOT(ISERROR(SEARCH("Off Target",D3)))</formula>
    </cfRule>
    <cfRule type="containsText" dxfId="3919" priority="4228" operator="containsText" text="On Track to be Achieved">
      <formula>NOT(ISERROR(SEARCH("On Track to be Achieved",D3)))</formula>
    </cfRule>
    <cfRule type="containsText" dxfId="3918" priority="4229" operator="containsText" text="Fully Achieved">
      <formula>NOT(ISERROR(SEARCH("Fully Achieved",D3)))</formula>
    </cfRule>
    <cfRule type="containsText" dxfId="3917" priority="4230" operator="containsText" text="Not yet due">
      <formula>NOT(ISERROR(SEARCH("Not yet due",D3)))</formula>
    </cfRule>
    <cfRule type="containsText" dxfId="3916" priority="4231" operator="containsText" text="Not Yet Due">
      <formula>NOT(ISERROR(SEARCH("Not Yet Due",D3)))</formula>
    </cfRule>
    <cfRule type="containsText" dxfId="3915" priority="4232" operator="containsText" text="Deferred">
      <formula>NOT(ISERROR(SEARCH("Deferred",D3)))</formula>
    </cfRule>
    <cfRule type="containsText" dxfId="3914" priority="4233" operator="containsText" text="Deleted">
      <formula>NOT(ISERROR(SEARCH("Deleted",D3)))</formula>
    </cfRule>
    <cfRule type="containsText" dxfId="3913" priority="4234" operator="containsText" text="In Danger of Falling Behind Target">
      <formula>NOT(ISERROR(SEARCH("In Danger of Falling Behind Target",D3)))</formula>
    </cfRule>
    <cfRule type="containsText" dxfId="3912" priority="4235" operator="containsText" text="Not yet due">
      <formula>NOT(ISERROR(SEARCH("Not yet due",D3)))</formula>
    </cfRule>
    <cfRule type="containsText" dxfId="3911" priority="4236" operator="containsText" text="Completed Behind Schedule">
      <formula>NOT(ISERROR(SEARCH("Completed Behind Schedule",D3)))</formula>
    </cfRule>
    <cfRule type="containsText" dxfId="3910" priority="4237" operator="containsText" text="Off Target">
      <formula>NOT(ISERROR(SEARCH("Off Target",D3)))</formula>
    </cfRule>
    <cfRule type="containsText" dxfId="3909" priority="4238" operator="containsText" text="In Danger of Falling Behind Target">
      <formula>NOT(ISERROR(SEARCH("In Danger of Falling Behind Target",D3)))</formula>
    </cfRule>
    <cfRule type="containsText" dxfId="3908" priority="4239" operator="containsText" text="On Track to be Achieved">
      <formula>NOT(ISERROR(SEARCH("On Track to be Achieved",D3)))</formula>
    </cfRule>
    <cfRule type="containsText" dxfId="3907" priority="4240" operator="containsText" text="Fully Achieved">
      <formula>NOT(ISERROR(SEARCH("Fully Achieved",D3)))</formula>
    </cfRule>
    <cfRule type="containsText" dxfId="3906" priority="4246" operator="containsText" text="Update not Provided">
      <formula>NOT(ISERROR(SEARCH("Update not Provided",D3)))</formula>
    </cfRule>
    <cfRule type="containsText" dxfId="3905" priority="4247" operator="containsText" text="Not yet due">
      <formula>NOT(ISERROR(SEARCH("Not yet due",D3)))</formula>
    </cfRule>
    <cfRule type="containsText" dxfId="3904" priority="4248" operator="containsText" text="Completed Behind Schedule">
      <formula>NOT(ISERROR(SEARCH("Completed Behind Schedule",D3)))</formula>
    </cfRule>
    <cfRule type="containsText" dxfId="3903" priority="4249" operator="containsText" text="Off Target">
      <formula>NOT(ISERROR(SEARCH("Off Target",D3)))</formula>
    </cfRule>
    <cfRule type="containsText" dxfId="3902" priority="4250" operator="containsText" text="In Danger of Falling Behind Target">
      <formula>NOT(ISERROR(SEARCH("In Danger of Falling Behind Target",D3)))</formula>
    </cfRule>
    <cfRule type="containsText" dxfId="3901" priority="4251" operator="containsText" text="On Track to be Achieved">
      <formula>NOT(ISERROR(SEARCH("On Track to be Achieved",D3)))</formula>
    </cfRule>
    <cfRule type="containsText" dxfId="3900" priority="4252" operator="containsText" text="Fully Achieved">
      <formula>NOT(ISERROR(SEARCH("Fully Achieved",D3)))</formula>
    </cfRule>
    <cfRule type="containsText" dxfId="3899" priority="4253" operator="containsText" text="Fully Achieved">
      <formula>NOT(ISERROR(SEARCH("Fully Achieved",D3)))</formula>
    </cfRule>
    <cfRule type="containsText" dxfId="3898" priority="4254" operator="containsText" text="Fully Achieved">
      <formula>NOT(ISERROR(SEARCH("Fully Achieved",D3)))</formula>
    </cfRule>
    <cfRule type="containsText" dxfId="3897" priority="4255" operator="containsText" text="Deferred">
      <formula>NOT(ISERROR(SEARCH("Deferred",D3)))</formula>
    </cfRule>
    <cfRule type="containsText" dxfId="3896" priority="4256" operator="containsText" text="Deleted">
      <formula>NOT(ISERROR(SEARCH("Deleted",D3)))</formula>
    </cfRule>
    <cfRule type="containsText" dxfId="3895" priority="4257" operator="containsText" text="In Danger of Falling Behind Target">
      <formula>NOT(ISERROR(SEARCH("In Danger of Falling Behind Target",D3)))</formula>
    </cfRule>
    <cfRule type="containsText" dxfId="3894" priority="4258" operator="containsText" text="Not yet due">
      <formula>NOT(ISERROR(SEARCH("Not yet due",D3)))</formula>
    </cfRule>
    <cfRule type="containsText" dxfId="3893" priority="4259" operator="containsText" text="Update not Provided">
      <formula>NOT(ISERROR(SEARCH("Update not Provided",D3)))</formula>
    </cfRule>
  </conditionalFormatting>
  <conditionalFormatting sqref="Y4:Y5">
    <cfRule type="containsText" dxfId="3892" priority="4182" operator="containsText" text="On track to be achieved">
      <formula>NOT(ISERROR(SEARCH("On track to be achieved",Y4)))</formula>
    </cfRule>
    <cfRule type="containsText" dxfId="3891" priority="4183" operator="containsText" text="Deferred">
      <formula>NOT(ISERROR(SEARCH("Deferred",Y4)))</formula>
    </cfRule>
    <cfRule type="containsText" dxfId="3890" priority="4184" operator="containsText" text="Deleted">
      <formula>NOT(ISERROR(SEARCH("Deleted",Y4)))</formula>
    </cfRule>
    <cfRule type="containsText" dxfId="3889" priority="4185" operator="containsText" text="In Danger of Falling Behind Target">
      <formula>NOT(ISERROR(SEARCH("In Danger of Falling Behind Target",Y4)))</formula>
    </cfRule>
    <cfRule type="containsText" dxfId="3888" priority="4186" operator="containsText" text="Not yet due">
      <formula>NOT(ISERROR(SEARCH("Not yet due",Y4)))</formula>
    </cfRule>
    <cfRule type="containsText" dxfId="3887" priority="4187" operator="containsText" text="Update not Provided">
      <formula>NOT(ISERROR(SEARCH("Update not Provided",Y4)))</formula>
    </cfRule>
    <cfRule type="containsText" dxfId="3886" priority="4188" operator="containsText" text="Not yet due">
      <formula>NOT(ISERROR(SEARCH("Not yet due",Y4)))</formula>
    </cfRule>
    <cfRule type="containsText" dxfId="3885" priority="4189" operator="containsText" text="Completed Behind Schedule">
      <formula>NOT(ISERROR(SEARCH("Completed Behind Schedule",Y4)))</formula>
    </cfRule>
    <cfRule type="containsText" dxfId="3884" priority="4190" operator="containsText" text="Off Target">
      <formula>NOT(ISERROR(SEARCH("Off Target",Y4)))</formula>
    </cfRule>
    <cfRule type="containsText" dxfId="3883" priority="4191" operator="containsText" text="On Track to be Achieved">
      <formula>NOT(ISERROR(SEARCH("On Track to be Achieved",Y4)))</formula>
    </cfRule>
    <cfRule type="containsText" dxfId="3882" priority="4192" operator="containsText" text="Fully Achieved">
      <formula>NOT(ISERROR(SEARCH("Fully Achieved",Y4)))</formula>
    </cfRule>
    <cfRule type="containsText" dxfId="3881" priority="4193" operator="containsText" text="Not yet due">
      <formula>NOT(ISERROR(SEARCH("Not yet due",Y4)))</formula>
    </cfRule>
    <cfRule type="containsText" dxfId="3880" priority="4194" operator="containsText" text="Not Yet Due">
      <formula>NOT(ISERROR(SEARCH("Not Yet Due",Y4)))</formula>
    </cfRule>
    <cfRule type="containsText" dxfId="3879" priority="4195" operator="containsText" text="Deferred">
      <formula>NOT(ISERROR(SEARCH("Deferred",Y4)))</formula>
    </cfRule>
    <cfRule type="containsText" dxfId="3878" priority="4196" operator="containsText" text="Deleted">
      <formula>NOT(ISERROR(SEARCH("Deleted",Y4)))</formula>
    </cfRule>
    <cfRule type="containsText" dxfId="3877" priority="4197" operator="containsText" text="In Danger of Falling Behind Target">
      <formula>NOT(ISERROR(SEARCH("In Danger of Falling Behind Target",Y4)))</formula>
    </cfRule>
    <cfRule type="containsText" dxfId="3876" priority="4198" operator="containsText" text="Not yet due">
      <formula>NOT(ISERROR(SEARCH("Not yet due",Y4)))</formula>
    </cfRule>
    <cfRule type="containsText" dxfId="3875" priority="4199" operator="containsText" text="Completed Behind Schedule">
      <formula>NOT(ISERROR(SEARCH("Completed Behind Schedule",Y4)))</formula>
    </cfRule>
    <cfRule type="containsText" dxfId="3874" priority="4200" operator="containsText" text="Off Target">
      <formula>NOT(ISERROR(SEARCH("Off Target",Y4)))</formula>
    </cfRule>
    <cfRule type="containsText" dxfId="3873" priority="4201" operator="containsText" text="In Danger of Falling Behind Target">
      <formula>NOT(ISERROR(SEARCH("In Danger of Falling Behind Target",Y4)))</formula>
    </cfRule>
    <cfRule type="containsText" dxfId="3872" priority="4202" operator="containsText" text="On Track to be Achieved">
      <formula>NOT(ISERROR(SEARCH("On Track to be Achieved",Y4)))</formula>
    </cfRule>
    <cfRule type="containsText" dxfId="3871" priority="4203" operator="containsText" text="Fully Achieved">
      <formula>NOT(ISERROR(SEARCH("Fully Achieved",Y4)))</formula>
    </cfRule>
    <cfRule type="containsText" dxfId="3870" priority="4204" operator="containsText" text="Update not Provided">
      <formula>NOT(ISERROR(SEARCH("Update not Provided",Y4)))</formula>
    </cfRule>
    <cfRule type="containsText" dxfId="3869" priority="4205" operator="containsText" text="Not yet due">
      <formula>NOT(ISERROR(SEARCH("Not yet due",Y4)))</formula>
    </cfRule>
    <cfRule type="containsText" dxfId="3868" priority="4206" operator="containsText" text="Completed Behind Schedule">
      <formula>NOT(ISERROR(SEARCH("Completed Behind Schedule",Y4)))</formula>
    </cfRule>
    <cfRule type="containsText" dxfId="3867" priority="4207" operator="containsText" text="Off Target">
      <formula>NOT(ISERROR(SEARCH("Off Target",Y4)))</formula>
    </cfRule>
    <cfRule type="containsText" dxfId="3866" priority="4208" operator="containsText" text="In Danger of Falling Behind Target">
      <formula>NOT(ISERROR(SEARCH("In Danger of Falling Behind Target",Y4)))</formula>
    </cfRule>
    <cfRule type="containsText" dxfId="3865" priority="4209" operator="containsText" text="On Track to be Achieved">
      <formula>NOT(ISERROR(SEARCH("On Track to be Achieved",Y4)))</formula>
    </cfRule>
    <cfRule type="containsText" dxfId="3864" priority="4210" operator="containsText" text="Fully Achieved">
      <formula>NOT(ISERROR(SEARCH("Fully Achieved",Y4)))</formula>
    </cfRule>
    <cfRule type="containsText" dxfId="3863" priority="4211" operator="containsText" text="Fully Achieved">
      <formula>NOT(ISERROR(SEARCH("Fully Achieved",Y4)))</formula>
    </cfRule>
    <cfRule type="containsText" dxfId="3862" priority="4212" operator="containsText" text="Fully Achieved">
      <formula>NOT(ISERROR(SEARCH("Fully Achieved",Y4)))</formula>
    </cfRule>
    <cfRule type="containsText" dxfId="3861" priority="4213" operator="containsText" text="Deferred">
      <formula>NOT(ISERROR(SEARCH("Deferred",Y4)))</formula>
    </cfRule>
    <cfRule type="containsText" dxfId="3860" priority="4214" operator="containsText" text="Deleted">
      <formula>NOT(ISERROR(SEARCH("Deleted",Y4)))</formula>
    </cfRule>
    <cfRule type="containsText" dxfId="3859" priority="4215" operator="containsText" text="In Danger of Falling Behind Target">
      <formula>NOT(ISERROR(SEARCH("In Danger of Falling Behind Target",Y4)))</formula>
    </cfRule>
    <cfRule type="containsText" dxfId="3858" priority="4216" operator="containsText" text="Not yet due">
      <formula>NOT(ISERROR(SEARCH("Not yet due",Y4)))</formula>
    </cfRule>
    <cfRule type="containsText" dxfId="3857" priority="4217" operator="containsText" text="Update not Provided">
      <formula>NOT(ISERROR(SEARCH("Update not Provided",Y4)))</formula>
    </cfRule>
  </conditionalFormatting>
  <conditionalFormatting sqref="G42">
    <cfRule type="containsText" dxfId="3856" priority="4146" operator="containsText" text="On track to be achieved">
      <formula>NOT(ISERROR(SEARCH("On track to be achieved",G42)))</formula>
    </cfRule>
    <cfRule type="containsText" dxfId="3855" priority="4147" operator="containsText" text="Deferred">
      <formula>NOT(ISERROR(SEARCH("Deferred",G42)))</formula>
    </cfRule>
    <cfRule type="containsText" dxfId="3854" priority="4148" operator="containsText" text="Deleted">
      <formula>NOT(ISERROR(SEARCH("Deleted",G42)))</formula>
    </cfRule>
    <cfRule type="containsText" dxfId="3853" priority="4149" operator="containsText" text="In Danger of Falling Behind Target">
      <formula>NOT(ISERROR(SEARCH("In Danger of Falling Behind Target",G42)))</formula>
    </cfRule>
    <cfRule type="containsText" dxfId="3852" priority="4150" operator="containsText" text="Not yet due">
      <formula>NOT(ISERROR(SEARCH("Not yet due",G42)))</formula>
    </cfRule>
    <cfRule type="containsText" dxfId="3851" priority="4151" operator="containsText" text="Update not Provided">
      <formula>NOT(ISERROR(SEARCH("Update not Provided",G42)))</formula>
    </cfRule>
    <cfRule type="containsText" dxfId="3850" priority="4152" operator="containsText" text="Not yet due">
      <formula>NOT(ISERROR(SEARCH("Not yet due",G42)))</formula>
    </cfRule>
    <cfRule type="containsText" dxfId="3849" priority="4153" operator="containsText" text="Completed Behind Schedule">
      <formula>NOT(ISERROR(SEARCH("Completed Behind Schedule",G42)))</formula>
    </cfRule>
    <cfRule type="containsText" dxfId="3848" priority="4154" operator="containsText" text="Off Target">
      <formula>NOT(ISERROR(SEARCH("Off Target",G42)))</formula>
    </cfRule>
    <cfRule type="containsText" dxfId="3847" priority="4155" operator="containsText" text="On Track to be Achieved">
      <formula>NOT(ISERROR(SEARCH("On Track to be Achieved",G42)))</formula>
    </cfRule>
    <cfRule type="containsText" dxfId="3846" priority="4156" operator="containsText" text="Fully Achieved">
      <formula>NOT(ISERROR(SEARCH("Fully Achieved",G42)))</formula>
    </cfRule>
    <cfRule type="containsText" dxfId="3845" priority="4157" operator="containsText" text="Not yet due">
      <formula>NOT(ISERROR(SEARCH("Not yet due",G42)))</formula>
    </cfRule>
    <cfRule type="containsText" dxfId="3844" priority="4158" operator="containsText" text="Not Yet Due">
      <formula>NOT(ISERROR(SEARCH("Not Yet Due",G42)))</formula>
    </cfRule>
    <cfRule type="containsText" dxfId="3843" priority="4159" operator="containsText" text="Deferred">
      <formula>NOT(ISERROR(SEARCH("Deferred",G42)))</formula>
    </cfRule>
    <cfRule type="containsText" dxfId="3842" priority="4160" operator="containsText" text="Deleted">
      <formula>NOT(ISERROR(SEARCH("Deleted",G42)))</formula>
    </cfRule>
    <cfRule type="containsText" dxfId="3841" priority="4161" operator="containsText" text="In Danger of Falling Behind Target">
      <formula>NOT(ISERROR(SEARCH("In Danger of Falling Behind Target",G42)))</formula>
    </cfRule>
    <cfRule type="containsText" dxfId="3840" priority="4162" operator="containsText" text="Not yet due">
      <formula>NOT(ISERROR(SEARCH("Not yet due",G42)))</formula>
    </cfRule>
    <cfRule type="containsText" dxfId="3839" priority="4163" operator="containsText" text="Completed Behind Schedule">
      <formula>NOT(ISERROR(SEARCH("Completed Behind Schedule",G42)))</formula>
    </cfRule>
    <cfRule type="containsText" dxfId="3838" priority="4164" operator="containsText" text="Off Target">
      <formula>NOT(ISERROR(SEARCH("Off Target",G42)))</formula>
    </cfRule>
    <cfRule type="containsText" dxfId="3837" priority="4165" operator="containsText" text="In Danger of Falling Behind Target">
      <formula>NOT(ISERROR(SEARCH("In Danger of Falling Behind Target",G42)))</formula>
    </cfRule>
    <cfRule type="containsText" dxfId="3836" priority="4166" operator="containsText" text="On Track to be Achieved">
      <formula>NOT(ISERROR(SEARCH("On Track to be Achieved",G42)))</formula>
    </cfRule>
    <cfRule type="containsText" dxfId="3835" priority="4167" operator="containsText" text="Fully Achieved">
      <formula>NOT(ISERROR(SEARCH("Fully Achieved",G42)))</formula>
    </cfRule>
    <cfRule type="containsText" dxfId="3834" priority="4168" operator="containsText" text="Update not Provided">
      <formula>NOT(ISERROR(SEARCH("Update not Provided",G42)))</formula>
    </cfRule>
    <cfRule type="containsText" dxfId="3833" priority="4169" operator="containsText" text="Not yet due">
      <formula>NOT(ISERROR(SEARCH("Not yet due",G42)))</formula>
    </cfRule>
    <cfRule type="containsText" dxfId="3832" priority="4170" operator="containsText" text="Completed Behind Schedule">
      <formula>NOT(ISERROR(SEARCH("Completed Behind Schedule",G42)))</formula>
    </cfRule>
    <cfRule type="containsText" dxfId="3831" priority="4171" operator="containsText" text="Off Target">
      <formula>NOT(ISERROR(SEARCH("Off Target",G42)))</formula>
    </cfRule>
    <cfRule type="containsText" dxfId="3830" priority="4172" operator="containsText" text="In Danger of Falling Behind Target">
      <formula>NOT(ISERROR(SEARCH("In Danger of Falling Behind Target",G42)))</formula>
    </cfRule>
    <cfRule type="containsText" dxfId="3829" priority="4173" operator="containsText" text="On Track to be Achieved">
      <formula>NOT(ISERROR(SEARCH("On Track to be Achieved",G42)))</formula>
    </cfRule>
    <cfRule type="containsText" dxfId="3828" priority="4174" operator="containsText" text="Fully Achieved">
      <formula>NOT(ISERROR(SEARCH("Fully Achieved",G42)))</formula>
    </cfRule>
    <cfRule type="containsText" dxfId="3827" priority="4175" operator="containsText" text="Fully Achieved">
      <formula>NOT(ISERROR(SEARCH("Fully Achieved",G42)))</formula>
    </cfRule>
    <cfRule type="containsText" dxfId="3826" priority="4176" operator="containsText" text="Fully Achieved">
      <formula>NOT(ISERROR(SEARCH("Fully Achieved",G42)))</formula>
    </cfRule>
    <cfRule type="containsText" dxfId="3825" priority="4177" operator="containsText" text="Deferred">
      <formula>NOT(ISERROR(SEARCH("Deferred",G42)))</formula>
    </cfRule>
    <cfRule type="containsText" dxfId="3824" priority="4178" operator="containsText" text="Deleted">
      <formula>NOT(ISERROR(SEARCH("Deleted",G42)))</formula>
    </cfRule>
    <cfRule type="containsText" dxfId="3823" priority="4179" operator="containsText" text="In Danger of Falling Behind Target">
      <formula>NOT(ISERROR(SEARCH("In Danger of Falling Behind Target",G42)))</formula>
    </cfRule>
    <cfRule type="containsText" dxfId="3822" priority="4180" operator="containsText" text="Not yet due">
      <formula>NOT(ISERROR(SEARCH("Not yet due",G42)))</formula>
    </cfRule>
    <cfRule type="containsText" dxfId="3821" priority="4181" operator="containsText" text="Update not Provided">
      <formula>NOT(ISERROR(SEARCH("Update not Provided",G42)))</formula>
    </cfRule>
  </conditionalFormatting>
  <conditionalFormatting sqref="G50 G54">
    <cfRule type="containsText" dxfId="3820" priority="4110" operator="containsText" text="On track to be achieved">
      <formula>NOT(ISERROR(SEARCH("On track to be achieved",G50)))</formula>
    </cfRule>
    <cfRule type="containsText" dxfId="3819" priority="4111" operator="containsText" text="Deferred">
      <formula>NOT(ISERROR(SEARCH("Deferred",G50)))</formula>
    </cfRule>
    <cfRule type="containsText" dxfId="3818" priority="4112" operator="containsText" text="Deleted">
      <formula>NOT(ISERROR(SEARCH("Deleted",G50)))</formula>
    </cfRule>
    <cfRule type="containsText" dxfId="3817" priority="4113" operator="containsText" text="In Danger of Falling Behind Target">
      <formula>NOT(ISERROR(SEARCH("In Danger of Falling Behind Target",G50)))</formula>
    </cfRule>
    <cfRule type="containsText" dxfId="3816" priority="4114" operator="containsText" text="Not yet due">
      <formula>NOT(ISERROR(SEARCH("Not yet due",G50)))</formula>
    </cfRule>
    <cfRule type="containsText" dxfId="3815" priority="4115" operator="containsText" text="Update not Provided">
      <formula>NOT(ISERROR(SEARCH("Update not Provided",G50)))</formula>
    </cfRule>
    <cfRule type="containsText" dxfId="3814" priority="4116" operator="containsText" text="Not yet due">
      <formula>NOT(ISERROR(SEARCH("Not yet due",G50)))</formula>
    </cfRule>
    <cfRule type="containsText" dxfId="3813" priority="4117" operator="containsText" text="Completed Behind Schedule">
      <formula>NOT(ISERROR(SEARCH("Completed Behind Schedule",G50)))</formula>
    </cfRule>
    <cfRule type="containsText" dxfId="3812" priority="4118" operator="containsText" text="Off Target">
      <formula>NOT(ISERROR(SEARCH("Off Target",G50)))</formula>
    </cfRule>
    <cfRule type="containsText" dxfId="3811" priority="4119" operator="containsText" text="On Track to be Achieved">
      <formula>NOT(ISERROR(SEARCH("On Track to be Achieved",G50)))</formula>
    </cfRule>
    <cfRule type="containsText" dxfId="3810" priority="4120" operator="containsText" text="Fully Achieved">
      <formula>NOT(ISERROR(SEARCH("Fully Achieved",G50)))</formula>
    </cfRule>
    <cfRule type="containsText" dxfId="3809" priority="4121" operator="containsText" text="Not yet due">
      <formula>NOT(ISERROR(SEARCH("Not yet due",G50)))</formula>
    </cfRule>
    <cfRule type="containsText" dxfId="3808" priority="4122" operator="containsText" text="Not Yet Due">
      <formula>NOT(ISERROR(SEARCH("Not Yet Due",G50)))</formula>
    </cfRule>
    <cfRule type="containsText" dxfId="3807" priority="4123" operator="containsText" text="Deferred">
      <formula>NOT(ISERROR(SEARCH("Deferred",G50)))</formula>
    </cfRule>
    <cfRule type="containsText" dxfId="3806" priority="4124" operator="containsText" text="Deleted">
      <formula>NOT(ISERROR(SEARCH("Deleted",G50)))</formula>
    </cfRule>
    <cfRule type="containsText" dxfId="3805" priority="4125" operator="containsText" text="In Danger of Falling Behind Target">
      <formula>NOT(ISERROR(SEARCH("In Danger of Falling Behind Target",G50)))</formula>
    </cfRule>
    <cfRule type="containsText" dxfId="3804" priority="4126" operator="containsText" text="Not yet due">
      <formula>NOT(ISERROR(SEARCH("Not yet due",G50)))</formula>
    </cfRule>
    <cfRule type="containsText" dxfId="3803" priority="4127" operator="containsText" text="Completed Behind Schedule">
      <formula>NOT(ISERROR(SEARCH("Completed Behind Schedule",G50)))</formula>
    </cfRule>
    <cfRule type="containsText" dxfId="3802" priority="4128" operator="containsText" text="Off Target">
      <formula>NOT(ISERROR(SEARCH("Off Target",G50)))</formula>
    </cfRule>
    <cfRule type="containsText" dxfId="3801" priority="4129" operator="containsText" text="In Danger of Falling Behind Target">
      <formula>NOT(ISERROR(SEARCH("In Danger of Falling Behind Target",G50)))</formula>
    </cfRule>
    <cfRule type="containsText" dxfId="3800" priority="4130" operator="containsText" text="On Track to be Achieved">
      <formula>NOT(ISERROR(SEARCH("On Track to be Achieved",G50)))</formula>
    </cfRule>
    <cfRule type="containsText" dxfId="3799" priority="4131" operator="containsText" text="Fully Achieved">
      <formula>NOT(ISERROR(SEARCH("Fully Achieved",G50)))</formula>
    </cfRule>
    <cfRule type="containsText" dxfId="3798" priority="4132" operator="containsText" text="Update not Provided">
      <formula>NOT(ISERROR(SEARCH("Update not Provided",G50)))</formula>
    </cfRule>
    <cfRule type="containsText" dxfId="3797" priority="4133" operator="containsText" text="Not yet due">
      <formula>NOT(ISERROR(SEARCH("Not yet due",G50)))</formula>
    </cfRule>
    <cfRule type="containsText" dxfId="3796" priority="4134" operator="containsText" text="Completed Behind Schedule">
      <formula>NOT(ISERROR(SEARCH("Completed Behind Schedule",G50)))</formula>
    </cfRule>
    <cfRule type="containsText" dxfId="3795" priority="4135" operator="containsText" text="Off Target">
      <formula>NOT(ISERROR(SEARCH("Off Target",G50)))</formula>
    </cfRule>
    <cfRule type="containsText" dxfId="3794" priority="4136" operator="containsText" text="In Danger of Falling Behind Target">
      <formula>NOT(ISERROR(SEARCH("In Danger of Falling Behind Target",G50)))</formula>
    </cfRule>
    <cfRule type="containsText" dxfId="3793" priority="4137" operator="containsText" text="On Track to be Achieved">
      <formula>NOT(ISERROR(SEARCH("On Track to be Achieved",G50)))</formula>
    </cfRule>
    <cfRule type="containsText" dxfId="3792" priority="4138" operator="containsText" text="Fully Achieved">
      <formula>NOT(ISERROR(SEARCH("Fully Achieved",G50)))</formula>
    </cfRule>
    <cfRule type="containsText" dxfId="3791" priority="4139" operator="containsText" text="Fully Achieved">
      <formula>NOT(ISERROR(SEARCH("Fully Achieved",G50)))</formula>
    </cfRule>
    <cfRule type="containsText" dxfId="3790" priority="4140" operator="containsText" text="Fully Achieved">
      <formula>NOT(ISERROR(SEARCH("Fully Achieved",G50)))</formula>
    </cfRule>
    <cfRule type="containsText" dxfId="3789" priority="4141" operator="containsText" text="Deferred">
      <formula>NOT(ISERROR(SEARCH("Deferred",G50)))</formula>
    </cfRule>
    <cfRule type="containsText" dxfId="3788" priority="4142" operator="containsText" text="Deleted">
      <formula>NOT(ISERROR(SEARCH("Deleted",G50)))</formula>
    </cfRule>
    <cfRule type="containsText" dxfId="3787" priority="4143" operator="containsText" text="In Danger of Falling Behind Target">
      <formula>NOT(ISERROR(SEARCH("In Danger of Falling Behind Target",G50)))</formula>
    </cfRule>
    <cfRule type="containsText" dxfId="3786" priority="4144" operator="containsText" text="Not yet due">
      <formula>NOT(ISERROR(SEARCH("Not yet due",G50)))</formula>
    </cfRule>
    <cfRule type="containsText" dxfId="3785" priority="4145" operator="containsText" text="Update not Provided">
      <formula>NOT(ISERROR(SEARCH("Update not Provided",G50)))</formula>
    </cfRule>
  </conditionalFormatting>
  <conditionalFormatting sqref="G61">
    <cfRule type="containsText" dxfId="3784" priority="4074" operator="containsText" text="On track to be achieved">
      <formula>NOT(ISERROR(SEARCH("On track to be achieved",G61)))</formula>
    </cfRule>
    <cfRule type="containsText" dxfId="3783" priority="4075" operator="containsText" text="Deferred">
      <formula>NOT(ISERROR(SEARCH("Deferred",G61)))</formula>
    </cfRule>
    <cfRule type="containsText" dxfId="3782" priority="4076" operator="containsText" text="Deleted">
      <formula>NOT(ISERROR(SEARCH("Deleted",G61)))</formula>
    </cfRule>
    <cfRule type="containsText" dxfId="3781" priority="4077" operator="containsText" text="In Danger of Falling Behind Target">
      <formula>NOT(ISERROR(SEARCH("In Danger of Falling Behind Target",G61)))</formula>
    </cfRule>
    <cfRule type="containsText" dxfId="3780" priority="4078" operator="containsText" text="Not yet due">
      <formula>NOT(ISERROR(SEARCH("Not yet due",G61)))</formula>
    </cfRule>
    <cfRule type="containsText" dxfId="3779" priority="4079" operator="containsText" text="Update not Provided">
      <formula>NOT(ISERROR(SEARCH("Update not Provided",G61)))</formula>
    </cfRule>
    <cfRule type="containsText" dxfId="3778" priority="4080" operator="containsText" text="Not yet due">
      <formula>NOT(ISERROR(SEARCH("Not yet due",G61)))</formula>
    </cfRule>
    <cfRule type="containsText" dxfId="3777" priority="4081" operator="containsText" text="Completed Behind Schedule">
      <formula>NOT(ISERROR(SEARCH("Completed Behind Schedule",G61)))</formula>
    </cfRule>
    <cfRule type="containsText" dxfId="3776" priority="4082" operator="containsText" text="Off Target">
      <formula>NOT(ISERROR(SEARCH("Off Target",G61)))</formula>
    </cfRule>
    <cfRule type="containsText" dxfId="3775" priority="4083" operator="containsText" text="On Track to be Achieved">
      <formula>NOT(ISERROR(SEARCH("On Track to be Achieved",G61)))</formula>
    </cfRule>
    <cfRule type="containsText" dxfId="3774" priority="4084" operator="containsText" text="Fully Achieved">
      <formula>NOT(ISERROR(SEARCH("Fully Achieved",G61)))</formula>
    </cfRule>
    <cfRule type="containsText" dxfId="3773" priority="4085" operator="containsText" text="Not yet due">
      <formula>NOT(ISERROR(SEARCH("Not yet due",G61)))</formula>
    </cfRule>
    <cfRule type="containsText" dxfId="3772" priority="4086" operator="containsText" text="Not Yet Due">
      <formula>NOT(ISERROR(SEARCH("Not Yet Due",G61)))</formula>
    </cfRule>
    <cfRule type="containsText" dxfId="3771" priority="4087" operator="containsText" text="Deferred">
      <formula>NOT(ISERROR(SEARCH("Deferred",G61)))</formula>
    </cfRule>
    <cfRule type="containsText" dxfId="3770" priority="4088" operator="containsText" text="Deleted">
      <formula>NOT(ISERROR(SEARCH("Deleted",G61)))</formula>
    </cfRule>
    <cfRule type="containsText" dxfId="3769" priority="4089" operator="containsText" text="In Danger of Falling Behind Target">
      <formula>NOT(ISERROR(SEARCH("In Danger of Falling Behind Target",G61)))</formula>
    </cfRule>
    <cfRule type="containsText" dxfId="3768" priority="4090" operator="containsText" text="Not yet due">
      <formula>NOT(ISERROR(SEARCH("Not yet due",G61)))</formula>
    </cfRule>
    <cfRule type="containsText" dxfId="3767" priority="4091" operator="containsText" text="Completed Behind Schedule">
      <formula>NOT(ISERROR(SEARCH("Completed Behind Schedule",G61)))</formula>
    </cfRule>
    <cfRule type="containsText" dxfId="3766" priority="4092" operator="containsText" text="Off Target">
      <formula>NOT(ISERROR(SEARCH("Off Target",G61)))</formula>
    </cfRule>
    <cfRule type="containsText" dxfId="3765" priority="4093" operator="containsText" text="In Danger of Falling Behind Target">
      <formula>NOT(ISERROR(SEARCH("In Danger of Falling Behind Target",G61)))</formula>
    </cfRule>
    <cfRule type="containsText" dxfId="3764" priority="4094" operator="containsText" text="On Track to be Achieved">
      <formula>NOT(ISERROR(SEARCH("On Track to be Achieved",G61)))</formula>
    </cfRule>
    <cfRule type="containsText" dxfId="3763" priority="4095" operator="containsText" text="Fully Achieved">
      <formula>NOT(ISERROR(SEARCH("Fully Achieved",G61)))</formula>
    </cfRule>
    <cfRule type="containsText" dxfId="3762" priority="4096" operator="containsText" text="Update not Provided">
      <formula>NOT(ISERROR(SEARCH("Update not Provided",G61)))</formula>
    </cfRule>
    <cfRule type="containsText" dxfId="3761" priority="4097" operator="containsText" text="Not yet due">
      <formula>NOT(ISERROR(SEARCH("Not yet due",G61)))</formula>
    </cfRule>
    <cfRule type="containsText" dxfId="3760" priority="4098" operator="containsText" text="Completed Behind Schedule">
      <formula>NOT(ISERROR(SEARCH("Completed Behind Schedule",G61)))</formula>
    </cfRule>
    <cfRule type="containsText" dxfId="3759" priority="4099" operator="containsText" text="Off Target">
      <formula>NOT(ISERROR(SEARCH("Off Target",G61)))</formula>
    </cfRule>
    <cfRule type="containsText" dxfId="3758" priority="4100" operator="containsText" text="In Danger of Falling Behind Target">
      <formula>NOT(ISERROR(SEARCH("In Danger of Falling Behind Target",G61)))</formula>
    </cfRule>
    <cfRule type="containsText" dxfId="3757" priority="4101" operator="containsText" text="On Track to be Achieved">
      <formula>NOT(ISERROR(SEARCH("On Track to be Achieved",G61)))</formula>
    </cfRule>
    <cfRule type="containsText" dxfId="3756" priority="4102" operator="containsText" text="Fully Achieved">
      <formula>NOT(ISERROR(SEARCH("Fully Achieved",G61)))</formula>
    </cfRule>
    <cfRule type="containsText" dxfId="3755" priority="4103" operator="containsText" text="Fully Achieved">
      <formula>NOT(ISERROR(SEARCH("Fully Achieved",G61)))</formula>
    </cfRule>
    <cfRule type="containsText" dxfId="3754" priority="4104" operator="containsText" text="Fully Achieved">
      <formula>NOT(ISERROR(SEARCH("Fully Achieved",G61)))</formula>
    </cfRule>
    <cfRule type="containsText" dxfId="3753" priority="4105" operator="containsText" text="Deferred">
      <formula>NOT(ISERROR(SEARCH("Deferred",G61)))</formula>
    </cfRule>
    <cfRule type="containsText" dxfId="3752" priority="4106" operator="containsText" text="Deleted">
      <formula>NOT(ISERROR(SEARCH("Deleted",G61)))</formula>
    </cfRule>
    <cfRule type="containsText" dxfId="3751" priority="4107" operator="containsText" text="In Danger of Falling Behind Target">
      <formula>NOT(ISERROR(SEARCH("In Danger of Falling Behind Target",G61)))</formula>
    </cfRule>
    <cfRule type="containsText" dxfId="3750" priority="4108" operator="containsText" text="Not yet due">
      <formula>NOT(ISERROR(SEARCH("Not yet due",G61)))</formula>
    </cfRule>
    <cfRule type="containsText" dxfId="3749" priority="4109" operator="containsText" text="Update not Provided">
      <formula>NOT(ISERROR(SEARCH("Update not Provided",G61)))</formula>
    </cfRule>
  </conditionalFormatting>
  <conditionalFormatting sqref="G69:G71">
    <cfRule type="containsText" dxfId="3748" priority="4038" operator="containsText" text="On track to be achieved">
      <formula>NOT(ISERROR(SEARCH("On track to be achieved",G69)))</formula>
    </cfRule>
    <cfRule type="containsText" dxfId="3747" priority="4039" operator="containsText" text="Deferred">
      <formula>NOT(ISERROR(SEARCH("Deferred",G69)))</formula>
    </cfRule>
    <cfRule type="containsText" dxfId="3746" priority="4040" operator="containsText" text="Deleted">
      <formula>NOT(ISERROR(SEARCH("Deleted",G69)))</formula>
    </cfRule>
    <cfRule type="containsText" dxfId="3745" priority="4041" operator="containsText" text="In Danger of Falling Behind Target">
      <formula>NOT(ISERROR(SEARCH("In Danger of Falling Behind Target",G69)))</formula>
    </cfRule>
    <cfRule type="containsText" dxfId="3744" priority="4042" operator="containsText" text="Not yet due">
      <formula>NOT(ISERROR(SEARCH("Not yet due",G69)))</formula>
    </cfRule>
    <cfRule type="containsText" dxfId="3743" priority="4043" operator="containsText" text="Update not Provided">
      <formula>NOT(ISERROR(SEARCH("Update not Provided",G69)))</formula>
    </cfRule>
    <cfRule type="containsText" dxfId="3742" priority="4044" operator="containsText" text="Not yet due">
      <formula>NOT(ISERROR(SEARCH("Not yet due",G69)))</formula>
    </cfRule>
    <cfRule type="containsText" dxfId="3741" priority="4045" operator="containsText" text="Completed Behind Schedule">
      <formula>NOT(ISERROR(SEARCH("Completed Behind Schedule",G69)))</formula>
    </cfRule>
    <cfRule type="containsText" dxfId="3740" priority="4046" operator="containsText" text="Off Target">
      <formula>NOT(ISERROR(SEARCH("Off Target",G69)))</formula>
    </cfRule>
    <cfRule type="containsText" dxfId="3739" priority="4047" operator="containsText" text="On Track to be Achieved">
      <formula>NOT(ISERROR(SEARCH("On Track to be Achieved",G69)))</formula>
    </cfRule>
    <cfRule type="containsText" dxfId="3738" priority="4048" operator="containsText" text="Fully Achieved">
      <formula>NOT(ISERROR(SEARCH("Fully Achieved",G69)))</formula>
    </cfRule>
    <cfRule type="containsText" dxfId="3737" priority="4049" operator="containsText" text="Not yet due">
      <formula>NOT(ISERROR(SEARCH("Not yet due",G69)))</formula>
    </cfRule>
    <cfRule type="containsText" dxfId="3736" priority="4050" operator="containsText" text="Not Yet Due">
      <formula>NOT(ISERROR(SEARCH("Not Yet Due",G69)))</formula>
    </cfRule>
    <cfRule type="containsText" dxfId="3735" priority="4051" operator="containsText" text="Deferred">
      <formula>NOT(ISERROR(SEARCH("Deferred",G69)))</formula>
    </cfRule>
    <cfRule type="containsText" dxfId="3734" priority="4052" operator="containsText" text="Deleted">
      <formula>NOT(ISERROR(SEARCH("Deleted",G69)))</formula>
    </cfRule>
    <cfRule type="containsText" dxfId="3733" priority="4053" operator="containsText" text="In Danger of Falling Behind Target">
      <formula>NOT(ISERROR(SEARCH("In Danger of Falling Behind Target",G69)))</formula>
    </cfRule>
    <cfRule type="containsText" dxfId="3732" priority="4054" operator="containsText" text="Not yet due">
      <formula>NOT(ISERROR(SEARCH("Not yet due",G69)))</formula>
    </cfRule>
    <cfRule type="containsText" dxfId="3731" priority="4055" operator="containsText" text="Completed Behind Schedule">
      <formula>NOT(ISERROR(SEARCH("Completed Behind Schedule",G69)))</formula>
    </cfRule>
    <cfRule type="containsText" dxfId="3730" priority="4056" operator="containsText" text="Off Target">
      <formula>NOT(ISERROR(SEARCH("Off Target",G69)))</formula>
    </cfRule>
    <cfRule type="containsText" dxfId="3729" priority="4057" operator="containsText" text="In Danger of Falling Behind Target">
      <formula>NOT(ISERROR(SEARCH("In Danger of Falling Behind Target",G69)))</formula>
    </cfRule>
    <cfRule type="containsText" dxfId="3728" priority="4058" operator="containsText" text="On Track to be Achieved">
      <formula>NOT(ISERROR(SEARCH("On Track to be Achieved",G69)))</formula>
    </cfRule>
    <cfRule type="containsText" dxfId="3727" priority="4059" operator="containsText" text="Fully Achieved">
      <formula>NOT(ISERROR(SEARCH("Fully Achieved",G69)))</formula>
    </cfRule>
    <cfRule type="containsText" dxfId="3726" priority="4060" operator="containsText" text="Update not Provided">
      <formula>NOT(ISERROR(SEARCH("Update not Provided",G69)))</formula>
    </cfRule>
    <cfRule type="containsText" dxfId="3725" priority="4061" operator="containsText" text="Not yet due">
      <formula>NOT(ISERROR(SEARCH("Not yet due",G69)))</formula>
    </cfRule>
    <cfRule type="containsText" dxfId="3724" priority="4062" operator="containsText" text="Completed Behind Schedule">
      <formula>NOT(ISERROR(SEARCH("Completed Behind Schedule",G69)))</formula>
    </cfRule>
    <cfRule type="containsText" dxfId="3723" priority="4063" operator="containsText" text="Off Target">
      <formula>NOT(ISERROR(SEARCH("Off Target",G69)))</formula>
    </cfRule>
    <cfRule type="containsText" dxfId="3722" priority="4064" operator="containsText" text="In Danger of Falling Behind Target">
      <formula>NOT(ISERROR(SEARCH("In Danger of Falling Behind Target",G69)))</formula>
    </cfRule>
    <cfRule type="containsText" dxfId="3721" priority="4065" operator="containsText" text="On Track to be Achieved">
      <formula>NOT(ISERROR(SEARCH("On Track to be Achieved",G69)))</formula>
    </cfRule>
    <cfRule type="containsText" dxfId="3720" priority="4066" operator="containsText" text="Fully Achieved">
      <formula>NOT(ISERROR(SEARCH("Fully Achieved",G69)))</formula>
    </cfRule>
    <cfRule type="containsText" dxfId="3719" priority="4067" operator="containsText" text="Fully Achieved">
      <formula>NOT(ISERROR(SEARCH("Fully Achieved",G69)))</formula>
    </cfRule>
    <cfRule type="containsText" dxfId="3718" priority="4068" operator="containsText" text="Fully Achieved">
      <formula>NOT(ISERROR(SEARCH("Fully Achieved",G69)))</formula>
    </cfRule>
    <cfRule type="containsText" dxfId="3717" priority="4069" operator="containsText" text="Deferred">
      <formula>NOT(ISERROR(SEARCH("Deferred",G69)))</formula>
    </cfRule>
    <cfRule type="containsText" dxfId="3716" priority="4070" operator="containsText" text="Deleted">
      <formula>NOT(ISERROR(SEARCH("Deleted",G69)))</formula>
    </cfRule>
    <cfRule type="containsText" dxfId="3715" priority="4071" operator="containsText" text="In Danger of Falling Behind Target">
      <formula>NOT(ISERROR(SEARCH("In Danger of Falling Behind Target",G69)))</formula>
    </cfRule>
    <cfRule type="containsText" dxfId="3714" priority="4072" operator="containsText" text="Not yet due">
      <formula>NOT(ISERROR(SEARCH("Not yet due",G69)))</formula>
    </cfRule>
    <cfRule type="containsText" dxfId="3713" priority="4073" operator="containsText" text="Update not Provided">
      <formula>NOT(ISERROR(SEARCH("Update not Provided",G69)))</formula>
    </cfRule>
  </conditionalFormatting>
  <conditionalFormatting sqref="G74">
    <cfRule type="containsText" dxfId="3712" priority="4002" operator="containsText" text="On track to be achieved">
      <formula>NOT(ISERROR(SEARCH("On track to be achieved",G74)))</formula>
    </cfRule>
    <cfRule type="containsText" dxfId="3711" priority="4003" operator="containsText" text="Deferred">
      <formula>NOT(ISERROR(SEARCH("Deferred",G74)))</formula>
    </cfRule>
    <cfRule type="containsText" dxfId="3710" priority="4004" operator="containsText" text="Deleted">
      <formula>NOT(ISERROR(SEARCH("Deleted",G74)))</formula>
    </cfRule>
    <cfRule type="containsText" dxfId="3709" priority="4005" operator="containsText" text="In Danger of Falling Behind Target">
      <formula>NOT(ISERROR(SEARCH("In Danger of Falling Behind Target",G74)))</formula>
    </cfRule>
    <cfRule type="containsText" dxfId="3708" priority="4006" operator="containsText" text="Not yet due">
      <formula>NOT(ISERROR(SEARCH("Not yet due",G74)))</formula>
    </cfRule>
    <cfRule type="containsText" dxfId="3707" priority="4007" operator="containsText" text="Update not Provided">
      <formula>NOT(ISERROR(SEARCH("Update not Provided",G74)))</formula>
    </cfRule>
    <cfRule type="containsText" dxfId="3706" priority="4008" operator="containsText" text="Not yet due">
      <formula>NOT(ISERROR(SEARCH("Not yet due",G74)))</formula>
    </cfRule>
    <cfRule type="containsText" dxfId="3705" priority="4009" operator="containsText" text="Completed Behind Schedule">
      <formula>NOT(ISERROR(SEARCH("Completed Behind Schedule",G74)))</formula>
    </cfRule>
    <cfRule type="containsText" dxfId="3704" priority="4010" operator="containsText" text="Off Target">
      <formula>NOT(ISERROR(SEARCH("Off Target",G74)))</formula>
    </cfRule>
    <cfRule type="containsText" dxfId="3703" priority="4011" operator="containsText" text="On Track to be Achieved">
      <formula>NOT(ISERROR(SEARCH("On Track to be Achieved",G74)))</formula>
    </cfRule>
    <cfRule type="containsText" dxfId="3702" priority="4012" operator="containsText" text="Fully Achieved">
      <formula>NOT(ISERROR(SEARCH("Fully Achieved",G74)))</formula>
    </cfRule>
    <cfRule type="containsText" dxfId="3701" priority="4013" operator="containsText" text="Not yet due">
      <formula>NOT(ISERROR(SEARCH("Not yet due",G74)))</formula>
    </cfRule>
    <cfRule type="containsText" dxfId="3700" priority="4014" operator="containsText" text="Not Yet Due">
      <formula>NOT(ISERROR(SEARCH("Not Yet Due",G74)))</formula>
    </cfRule>
    <cfRule type="containsText" dxfId="3699" priority="4015" operator="containsText" text="Deferred">
      <formula>NOT(ISERROR(SEARCH("Deferred",G74)))</formula>
    </cfRule>
    <cfRule type="containsText" dxfId="3698" priority="4016" operator="containsText" text="Deleted">
      <formula>NOT(ISERROR(SEARCH("Deleted",G74)))</formula>
    </cfRule>
    <cfRule type="containsText" dxfId="3697" priority="4017" operator="containsText" text="In Danger of Falling Behind Target">
      <formula>NOT(ISERROR(SEARCH("In Danger of Falling Behind Target",G74)))</formula>
    </cfRule>
    <cfRule type="containsText" dxfId="3696" priority="4018" operator="containsText" text="Not yet due">
      <formula>NOT(ISERROR(SEARCH("Not yet due",G74)))</formula>
    </cfRule>
    <cfRule type="containsText" dxfId="3695" priority="4019" operator="containsText" text="Completed Behind Schedule">
      <formula>NOT(ISERROR(SEARCH("Completed Behind Schedule",G74)))</formula>
    </cfRule>
    <cfRule type="containsText" dxfId="3694" priority="4020" operator="containsText" text="Off Target">
      <formula>NOT(ISERROR(SEARCH("Off Target",G74)))</formula>
    </cfRule>
    <cfRule type="containsText" dxfId="3693" priority="4021" operator="containsText" text="In Danger of Falling Behind Target">
      <formula>NOT(ISERROR(SEARCH("In Danger of Falling Behind Target",G74)))</formula>
    </cfRule>
    <cfRule type="containsText" dxfId="3692" priority="4022" operator="containsText" text="On Track to be Achieved">
      <formula>NOT(ISERROR(SEARCH("On Track to be Achieved",G74)))</formula>
    </cfRule>
    <cfRule type="containsText" dxfId="3691" priority="4023" operator="containsText" text="Fully Achieved">
      <formula>NOT(ISERROR(SEARCH("Fully Achieved",G74)))</formula>
    </cfRule>
    <cfRule type="containsText" dxfId="3690" priority="4024" operator="containsText" text="Update not Provided">
      <formula>NOT(ISERROR(SEARCH("Update not Provided",G74)))</formula>
    </cfRule>
    <cfRule type="containsText" dxfId="3689" priority="4025" operator="containsText" text="Not yet due">
      <formula>NOT(ISERROR(SEARCH("Not yet due",G74)))</formula>
    </cfRule>
    <cfRule type="containsText" dxfId="3688" priority="4026" operator="containsText" text="Completed Behind Schedule">
      <formula>NOT(ISERROR(SEARCH("Completed Behind Schedule",G74)))</formula>
    </cfRule>
    <cfRule type="containsText" dxfId="3687" priority="4027" operator="containsText" text="Off Target">
      <formula>NOT(ISERROR(SEARCH("Off Target",G74)))</formula>
    </cfRule>
    <cfRule type="containsText" dxfId="3686" priority="4028" operator="containsText" text="In Danger of Falling Behind Target">
      <formula>NOT(ISERROR(SEARCH("In Danger of Falling Behind Target",G74)))</formula>
    </cfRule>
    <cfRule type="containsText" dxfId="3685" priority="4029" operator="containsText" text="On Track to be Achieved">
      <formula>NOT(ISERROR(SEARCH("On Track to be Achieved",G74)))</formula>
    </cfRule>
    <cfRule type="containsText" dxfId="3684" priority="4030" operator="containsText" text="Fully Achieved">
      <formula>NOT(ISERROR(SEARCH("Fully Achieved",G74)))</formula>
    </cfRule>
    <cfRule type="containsText" dxfId="3683" priority="4031" operator="containsText" text="Fully Achieved">
      <formula>NOT(ISERROR(SEARCH("Fully Achieved",G74)))</formula>
    </cfRule>
    <cfRule type="containsText" dxfId="3682" priority="4032" operator="containsText" text="Fully Achieved">
      <formula>NOT(ISERROR(SEARCH("Fully Achieved",G74)))</formula>
    </cfRule>
    <cfRule type="containsText" dxfId="3681" priority="4033" operator="containsText" text="Deferred">
      <formula>NOT(ISERROR(SEARCH("Deferred",G74)))</formula>
    </cfRule>
    <cfRule type="containsText" dxfId="3680" priority="4034" operator="containsText" text="Deleted">
      <formula>NOT(ISERROR(SEARCH("Deleted",G74)))</formula>
    </cfRule>
    <cfRule type="containsText" dxfId="3679" priority="4035" operator="containsText" text="In Danger of Falling Behind Target">
      <formula>NOT(ISERROR(SEARCH("In Danger of Falling Behind Target",G74)))</formula>
    </cfRule>
    <cfRule type="containsText" dxfId="3678" priority="4036" operator="containsText" text="Not yet due">
      <formula>NOT(ISERROR(SEARCH("Not yet due",G74)))</formula>
    </cfRule>
    <cfRule type="containsText" dxfId="3677" priority="4037" operator="containsText" text="Update not Provided">
      <formula>NOT(ISERROR(SEARCH("Update not Provided",G74)))</formula>
    </cfRule>
  </conditionalFormatting>
  <conditionalFormatting sqref="G83">
    <cfRule type="containsText" dxfId="3676" priority="3966" operator="containsText" text="On track to be achieved">
      <formula>NOT(ISERROR(SEARCH("On track to be achieved",G83)))</formula>
    </cfRule>
    <cfRule type="containsText" dxfId="3675" priority="3967" operator="containsText" text="Deferred">
      <formula>NOT(ISERROR(SEARCH("Deferred",G83)))</formula>
    </cfRule>
    <cfRule type="containsText" dxfId="3674" priority="3968" operator="containsText" text="Deleted">
      <formula>NOT(ISERROR(SEARCH("Deleted",G83)))</formula>
    </cfRule>
    <cfRule type="containsText" dxfId="3673" priority="3969" operator="containsText" text="In Danger of Falling Behind Target">
      <formula>NOT(ISERROR(SEARCH("In Danger of Falling Behind Target",G83)))</formula>
    </cfRule>
    <cfRule type="containsText" dxfId="3672" priority="3970" operator="containsText" text="Not yet due">
      <formula>NOT(ISERROR(SEARCH("Not yet due",G83)))</formula>
    </cfRule>
    <cfRule type="containsText" dxfId="3671" priority="3971" operator="containsText" text="Update not Provided">
      <formula>NOT(ISERROR(SEARCH("Update not Provided",G83)))</formula>
    </cfRule>
    <cfRule type="containsText" dxfId="3670" priority="3972" operator="containsText" text="Not yet due">
      <formula>NOT(ISERROR(SEARCH("Not yet due",G83)))</formula>
    </cfRule>
    <cfRule type="containsText" dxfId="3669" priority="3973" operator="containsText" text="Completed Behind Schedule">
      <formula>NOT(ISERROR(SEARCH("Completed Behind Schedule",G83)))</formula>
    </cfRule>
    <cfRule type="containsText" dxfId="3668" priority="3974" operator="containsText" text="Off Target">
      <formula>NOT(ISERROR(SEARCH("Off Target",G83)))</formula>
    </cfRule>
    <cfRule type="containsText" dxfId="3667" priority="3975" operator="containsText" text="On Track to be Achieved">
      <formula>NOT(ISERROR(SEARCH("On Track to be Achieved",G83)))</formula>
    </cfRule>
    <cfRule type="containsText" dxfId="3666" priority="3976" operator="containsText" text="Fully Achieved">
      <formula>NOT(ISERROR(SEARCH("Fully Achieved",G83)))</formula>
    </cfRule>
    <cfRule type="containsText" dxfId="3665" priority="3977" operator="containsText" text="Not yet due">
      <formula>NOT(ISERROR(SEARCH("Not yet due",G83)))</formula>
    </cfRule>
    <cfRule type="containsText" dxfId="3664" priority="3978" operator="containsText" text="Not Yet Due">
      <formula>NOT(ISERROR(SEARCH("Not Yet Due",G83)))</formula>
    </cfRule>
    <cfRule type="containsText" dxfId="3663" priority="3979" operator="containsText" text="Deferred">
      <formula>NOT(ISERROR(SEARCH("Deferred",G83)))</formula>
    </cfRule>
    <cfRule type="containsText" dxfId="3662" priority="3980" operator="containsText" text="Deleted">
      <formula>NOT(ISERROR(SEARCH("Deleted",G83)))</formula>
    </cfRule>
    <cfRule type="containsText" dxfId="3661" priority="3981" operator="containsText" text="In Danger of Falling Behind Target">
      <formula>NOT(ISERROR(SEARCH("In Danger of Falling Behind Target",G83)))</formula>
    </cfRule>
    <cfRule type="containsText" dxfId="3660" priority="3982" operator="containsText" text="Not yet due">
      <formula>NOT(ISERROR(SEARCH("Not yet due",G83)))</formula>
    </cfRule>
    <cfRule type="containsText" dxfId="3659" priority="3983" operator="containsText" text="Completed Behind Schedule">
      <formula>NOT(ISERROR(SEARCH("Completed Behind Schedule",G83)))</formula>
    </cfRule>
    <cfRule type="containsText" dxfId="3658" priority="3984" operator="containsText" text="Off Target">
      <formula>NOT(ISERROR(SEARCH("Off Target",G83)))</formula>
    </cfRule>
    <cfRule type="containsText" dxfId="3657" priority="3985" operator="containsText" text="In Danger of Falling Behind Target">
      <formula>NOT(ISERROR(SEARCH("In Danger of Falling Behind Target",G83)))</formula>
    </cfRule>
    <cfRule type="containsText" dxfId="3656" priority="3986" operator="containsText" text="On Track to be Achieved">
      <formula>NOT(ISERROR(SEARCH("On Track to be Achieved",G83)))</formula>
    </cfRule>
    <cfRule type="containsText" dxfId="3655" priority="3987" operator="containsText" text="Fully Achieved">
      <formula>NOT(ISERROR(SEARCH("Fully Achieved",G83)))</formula>
    </cfRule>
    <cfRule type="containsText" dxfId="3654" priority="3988" operator="containsText" text="Update not Provided">
      <formula>NOT(ISERROR(SEARCH("Update not Provided",G83)))</formula>
    </cfRule>
    <cfRule type="containsText" dxfId="3653" priority="3989" operator="containsText" text="Not yet due">
      <formula>NOT(ISERROR(SEARCH("Not yet due",G83)))</formula>
    </cfRule>
    <cfRule type="containsText" dxfId="3652" priority="3990" operator="containsText" text="Completed Behind Schedule">
      <formula>NOT(ISERROR(SEARCH("Completed Behind Schedule",G83)))</formula>
    </cfRule>
    <cfRule type="containsText" dxfId="3651" priority="3991" operator="containsText" text="Off Target">
      <formula>NOT(ISERROR(SEARCH("Off Target",G83)))</formula>
    </cfRule>
    <cfRule type="containsText" dxfId="3650" priority="3992" operator="containsText" text="In Danger of Falling Behind Target">
      <formula>NOT(ISERROR(SEARCH("In Danger of Falling Behind Target",G83)))</formula>
    </cfRule>
    <cfRule type="containsText" dxfId="3649" priority="3993" operator="containsText" text="On Track to be Achieved">
      <formula>NOT(ISERROR(SEARCH("On Track to be Achieved",G83)))</formula>
    </cfRule>
    <cfRule type="containsText" dxfId="3648" priority="3994" operator="containsText" text="Fully Achieved">
      <formula>NOT(ISERROR(SEARCH("Fully Achieved",G83)))</formula>
    </cfRule>
    <cfRule type="containsText" dxfId="3647" priority="3995" operator="containsText" text="Fully Achieved">
      <formula>NOT(ISERROR(SEARCH("Fully Achieved",G83)))</formula>
    </cfRule>
    <cfRule type="containsText" dxfId="3646" priority="3996" operator="containsText" text="Fully Achieved">
      <formula>NOT(ISERROR(SEARCH("Fully Achieved",G83)))</formula>
    </cfRule>
    <cfRule type="containsText" dxfId="3645" priority="3997" operator="containsText" text="Deferred">
      <formula>NOT(ISERROR(SEARCH("Deferred",G83)))</formula>
    </cfRule>
    <cfRule type="containsText" dxfId="3644" priority="3998" operator="containsText" text="Deleted">
      <formula>NOT(ISERROR(SEARCH("Deleted",G83)))</formula>
    </cfRule>
    <cfRule type="containsText" dxfId="3643" priority="3999" operator="containsText" text="In Danger of Falling Behind Target">
      <formula>NOT(ISERROR(SEARCH("In Danger of Falling Behind Target",G83)))</formula>
    </cfRule>
    <cfRule type="containsText" dxfId="3642" priority="4000" operator="containsText" text="Not yet due">
      <formula>NOT(ISERROR(SEARCH("Not yet due",G83)))</formula>
    </cfRule>
    <cfRule type="containsText" dxfId="3641" priority="4001" operator="containsText" text="Update not Provided">
      <formula>NOT(ISERROR(SEARCH("Update not Provided",G83)))</formula>
    </cfRule>
  </conditionalFormatting>
  <conditionalFormatting sqref="G86">
    <cfRule type="containsText" dxfId="3640" priority="3930" operator="containsText" text="On track to be achieved">
      <formula>NOT(ISERROR(SEARCH("On track to be achieved",G86)))</formula>
    </cfRule>
    <cfRule type="containsText" dxfId="3639" priority="3931" operator="containsText" text="Deferred">
      <formula>NOT(ISERROR(SEARCH("Deferred",G86)))</formula>
    </cfRule>
    <cfRule type="containsText" dxfId="3638" priority="3932" operator="containsText" text="Deleted">
      <formula>NOT(ISERROR(SEARCH("Deleted",G86)))</formula>
    </cfRule>
    <cfRule type="containsText" dxfId="3637" priority="3933" operator="containsText" text="In Danger of Falling Behind Target">
      <formula>NOT(ISERROR(SEARCH("In Danger of Falling Behind Target",G86)))</formula>
    </cfRule>
    <cfRule type="containsText" dxfId="3636" priority="3934" operator="containsText" text="Not yet due">
      <formula>NOT(ISERROR(SEARCH("Not yet due",G86)))</formula>
    </cfRule>
    <cfRule type="containsText" dxfId="3635" priority="3935" operator="containsText" text="Update not Provided">
      <formula>NOT(ISERROR(SEARCH("Update not Provided",G86)))</formula>
    </cfRule>
    <cfRule type="containsText" dxfId="3634" priority="3936" operator="containsText" text="Not yet due">
      <formula>NOT(ISERROR(SEARCH("Not yet due",G86)))</formula>
    </cfRule>
    <cfRule type="containsText" dxfId="3633" priority="3937" operator="containsText" text="Completed Behind Schedule">
      <formula>NOT(ISERROR(SEARCH("Completed Behind Schedule",G86)))</formula>
    </cfRule>
    <cfRule type="containsText" dxfId="3632" priority="3938" operator="containsText" text="Off Target">
      <formula>NOT(ISERROR(SEARCH("Off Target",G86)))</formula>
    </cfRule>
    <cfRule type="containsText" dxfId="3631" priority="3939" operator="containsText" text="On Track to be Achieved">
      <formula>NOT(ISERROR(SEARCH("On Track to be Achieved",G86)))</formula>
    </cfRule>
    <cfRule type="containsText" dxfId="3630" priority="3940" operator="containsText" text="Fully Achieved">
      <formula>NOT(ISERROR(SEARCH("Fully Achieved",G86)))</formula>
    </cfRule>
    <cfRule type="containsText" dxfId="3629" priority="3941" operator="containsText" text="Not yet due">
      <formula>NOT(ISERROR(SEARCH("Not yet due",G86)))</formula>
    </cfRule>
    <cfRule type="containsText" dxfId="3628" priority="3942" operator="containsText" text="Not Yet Due">
      <formula>NOT(ISERROR(SEARCH("Not Yet Due",G86)))</formula>
    </cfRule>
    <cfRule type="containsText" dxfId="3627" priority="3943" operator="containsText" text="Deferred">
      <formula>NOT(ISERROR(SEARCH("Deferred",G86)))</formula>
    </cfRule>
    <cfRule type="containsText" dxfId="3626" priority="3944" operator="containsText" text="Deleted">
      <formula>NOT(ISERROR(SEARCH("Deleted",G86)))</formula>
    </cfRule>
    <cfRule type="containsText" dxfId="3625" priority="3945" operator="containsText" text="In Danger of Falling Behind Target">
      <formula>NOT(ISERROR(SEARCH("In Danger of Falling Behind Target",G86)))</formula>
    </cfRule>
    <cfRule type="containsText" dxfId="3624" priority="3946" operator="containsText" text="Not yet due">
      <formula>NOT(ISERROR(SEARCH("Not yet due",G86)))</formula>
    </cfRule>
    <cfRule type="containsText" dxfId="3623" priority="3947" operator="containsText" text="Completed Behind Schedule">
      <formula>NOT(ISERROR(SEARCH("Completed Behind Schedule",G86)))</formula>
    </cfRule>
    <cfRule type="containsText" dxfId="3622" priority="3948" operator="containsText" text="Off Target">
      <formula>NOT(ISERROR(SEARCH("Off Target",G86)))</formula>
    </cfRule>
    <cfRule type="containsText" dxfId="3621" priority="3949" operator="containsText" text="In Danger of Falling Behind Target">
      <formula>NOT(ISERROR(SEARCH("In Danger of Falling Behind Target",G86)))</formula>
    </cfRule>
    <cfRule type="containsText" dxfId="3620" priority="3950" operator="containsText" text="On Track to be Achieved">
      <formula>NOT(ISERROR(SEARCH("On Track to be Achieved",G86)))</formula>
    </cfRule>
    <cfRule type="containsText" dxfId="3619" priority="3951" operator="containsText" text="Fully Achieved">
      <formula>NOT(ISERROR(SEARCH("Fully Achieved",G86)))</formula>
    </cfRule>
    <cfRule type="containsText" dxfId="3618" priority="3952" operator="containsText" text="Update not Provided">
      <formula>NOT(ISERROR(SEARCH("Update not Provided",G86)))</formula>
    </cfRule>
    <cfRule type="containsText" dxfId="3617" priority="3953" operator="containsText" text="Not yet due">
      <formula>NOT(ISERROR(SEARCH("Not yet due",G86)))</formula>
    </cfRule>
    <cfRule type="containsText" dxfId="3616" priority="3954" operator="containsText" text="Completed Behind Schedule">
      <formula>NOT(ISERROR(SEARCH("Completed Behind Schedule",G86)))</formula>
    </cfRule>
    <cfRule type="containsText" dxfId="3615" priority="3955" operator="containsText" text="Off Target">
      <formula>NOT(ISERROR(SEARCH("Off Target",G86)))</formula>
    </cfRule>
    <cfRule type="containsText" dxfId="3614" priority="3956" operator="containsText" text="In Danger of Falling Behind Target">
      <formula>NOT(ISERROR(SEARCH("In Danger of Falling Behind Target",G86)))</formula>
    </cfRule>
    <cfRule type="containsText" dxfId="3613" priority="3957" operator="containsText" text="On Track to be Achieved">
      <formula>NOT(ISERROR(SEARCH("On Track to be Achieved",G86)))</formula>
    </cfRule>
    <cfRule type="containsText" dxfId="3612" priority="3958" operator="containsText" text="Fully Achieved">
      <formula>NOT(ISERROR(SEARCH("Fully Achieved",G86)))</formula>
    </cfRule>
    <cfRule type="containsText" dxfId="3611" priority="3959" operator="containsText" text="Fully Achieved">
      <formula>NOT(ISERROR(SEARCH("Fully Achieved",G86)))</formula>
    </cfRule>
    <cfRule type="containsText" dxfId="3610" priority="3960" operator="containsText" text="Fully Achieved">
      <formula>NOT(ISERROR(SEARCH("Fully Achieved",G86)))</formula>
    </cfRule>
    <cfRule type="containsText" dxfId="3609" priority="3961" operator="containsText" text="Deferred">
      <formula>NOT(ISERROR(SEARCH("Deferred",G86)))</formula>
    </cfRule>
    <cfRule type="containsText" dxfId="3608" priority="3962" operator="containsText" text="Deleted">
      <formula>NOT(ISERROR(SEARCH("Deleted",G86)))</formula>
    </cfRule>
    <cfRule type="containsText" dxfId="3607" priority="3963" operator="containsText" text="In Danger of Falling Behind Target">
      <formula>NOT(ISERROR(SEARCH("In Danger of Falling Behind Target",G86)))</formula>
    </cfRule>
    <cfRule type="containsText" dxfId="3606" priority="3964" operator="containsText" text="Not yet due">
      <formula>NOT(ISERROR(SEARCH("Not yet due",G86)))</formula>
    </cfRule>
    <cfRule type="containsText" dxfId="3605" priority="3965" operator="containsText" text="Update not Provided">
      <formula>NOT(ISERROR(SEARCH("Update not Provided",G86)))</formula>
    </cfRule>
  </conditionalFormatting>
  <conditionalFormatting sqref="G98">
    <cfRule type="containsText" dxfId="3604" priority="3894" operator="containsText" text="On track to be achieved">
      <formula>NOT(ISERROR(SEARCH("On track to be achieved",G98)))</formula>
    </cfRule>
    <cfRule type="containsText" dxfId="3603" priority="3895" operator="containsText" text="Deferred">
      <formula>NOT(ISERROR(SEARCH("Deferred",G98)))</formula>
    </cfRule>
    <cfRule type="containsText" dxfId="3602" priority="3896" operator="containsText" text="Deleted">
      <formula>NOT(ISERROR(SEARCH("Deleted",G98)))</formula>
    </cfRule>
    <cfRule type="containsText" dxfId="3601" priority="3897" operator="containsText" text="In Danger of Falling Behind Target">
      <formula>NOT(ISERROR(SEARCH("In Danger of Falling Behind Target",G98)))</formula>
    </cfRule>
    <cfRule type="containsText" dxfId="3600" priority="3898" operator="containsText" text="Not yet due">
      <formula>NOT(ISERROR(SEARCH("Not yet due",G98)))</formula>
    </cfRule>
    <cfRule type="containsText" dxfId="3599" priority="3899" operator="containsText" text="Update not Provided">
      <formula>NOT(ISERROR(SEARCH("Update not Provided",G98)))</formula>
    </cfRule>
    <cfRule type="containsText" dxfId="3598" priority="3900" operator="containsText" text="Not yet due">
      <formula>NOT(ISERROR(SEARCH("Not yet due",G98)))</formula>
    </cfRule>
    <cfRule type="containsText" dxfId="3597" priority="3901" operator="containsText" text="Completed Behind Schedule">
      <formula>NOT(ISERROR(SEARCH("Completed Behind Schedule",G98)))</formula>
    </cfRule>
    <cfRule type="containsText" dxfId="3596" priority="3902" operator="containsText" text="Off Target">
      <formula>NOT(ISERROR(SEARCH("Off Target",G98)))</formula>
    </cfRule>
    <cfRule type="containsText" dxfId="3595" priority="3903" operator="containsText" text="On Track to be Achieved">
      <formula>NOT(ISERROR(SEARCH("On Track to be Achieved",G98)))</formula>
    </cfRule>
    <cfRule type="containsText" dxfId="3594" priority="3904" operator="containsText" text="Fully Achieved">
      <formula>NOT(ISERROR(SEARCH("Fully Achieved",G98)))</formula>
    </cfRule>
    <cfRule type="containsText" dxfId="3593" priority="3905" operator="containsText" text="Not yet due">
      <formula>NOT(ISERROR(SEARCH("Not yet due",G98)))</formula>
    </cfRule>
    <cfRule type="containsText" dxfId="3592" priority="3906" operator="containsText" text="Not Yet Due">
      <formula>NOT(ISERROR(SEARCH("Not Yet Due",G98)))</formula>
    </cfRule>
    <cfRule type="containsText" dxfId="3591" priority="3907" operator="containsText" text="Deferred">
      <formula>NOT(ISERROR(SEARCH("Deferred",G98)))</formula>
    </cfRule>
    <cfRule type="containsText" dxfId="3590" priority="3908" operator="containsText" text="Deleted">
      <formula>NOT(ISERROR(SEARCH("Deleted",G98)))</formula>
    </cfRule>
    <cfRule type="containsText" dxfId="3589" priority="3909" operator="containsText" text="In Danger of Falling Behind Target">
      <formula>NOT(ISERROR(SEARCH("In Danger of Falling Behind Target",G98)))</formula>
    </cfRule>
    <cfRule type="containsText" dxfId="3588" priority="3910" operator="containsText" text="Not yet due">
      <formula>NOT(ISERROR(SEARCH("Not yet due",G98)))</formula>
    </cfRule>
    <cfRule type="containsText" dxfId="3587" priority="3911" operator="containsText" text="Completed Behind Schedule">
      <formula>NOT(ISERROR(SEARCH("Completed Behind Schedule",G98)))</formula>
    </cfRule>
    <cfRule type="containsText" dxfId="3586" priority="3912" operator="containsText" text="Off Target">
      <formula>NOT(ISERROR(SEARCH("Off Target",G98)))</formula>
    </cfRule>
    <cfRule type="containsText" dxfId="3585" priority="3913" operator="containsText" text="In Danger of Falling Behind Target">
      <formula>NOT(ISERROR(SEARCH("In Danger of Falling Behind Target",G98)))</formula>
    </cfRule>
    <cfRule type="containsText" dxfId="3584" priority="3914" operator="containsText" text="On Track to be Achieved">
      <formula>NOT(ISERROR(SEARCH("On Track to be Achieved",G98)))</formula>
    </cfRule>
    <cfRule type="containsText" dxfId="3583" priority="3915" operator="containsText" text="Fully Achieved">
      <formula>NOT(ISERROR(SEARCH("Fully Achieved",G98)))</formula>
    </cfRule>
    <cfRule type="containsText" dxfId="3582" priority="3916" operator="containsText" text="Update not Provided">
      <formula>NOT(ISERROR(SEARCH("Update not Provided",G98)))</formula>
    </cfRule>
    <cfRule type="containsText" dxfId="3581" priority="3917" operator="containsText" text="Not yet due">
      <formula>NOT(ISERROR(SEARCH("Not yet due",G98)))</formula>
    </cfRule>
    <cfRule type="containsText" dxfId="3580" priority="3918" operator="containsText" text="Completed Behind Schedule">
      <formula>NOT(ISERROR(SEARCH("Completed Behind Schedule",G98)))</formula>
    </cfRule>
    <cfRule type="containsText" dxfId="3579" priority="3919" operator="containsText" text="Off Target">
      <formula>NOT(ISERROR(SEARCH("Off Target",G98)))</formula>
    </cfRule>
    <cfRule type="containsText" dxfId="3578" priority="3920" operator="containsText" text="In Danger of Falling Behind Target">
      <formula>NOT(ISERROR(SEARCH("In Danger of Falling Behind Target",G98)))</formula>
    </cfRule>
    <cfRule type="containsText" dxfId="3577" priority="3921" operator="containsText" text="On Track to be Achieved">
      <formula>NOT(ISERROR(SEARCH("On Track to be Achieved",G98)))</formula>
    </cfRule>
    <cfRule type="containsText" dxfId="3576" priority="3922" operator="containsText" text="Fully Achieved">
      <formula>NOT(ISERROR(SEARCH("Fully Achieved",G98)))</formula>
    </cfRule>
    <cfRule type="containsText" dxfId="3575" priority="3923" operator="containsText" text="Fully Achieved">
      <formula>NOT(ISERROR(SEARCH("Fully Achieved",G98)))</formula>
    </cfRule>
    <cfRule type="containsText" dxfId="3574" priority="3924" operator="containsText" text="Fully Achieved">
      <formula>NOT(ISERROR(SEARCH("Fully Achieved",G98)))</formula>
    </cfRule>
    <cfRule type="containsText" dxfId="3573" priority="3925" operator="containsText" text="Deferred">
      <formula>NOT(ISERROR(SEARCH("Deferred",G98)))</formula>
    </cfRule>
    <cfRule type="containsText" dxfId="3572" priority="3926" operator="containsText" text="Deleted">
      <formula>NOT(ISERROR(SEARCH("Deleted",G98)))</formula>
    </cfRule>
    <cfRule type="containsText" dxfId="3571" priority="3927" operator="containsText" text="In Danger of Falling Behind Target">
      <formula>NOT(ISERROR(SEARCH("In Danger of Falling Behind Target",G98)))</formula>
    </cfRule>
    <cfRule type="containsText" dxfId="3570" priority="3928" operator="containsText" text="Not yet due">
      <formula>NOT(ISERROR(SEARCH("Not yet due",G98)))</formula>
    </cfRule>
    <cfRule type="containsText" dxfId="3569" priority="3929" operator="containsText" text="Update not Provided">
      <formula>NOT(ISERROR(SEARCH("Update not Provided",G98)))</formula>
    </cfRule>
  </conditionalFormatting>
  <conditionalFormatting sqref="J1:J1048576">
    <cfRule type="containsText" dxfId="3568" priority="3892" operator="containsText" text="numerical outturn within 5% tolerance">
      <formula>NOT(ISERROR(SEARCH("numerical outturn within 5% tolerance",J1)))</formula>
    </cfRule>
    <cfRule type="containsText" dxfId="3567" priority="3893" operator="containsText" text="Target Partially Met">
      <formula>NOT(ISERROR(SEARCH("Target Partially Met",J1)))</formula>
    </cfRule>
  </conditionalFormatting>
  <conditionalFormatting sqref="I42">
    <cfRule type="containsText" dxfId="3566" priority="3856" operator="containsText" text="On track to be achieved">
      <formula>NOT(ISERROR(SEARCH("On track to be achieved",I42)))</formula>
    </cfRule>
    <cfRule type="containsText" dxfId="3565" priority="3857" operator="containsText" text="Deferred">
      <formula>NOT(ISERROR(SEARCH("Deferred",I42)))</formula>
    </cfRule>
    <cfRule type="containsText" dxfId="3564" priority="3858" operator="containsText" text="Deleted">
      <formula>NOT(ISERROR(SEARCH("Deleted",I42)))</formula>
    </cfRule>
    <cfRule type="containsText" dxfId="3563" priority="3859" operator="containsText" text="In Danger of Falling Behind Target">
      <formula>NOT(ISERROR(SEARCH("In Danger of Falling Behind Target",I42)))</formula>
    </cfRule>
    <cfRule type="containsText" dxfId="3562" priority="3860" operator="containsText" text="Not yet due">
      <formula>NOT(ISERROR(SEARCH("Not yet due",I42)))</formula>
    </cfRule>
    <cfRule type="containsText" dxfId="3561" priority="3861" operator="containsText" text="Update not Provided">
      <formula>NOT(ISERROR(SEARCH("Update not Provided",I42)))</formula>
    </cfRule>
    <cfRule type="containsText" dxfId="3560" priority="3862" operator="containsText" text="Not yet due">
      <formula>NOT(ISERROR(SEARCH("Not yet due",I42)))</formula>
    </cfRule>
    <cfRule type="containsText" dxfId="3559" priority="3863" operator="containsText" text="Completed Behind Schedule">
      <formula>NOT(ISERROR(SEARCH("Completed Behind Schedule",I42)))</formula>
    </cfRule>
    <cfRule type="containsText" dxfId="3558" priority="3864" operator="containsText" text="Off Target">
      <formula>NOT(ISERROR(SEARCH("Off Target",I42)))</formula>
    </cfRule>
    <cfRule type="containsText" dxfId="3557" priority="3865" operator="containsText" text="On Track to be Achieved">
      <formula>NOT(ISERROR(SEARCH("On Track to be Achieved",I42)))</formula>
    </cfRule>
    <cfRule type="containsText" dxfId="3556" priority="3866" operator="containsText" text="Fully Achieved">
      <formula>NOT(ISERROR(SEARCH("Fully Achieved",I42)))</formula>
    </cfRule>
    <cfRule type="containsText" dxfId="3555" priority="3867" operator="containsText" text="Not yet due">
      <formula>NOT(ISERROR(SEARCH("Not yet due",I42)))</formula>
    </cfRule>
    <cfRule type="containsText" dxfId="3554" priority="3868" operator="containsText" text="Not Yet Due">
      <formula>NOT(ISERROR(SEARCH("Not Yet Due",I42)))</formula>
    </cfRule>
    <cfRule type="containsText" dxfId="3553" priority="3869" operator="containsText" text="Deferred">
      <formula>NOT(ISERROR(SEARCH("Deferred",I42)))</formula>
    </cfRule>
    <cfRule type="containsText" dxfId="3552" priority="3870" operator="containsText" text="Deleted">
      <formula>NOT(ISERROR(SEARCH("Deleted",I42)))</formula>
    </cfRule>
    <cfRule type="containsText" dxfId="3551" priority="3871" operator="containsText" text="In Danger of Falling Behind Target">
      <formula>NOT(ISERROR(SEARCH("In Danger of Falling Behind Target",I42)))</formula>
    </cfRule>
    <cfRule type="containsText" dxfId="3550" priority="3872" operator="containsText" text="Not yet due">
      <formula>NOT(ISERROR(SEARCH("Not yet due",I42)))</formula>
    </cfRule>
    <cfRule type="containsText" dxfId="3549" priority="3873" operator="containsText" text="Completed Behind Schedule">
      <formula>NOT(ISERROR(SEARCH("Completed Behind Schedule",I42)))</formula>
    </cfRule>
    <cfRule type="containsText" dxfId="3548" priority="3874" operator="containsText" text="Off Target">
      <formula>NOT(ISERROR(SEARCH("Off Target",I42)))</formula>
    </cfRule>
    <cfRule type="containsText" dxfId="3547" priority="3875" operator="containsText" text="In Danger of Falling Behind Target">
      <formula>NOT(ISERROR(SEARCH("In Danger of Falling Behind Target",I42)))</formula>
    </cfRule>
    <cfRule type="containsText" dxfId="3546" priority="3876" operator="containsText" text="On Track to be Achieved">
      <formula>NOT(ISERROR(SEARCH("On Track to be Achieved",I42)))</formula>
    </cfRule>
    <cfRule type="containsText" dxfId="3545" priority="3877" operator="containsText" text="Fully Achieved">
      <formula>NOT(ISERROR(SEARCH("Fully Achieved",I42)))</formula>
    </cfRule>
    <cfRule type="containsText" dxfId="3544" priority="3878" operator="containsText" text="Update not Provided">
      <formula>NOT(ISERROR(SEARCH("Update not Provided",I42)))</formula>
    </cfRule>
    <cfRule type="containsText" dxfId="3543" priority="3879" operator="containsText" text="Not yet due">
      <formula>NOT(ISERROR(SEARCH("Not yet due",I42)))</formula>
    </cfRule>
    <cfRule type="containsText" dxfId="3542" priority="3880" operator="containsText" text="Completed Behind Schedule">
      <formula>NOT(ISERROR(SEARCH("Completed Behind Schedule",I42)))</formula>
    </cfRule>
    <cfRule type="containsText" dxfId="3541" priority="3881" operator="containsText" text="Off Target">
      <formula>NOT(ISERROR(SEARCH("Off Target",I42)))</formula>
    </cfRule>
    <cfRule type="containsText" dxfId="3540" priority="3882" operator="containsText" text="In Danger of Falling Behind Target">
      <formula>NOT(ISERROR(SEARCH("In Danger of Falling Behind Target",I42)))</formula>
    </cfRule>
    <cfRule type="containsText" dxfId="3539" priority="3883" operator="containsText" text="On Track to be Achieved">
      <formula>NOT(ISERROR(SEARCH("On Track to be Achieved",I42)))</formula>
    </cfRule>
    <cfRule type="containsText" dxfId="3538" priority="3884" operator="containsText" text="Fully Achieved">
      <formula>NOT(ISERROR(SEARCH("Fully Achieved",I42)))</formula>
    </cfRule>
    <cfRule type="containsText" dxfId="3537" priority="3885" operator="containsText" text="Fully Achieved">
      <formula>NOT(ISERROR(SEARCH("Fully Achieved",I42)))</formula>
    </cfRule>
    <cfRule type="containsText" dxfId="3536" priority="3886" operator="containsText" text="Fully Achieved">
      <formula>NOT(ISERROR(SEARCH("Fully Achieved",I42)))</formula>
    </cfRule>
    <cfRule type="containsText" dxfId="3535" priority="3887" operator="containsText" text="Deferred">
      <formula>NOT(ISERROR(SEARCH("Deferred",I42)))</formula>
    </cfRule>
    <cfRule type="containsText" dxfId="3534" priority="3888" operator="containsText" text="Deleted">
      <formula>NOT(ISERROR(SEARCH("Deleted",I42)))</formula>
    </cfRule>
    <cfRule type="containsText" dxfId="3533" priority="3889" operator="containsText" text="In Danger of Falling Behind Target">
      <formula>NOT(ISERROR(SEARCH("In Danger of Falling Behind Target",I42)))</formula>
    </cfRule>
    <cfRule type="containsText" dxfId="3532" priority="3890" operator="containsText" text="Not yet due">
      <formula>NOT(ISERROR(SEARCH("Not yet due",I42)))</formula>
    </cfRule>
    <cfRule type="containsText" dxfId="3531" priority="3891" operator="containsText" text="Update not Provided">
      <formula>NOT(ISERROR(SEARCH("Update not Provided",I42)))</formula>
    </cfRule>
  </conditionalFormatting>
  <conditionalFormatting sqref="I50">
    <cfRule type="containsText" dxfId="3530" priority="3820" operator="containsText" text="On track to be achieved">
      <formula>NOT(ISERROR(SEARCH("On track to be achieved",I50)))</formula>
    </cfRule>
    <cfRule type="containsText" dxfId="3529" priority="3821" operator="containsText" text="Deferred">
      <formula>NOT(ISERROR(SEARCH("Deferred",I50)))</formula>
    </cfRule>
    <cfRule type="containsText" dxfId="3528" priority="3822" operator="containsText" text="Deleted">
      <formula>NOT(ISERROR(SEARCH("Deleted",I50)))</formula>
    </cfRule>
    <cfRule type="containsText" dxfId="3527" priority="3823" operator="containsText" text="In Danger of Falling Behind Target">
      <formula>NOT(ISERROR(SEARCH("In Danger of Falling Behind Target",I50)))</formula>
    </cfRule>
    <cfRule type="containsText" dxfId="3526" priority="3824" operator="containsText" text="Not yet due">
      <formula>NOT(ISERROR(SEARCH("Not yet due",I50)))</formula>
    </cfRule>
    <cfRule type="containsText" dxfId="3525" priority="3825" operator="containsText" text="Update not Provided">
      <formula>NOT(ISERROR(SEARCH("Update not Provided",I50)))</formula>
    </cfRule>
    <cfRule type="containsText" dxfId="3524" priority="3826" operator="containsText" text="Not yet due">
      <formula>NOT(ISERROR(SEARCH("Not yet due",I50)))</formula>
    </cfRule>
    <cfRule type="containsText" dxfId="3523" priority="3827" operator="containsText" text="Completed Behind Schedule">
      <formula>NOT(ISERROR(SEARCH("Completed Behind Schedule",I50)))</formula>
    </cfRule>
    <cfRule type="containsText" dxfId="3522" priority="3828" operator="containsText" text="Off Target">
      <formula>NOT(ISERROR(SEARCH("Off Target",I50)))</formula>
    </cfRule>
    <cfRule type="containsText" dxfId="3521" priority="3829" operator="containsText" text="On Track to be Achieved">
      <formula>NOT(ISERROR(SEARCH("On Track to be Achieved",I50)))</formula>
    </cfRule>
    <cfRule type="containsText" dxfId="3520" priority="3830" operator="containsText" text="Fully Achieved">
      <formula>NOT(ISERROR(SEARCH("Fully Achieved",I50)))</formula>
    </cfRule>
    <cfRule type="containsText" dxfId="3519" priority="3831" operator="containsText" text="Not yet due">
      <formula>NOT(ISERROR(SEARCH("Not yet due",I50)))</formula>
    </cfRule>
    <cfRule type="containsText" dxfId="3518" priority="3832" operator="containsText" text="Not Yet Due">
      <formula>NOT(ISERROR(SEARCH("Not Yet Due",I50)))</formula>
    </cfRule>
    <cfRule type="containsText" dxfId="3517" priority="3833" operator="containsText" text="Deferred">
      <formula>NOT(ISERROR(SEARCH("Deferred",I50)))</formula>
    </cfRule>
    <cfRule type="containsText" dxfId="3516" priority="3834" operator="containsText" text="Deleted">
      <formula>NOT(ISERROR(SEARCH("Deleted",I50)))</formula>
    </cfRule>
    <cfRule type="containsText" dxfId="3515" priority="3835" operator="containsText" text="In Danger of Falling Behind Target">
      <formula>NOT(ISERROR(SEARCH("In Danger of Falling Behind Target",I50)))</formula>
    </cfRule>
    <cfRule type="containsText" dxfId="3514" priority="3836" operator="containsText" text="Not yet due">
      <formula>NOT(ISERROR(SEARCH("Not yet due",I50)))</formula>
    </cfRule>
    <cfRule type="containsText" dxfId="3513" priority="3837" operator="containsText" text="Completed Behind Schedule">
      <formula>NOT(ISERROR(SEARCH("Completed Behind Schedule",I50)))</formula>
    </cfRule>
    <cfRule type="containsText" dxfId="3512" priority="3838" operator="containsText" text="Off Target">
      <formula>NOT(ISERROR(SEARCH("Off Target",I50)))</formula>
    </cfRule>
    <cfRule type="containsText" dxfId="3511" priority="3839" operator="containsText" text="In Danger of Falling Behind Target">
      <formula>NOT(ISERROR(SEARCH("In Danger of Falling Behind Target",I50)))</formula>
    </cfRule>
    <cfRule type="containsText" dxfId="3510" priority="3840" operator="containsText" text="On Track to be Achieved">
      <formula>NOT(ISERROR(SEARCH("On Track to be Achieved",I50)))</formula>
    </cfRule>
    <cfRule type="containsText" dxfId="3509" priority="3841" operator="containsText" text="Fully Achieved">
      <formula>NOT(ISERROR(SEARCH("Fully Achieved",I50)))</formula>
    </cfRule>
    <cfRule type="containsText" dxfId="3508" priority="3842" operator="containsText" text="Update not Provided">
      <formula>NOT(ISERROR(SEARCH("Update not Provided",I50)))</formula>
    </cfRule>
    <cfRule type="containsText" dxfId="3507" priority="3843" operator="containsText" text="Not yet due">
      <formula>NOT(ISERROR(SEARCH("Not yet due",I50)))</formula>
    </cfRule>
    <cfRule type="containsText" dxfId="3506" priority="3844" operator="containsText" text="Completed Behind Schedule">
      <formula>NOT(ISERROR(SEARCH("Completed Behind Schedule",I50)))</formula>
    </cfRule>
    <cfRule type="containsText" dxfId="3505" priority="3845" operator="containsText" text="Off Target">
      <formula>NOT(ISERROR(SEARCH("Off Target",I50)))</formula>
    </cfRule>
    <cfRule type="containsText" dxfId="3504" priority="3846" operator="containsText" text="In Danger of Falling Behind Target">
      <formula>NOT(ISERROR(SEARCH("In Danger of Falling Behind Target",I50)))</formula>
    </cfRule>
    <cfRule type="containsText" dxfId="3503" priority="3847" operator="containsText" text="On Track to be Achieved">
      <formula>NOT(ISERROR(SEARCH("On Track to be Achieved",I50)))</formula>
    </cfRule>
    <cfRule type="containsText" dxfId="3502" priority="3848" operator="containsText" text="Fully Achieved">
      <formula>NOT(ISERROR(SEARCH("Fully Achieved",I50)))</formula>
    </cfRule>
    <cfRule type="containsText" dxfId="3501" priority="3849" operator="containsText" text="Fully Achieved">
      <formula>NOT(ISERROR(SEARCH("Fully Achieved",I50)))</formula>
    </cfRule>
    <cfRule type="containsText" dxfId="3500" priority="3850" operator="containsText" text="Fully Achieved">
      <formula>NOT(ISERROR(SEARCH("Fully Achieved",I50)))</formula>
    </cfRule>
    <cfRule type="containsText" dxfId="3499" priority="3851" operator="containsText" text="Deferred">
      <formula>NOT(ISERROR(SEARCH("Deferred",I50)))</formula>
    </cfRule>
    <cfRule type="containsText" dxfId="3498" priority="3852" operator="containsText" text="Deleted">
      <formula>NOT(ISERROR(SEARCH("Deleted",I50)))</formula>
    </cfRule>
    <cfRule type="containsText" dxfId="3497" priority="3853" operator="containsText" text="In Danger of Falling Behind Target">
      <formula>NOT(ISERROR(SEARCH("In Danger of Falling Behind Target",I50)))</formula>
    </cfRule>
    <cfRule type="containsText" dxfId="3496" priority="3854" operator="containsText" text="Not yet due">
      <formula>NOT(ISERROR(SEARCH("Not yet due",I50)))</formula>
    </cfRule>
    <cfRule type="containsText" dxfId="3495" priority="3855" operator="containsText" text="Update not Provided">
      <formula>NOT(ISERROR(SEARCH("Update not Provided",I50)))</formula>
    </cfRule>
  </conditionalFormatting>
  <conditionalFormatting sqref="I61">
    <cfRule type="containsText" dxfId="3494" priority="3784" operator="containsText" text="On track to be achieved">
      <formula>NOT(ISERROR(SEARCH("On track to be achieved",I61)))</formula>
    </cfRule>
    <cfRule type="containsText" dxfId="3493" priority="3785" operator="containsText" text="Deferred">
      <formula>NOT(ISERROR(SEARCH("Deferred",I61)))</formula>
    </cfRule>
    <cfRule type="containsText" dxfId="3492" priority="3786" operator="containsText" text="Deleted">
      <formula>NOT(ISERROR(SEARCH("Deleted",I61)))</formula>
    </cfRule>
    <cfRule type="containsText" dxfId="3491" priority="3787" operator="containsText" text="In Danger of Falling Behind Target">
      <formula>NOT(ISERROR(SEARCH("In Danger of Falling Behind Target",I61)))</formula>
    </cfRule>
    <cfRule type="containsText" dxfId="3490" priority="3788" operator="containsText" text="Not yet due">
      <formula>NOT(ISERROR(SEARCH("Not yet due",I61)))</formula>
    </cfRule>
    <cfRule type="containsText" dxfId="3489" priority="3789" operator="containsText" text="Update not Provided">
      <formula>NOT(ISERROR(SEARCH("Update not Provided",I61)))</formula>
    </cfRule>
    <cfRule type="containsText" dxfId="3488" priority="3790" operator="containsText" text="Not yet due">
      <formula>NOT(ISERROR(SEARCH("Not yet due",I61)))</formula>
    </cfRule>
    <cfRule type="containsText" dxfId="3487" priority="3791" operator="containsText" text="Completed Behind Schedule">
      <formula>NOT(ISERROR(SEARCH("Completed Behind Schedule",I61)))</formula>
    </cfRule>
    <cfRule type="containsText" dxfId="3486" priority="3792" operator="containsText" text="Off Target">
      <formula>NOT(ISERROR(SEARCH("Off Target",I61)))</formula>
    </cfRule>
    <cfRule type="containsText" dxfId="3485" priority="3793" operator="containsText" text="On Track to be Achieved">
      <formula>NOT(ISERROR(SEARCH("On Track to be Achieved",I61)))</formula>
    </cfRule>
    <cfRule type="containsText" dxfId="3484" priority="3794" operator="containsText" text="Fully Achieved">
      <formula>NOT(ISERROR(SEARCH("Fully Achieved",I61)))</formula>
    </cfRule>
    <cfRule type="containsText" dxfId="3483" priority="3795" operator="containsText" text="Not yet due">
      <formula>NOT(ISERROR(SEARCH("Not yet due",I61)))</formula>
    </cfRule>
    <cfRule type="containsText" dxfId="3482" priority="3796" operator="containsText" text="Not Yet Due">
      <formula>NOT(ISERROR(SEARCH("Not Yet Due",I61)))</formula>
    </cfRule>
    <cfRule type="containsText" dxfId="3481" priority="3797" operator="containsText" text="Deferred">
      <formula>NOT(ISERROR(SEARCH("Deferred",I61)))</formula>
    </cfRule>
    <cfRule type="containsText" dxfId="3480" priority="3798" operator="containsText" text="Deleted">
      <formula>NOT(ISERROR(SEARCH("Deleted",I61)))</formula>
    </cfRule>
    <cfRule type="containsText" dxfId="3479" priority="3799" operator="containsText" text="In Danger of Falling Behind Target">
      <formula>NOT(ISERROR(SEARCH("In Danger of Falling Behind Target",I61)))</formula>
    </cfRule>
    <cfRule type="containsText" dxfId="3478" priority="3800" operator="containsText" text="Not yet due">
      <formula>NOT(ISERROR(SEARCH("Not yet due",I61)))</formula>
    </cfRule>
    <cfRule type="containsText" dxfId="3477" priority="3801" operator="containsText" text="Completed Behind Schedule">
      <formula>NOT(ISERROR(SEARCH("Completed Behind Schedule",I61)))</formula>
    </cfRule>
    <cfRule type="containsText" dxfId="3476" priority="3802" operator="containsText" text="Off Target">
      <formula>NOT(ISERROR(SEARCH("Off Target",I61)))</formula>
    </cfRule>
    <cfRule type="containsText" dxfId="3475" priority="3803" operator="containsText" text="In Danger of Falling Behind Target">
      <formula>NOT(ISERROR(SEARCH("In Danger of Falling Behind Target",I61)))</formula>
    </cfRule>
    <cfRule type="containsText" dxfId="3474" priority="3804" operator="containsText" text="On Track to be Achieved">
      <formula>NOT(ISERROR(SEARCH("On Track to be Achieved",I61)))</formula>
    </cfRule>
    <cfRule type="containsText" dxfId="3473" priority="3805" operator="containsText" text="Fully Achieved">
      <formula>NOT(ISERROR(SEARCH("Fully Achieved",I61)))</formula>
    </cfRule>
    <cfRule type="containsText" dxfId="3472" priority="3806" operator="containsText" text="Update not Provided">
      <formula>NOT(ISERROR(SEARCH("Update not Provided",I61)))</formula>
    </cfRule>
    <cfRule type="containsText" dxfId="3471" priority="3807" operator="containsText" text="Not yet due">
      <formula>NOT(ISERROR(SEARCH("Not yet due",I61)))</formula>
    </cfRule>
    <cfRule type="containsText" dxfId="3470" priority="3808" operator="containsText" text="Completed Behind Schedule">
      <formula>NOT(ISERROR(SEARCH("Completed Behind Schedule",I61)))</formula>
    </cfRule>
    <cfRule type="containsText" dxfId="3469" priority="3809" operator="containsText" text="Off Target">
      <formula>NOT(ISERROR(SEARCH("Off Target",I61)))</formula>
    </cfRule>
    <cfRule type="containsText" dxfId="3468" priority="3810" operator="containsText" text="In Danger of Falling Behind Target">
      <formula>NOT(ISERROR(SEARCH("In Danger of Falling Behind Target",I61)))</formula>
    </cfRule>
    <cfRule type="containsText" dxfId="3467" priority="3811" operator="containsText" text="On Track to be Achieved">
      <formula>NOT(ISERROR(SEARCH("On Track to be Achieved",I61)))</formula>
    </cfRule>
    <cfRule type="containsText" dxfId="3466" priority="3812" operator="containsText" text="Fully Achieved">
      <formula>NOT(ISERROR(SEARCH("Fully Achieved",I61)))</formula>
    </cfRule>
    <cfRule type="containsText" dxfId="3465" priority="3813" operator="containsText" text="Fully Achieved">
      <formula>NOT(ISERROR(SEARCH("Fully Achieved",I61)))</formula>
    </cfRule>
    <cfRule type="containsText" dxfId="3464" priority="3814" operator="containsText" text="Fully Achieved">
      <formula>NOT(ISERROR(SEARCH("Fully Achieved",I61)))</formula>
    </cfRule>
    <cfRule type="containsText" dxfId="3463" priority="3815" operator="containsText" text="Deferred">
      <formula>NOT(ISERROR(SEARCH("Deferred",I61)))</formula>
    </cfRule>
    <cfRule type="containsText" dxfId="3462" priority="3816" operator="containsText" text="Deleted">
      <formula>NOT(ISERROR(SEARCH("Deleted",I61)))</formula>
    </cfRule>
    <cfRule type="containsText" dxfId="3461" priority="3817" operator="containsText" text="In Danger of Falling Behind Target">
      <formula>NOT(ISERROR(SEARCH("In Danger of Falling Behind Target",I61)))</formula>
    </cfRule>
    <cfRule type="containsText" dxfId="3460" priority="3818" operator="containsText" text="Not yet due">
      <formula>NOT(ISERROR(SEARCH("Not yet due",I61)))</formula>
    </cfRule>
    <cfRule type="containsText" dxfId="3459" priority="3819" operator="containsText" text="Update not Provided">
      <formula>NOT(ISERROR(SEARCH("Update not Provided",I61)))</formula>
    </cfRule>
  </conditionalFormatting>
  <conditionalFormatting sqref="I69:I71">
    <cfRule type="containsText" dxfId="3458" priority="3748" operator="containsText" text="On track to be achieved">
      <formula>NOT(ISERROR(SEARCH("On track to be achieved",I69)))</formula>
    </cfRule>
    <cfRule type="containsText" dxfId="3457" priority="3749" operator="containsText" text="Deferred">
      <formula>NOT(ISERROR(SEARCH("Deferred",I69)))</formula>
    </cfRule>
    <cfRule type="containsText" dxfId="3456" priority="3750" operator="containsText" text="Deleted">
      <formula>NOT(ISERROR(SEARCH("Deleted",I69)))</formula>
    </cfRule>
    <cfRule type="containsText" dxfId="3455" priority="3751" operator="containsText" text="In Danger of Falling Behind Target">
      <formula>NOT(ISERROR(SEARCH("In Danger of Falling Behind Target",I69)))</formula>
    </cfRule>
    <cfRule type="containsText" dxfId="3454" priority="3752" operator="containsText" text="Not yet due">
      <formula>NOT(ISERROR(SEARCH("Not yet due",I69)))</formula>
    </cfRule>
    <cfRule type="containsText" dxfId="3453" priority="3753" operator="containsText" text="Update not Provided">
      <formula>NOT(ISERROR(SEARCH("Update not Provided",I69)))</formula>
    </cfRule>
    <cfRule type="containsText" dxfId="3452" priority="3754" operator="containsText" text="Not yet due">
      <formula>NOT(ISERROR(SEARCH("Not yet due",I69)))</formula>
    </cfRule>
    <cfRule type="containsText" dxfId="3451" priority="3755" operator="containsText" text="Completed Behind Schedule">
      <formula>NOT(ISERROR(SEARCH("Completed Behind Schedule",I69)))</formula>
    </cfRule>
    <cfRule type="containsText" dxfId="3450" priority="3756" operator="containsText" text="Off Target">
      <formula>NOT(ISERROR(SEARCH("Off Target",I69)))</formula>
    </cfRule>
    <cfRule type="containsText" dxfId="3449" priority="3757" operator="containsText" text="On Track to be Achieved">
      <formula>NOT(ISERROR(SEARCH("On Track to be Achieved",I69)))</formula>
    </cfRule>
    <cfRule type="containsText" dxfId="3448" priority="3758" operator="containsText" text="Fully Achieved">
      <formula>NOT(ISERROR(SEARCH("Fully Achieved",I69)))</formula>
    </cfRule>
    <cfRule type="containsText" dxfId="3447" priority="3759" operator="containsText" text="Not yet due">
      <formula>NOT(ISERROR(SEARCH("Not yet due",I69)))</formula>
    </cfRule>
    <cfRule type="containsText" dxfId="3446" priority="3760" operator="containsText" text="Not Yet Due">
      <formula>NOT(ISERROR(SEARCH("Not Yet Due",I69)))</formula>
    </cfRule>
    <cfRule type="containsText" dxfId="3445" priority="3761" operator="containsText" text="Deferred">
      <formula>NOT(ISERROR(SEARCH("Deferred",I69)))</formula>
    </cfRule>
    <cfRule type="containsText" dxfId="3444" priority="3762" operator="containsText" text="Deleted">
      <formula>NOT(ISERROR(SEARCH("Deleted",I69)))</formula>
    </cfRule>
    <cfRule type="containsText" dxfId="3443" priority="3763" operator="containsText" text="In Danger of Falling Behind Target">
      <formula>NOT(ISERROR(SEARCH("In Danger of Falling Behind Target",I69)))</formula>
    </cfRule>
    <cfRule type="containsText" dxfId="3442" priority="3764" operator="containsText" text="Not yet due">
      <formula>NOT(ISERROR(SEARCH("Not yet due",I69)))</formula>
    </cfRule>
    <cfRule type="containsText" dxfId="3441" priority="3765" operator="containsText" text="Completed Behind Schedule">
      <formula>NOT(ISERROR(SEARCH("Completed Behind Schedule",I69)))</formula>
    </cfRule>
    <cfRule type="containsText" dxfId="3440" priority="3766" operator="containsText" text="Off Target">
      <formula>NOT(ISERROR(SEARCH("Off Target",I69)))</formula>
    </cfRule>
    <cfRule type="containsText" dxfId="3439" priority="3767" operator="containsText" text="In Danger of Falling Behind Target">
      <formula>NOT(ISERROR(SEARCH("In Danger of Falling Behind Target",I69)))</formula>
    </cfRule>
    <cfRule type="containsText" dxfId="3438" priority="3768" operator="containsText" text="On Track to be Achieved">
      <formula>NOT(ISERROR(SEARCH("On Track to be Achieved",I69)))</formula>
    </cfRule>
    <cfRule type="containsText" dxfId="3437" priority="3769" operator="containsText" text="Fully Achieved">
      <formula>NOT(ISERROR(SEARCH("Fully Achieved",I69)))</formula>
    </cfRule>
    <cfRule type="containsText" dxfId="3436" priority="3770" operator="containsText" text="Update not Provided">
      <formula>NOT(ISERROR(SEARCH("Update not Provided",I69)))</formula>
    </cfRule>
    <cfRule type="containsText" dxfId="3435" priority="3771" operator="containsText" text="Not yet due">
      <formula>NOT(ISERROR(SEARCH("Not yet due",I69)))</formula>
    </cfRule>
    <cfRule type="containsText" dxfId="3434" priority="3772" operator="containsText" text="Completed Behind Schedule">
      <formula>NOT(ISERROR(SEARCH("Completed Behind Schedule",I69)))</formula>
    </cfRule>
    <cfRule type="containsText" dxfId="3433" priority="3773" operator="containsText" text="Off Target">
      <formula>NOT(ISERROR(SEARCH("Off Target",I69)))</formula>
    </cfRule>
    <cfRule type="containsText" dxfId="3432" priority="3774" operator="containsText" text="In Danger of Falling Behind Target">
      <formula>NOT(ISERROR(SEARCH("In Danger of Falling Behind Target",I69)))</formula>
    </cfRule>
    <cfRule type="containsText" dxfId="3431" priority="3775" operator="containsText" text="On Track to be Achieved">
      <formula>NOT(ISERROR(SEARCH("On Track to be Achieved",I69)))</formula>
    </cfRule>
    <cfRule type="containsText" dxfId="3430" priority="3776" operator="containsText" text="Fully Achieved">
      <formula>NOT(ISERROR(SEARCH("Fully Achieved",I69)))</formula>
    </cfRule>
    <cfRule type="containsText" dxfId="3429" priority="3777" operator="containsText" text="Fully Achieved">
      <formula>NOT(ISERROR(SEARCH("Fully Achieved",I69)))</formula>
    </cfRule>
    <cfRule type="containsText" dxfId="3428" priority="3778" operator="containsText" text="Fully Achieved">
      <formula>NOT(ISERROR(SEARCH("Fully Achieved",I69)))</formula>
    </cfRule>
    <cfRule type="containsText" dxfId="3427" priority="3779" operator="containsText" text="Deferred">
      <formula>NOT(ISERROR(SEARCH("Deferred",I69)))</formula>
    </cfRule>
    <cfRule type="containsText" dxfId="3426" priority="3780" operator="containsText" text="Deleted">
      <formula>NOT(ISERROR(SEARCH("Deleted",I69)))</formula>
    </cfRule>
    <cfRule type="containsText" dxfId="3425" priority="3781" operator="containsText" text="In Danger of Falling Behind Target">
      <formula>NOT(ISERROR(SEARCH("In Danger of Falling Behind Target",I69)))</formula>
    </cfRule>
    <cfRule type="containsText" dxfId="3424" priority="3782" operator="containsText" text="Not yet due">
      <formula>NOT(ISERROR(SEARCH("Not yet due",I69)))</formula>
    </cfRule>
    <cfRule type="containsText" dxfId="3423" priority="3783" operator="containsText" text="Update not Provided">
      <formula>NOT(ISERROR(SEARCH("Update not Provided",I69)))</formula>
    </cfRule>
  </conditionalFormatting>
  <conditionalFormatting sqref="I83">
    <cfRule type="containsText" dxfId="3422" priority="3712" operator="containsText" text="On track to be achieved">
      <formula>NOT(ISERROR(SEARCH("On track to be achieved",I83)))</formula>
    </cfRule>
    <cfRule type="containsText" dxfId="3421" priority="3713" operator="containsText" text="Deferred">
      <formula>NOT(ISERROR(SEARCH("Deferred",I83)))</formula>
    </cfRule>
    <cfRule type="containsText" dxfId="3420" priority="3714" operator="containsText" text="Deleted">
      <formula>NOT(ISERROR(SEARCH("Deleted",I83)))</formula>
    </cfRule>
    <cfRule type="containsText" dxfId="3419" priority="3715" operator="containsText" text="In Danger of Falling Behind Target">
      <formula>NOT(ISERROR(SEARCH("In Danger of Falling Behind Target",I83)))</formula>
    </cfRule>
    <cfRule type="containsText" dxfId="3418" priority="3716" operator="containsText" text="Not yet due">
      <formula>NOT(ISERROR(SEARCH("Not yet due",I83)))</formula>
    </cfRule>
    <cfRule type="containsText" dxfId="3417" priority="3717" operator="containsText" text="Update not Provided">
      <formula>NOT(ISERROR(SEARCH("Update not Provided",I83)))</formula>
    </cfRule>
    <cfRule type="containsText" dxfId="3416" priority="3718" operator="containsText" text="Not yet due">
      <formula>NOT(ISERROR(SEARCH("Not yet due",I83)))</formula>
    </cfRule>
    <cfRule type="containsText" dxfId="3415" priority="3719" operator="containsText" text="Completed Behind Schedule">
      <formula>NOT(ISERROR(SEARCH("Completed Behind Schedule",I83)))</formula>
    </cfRule>
    <cfRule type="containsText" dxfId="3414" priority="3720" operator="containsText" text="Off Target">
      <formula>NOT(ISERROR(SEARCH("Off Target",I83)))</formula>
    </cfRule>
    <cfRule type="containsText" dxfId="3413" priority="3721" operator="containsText" text="On Track to be Achieved">
      <formula>NOT(ISERROR(SEARCH("On Track to be Achieved",I83)))</formula>
    </cfRule>
    <cfRule type="containsText" dxfId="3412" priority="3722" operator="containsText" text="Fully Achieved">
      <formula>NOT(ISERROR(SEARCH("Fully Achieved",I83)))</formula>
    </cfRule>
    <cfRule type="containsText" dxfId="3411" priority="3723" operator="containsText" text="Not yet due">
      <formula>NOT(ISERROR(SEARCH("Not yet due",I83)))</formula>
    </cfRule>
    <cfRule type="containsText" dxfId="3410" priority="3724" operator="containsText" text="Not Yet Due">
      <formula>NOT(ISERROR(SEARCH("Not Yet Due",I83)))</formula>
    </cfRule>
    <cfRule type="containsText" dxfId="3409" priority="3725" operator="containsText" text="Deferred">
      <formula>NOT(ISERROR(SEARCH("Deferred",I83)))</formula>
    </cfRule>
    <cfRule type="containsText" dxfId="3408" priority="3726" operator="containsText" text="Deleted">
      <formula>NOT(ISERROR(SEARCH("Deleted",I83)))</formula>
    </cfRule>
    <cfRule type="containsText" dxfId="3407" priority="3727" operator="containsText" text="In Danger of Falling Behind Target">
      <formula>NOT(ISERROR(SEARCH("In Danger of Falling Behind Target",I83)))</formula>
    </cfRule>
    <cfRule type="containsText" dxfId="3406" priority="3728" operator="containsText" text="Not yet due">
      <formula>NOT(ISERROR(SEARCH("Not yet due",I83)))</formula>
    </cfRule>
    <cfRule type="containsText" dxfId="3405" priority="3729" operator="containsText" text="Completed Behind Schedule">
      <formula>NOT(ISERROR(SEARCH("Completed Behind Schedule",I83)))</formula>
    </cfRule>
    <cfRule type="containsText" dxfId="3404" priority="3730" operator="containsText" text="Off Target">
      <formula>NOT(ISERROR(SEARCH("Off Target",I83)))</formula>
    </cfRule>
    <cfRule type="containsText" dxfId="3403" priority="3731" operator="containsText" text="In Danger of Falling Behind Target">
      <formula>NOT(ISERROR(SEARCH("In Danger of Falling Behind Target",I83)))</formula>
    </cfRule>
    <cfRule type="containsText" dxfId="3402" priority="3732" operator="containsText" text="On Track to be Achieved">
      <formula>NOT(ISERROR(SEARCH("On Track to be Achieved",I83)))</formula>
    </cfRule>
    <cfRule type="containsText" dxfId="3401" priority="3733" operator="containsText" text="Fully Achieved">
      <formula>NOT(ISERROR(SEARCH("Fully Achieved",I83)))</formula>
    </cfRule>
    <cfRule type="containsText" dxfId="3400" priority="3734" operator="containsText" text="Update not Provided">
      <formula>NOT(ISERROR(SEARCH("Update not Provided",I83)))</formula>
    </cfRule>
    <cfRule type="containsText" dxfId="3399" priority="3735" operator="containsText" text="Not yet due">
      <formula>NOT(ISERROR(SEARCH("Not yet due",I83)))</formula>
    </cfRule>
    <cfRule type="containsText" dxfId="3398" priority="3736" operator="containsText" text="Completed Behind Schedule">
      <formula>NOT(ISERROR(SEARCH("Completed Behind Schedule",I83)))</formula>
    </cfRule>
    <cfRule type="containsText" dxfId="3397" priority="3737" operator="containsText" text="Off Target">
      <formula>NOT(ISERROR(SEARCH("Off Target",I83)))</formula>
    </cfRule>
    <cfRule type="containsText" dxfId="3396" priority="3738" operator="containsText" text="In Danger of Falling Behind Target">
      <formula>NOT(ISERROR(SEARCH("In Danger of Falling Behind Target",I83)))</formula>
    </cfRule>
    <cfRule type="containsText" dxfId="3395" priority="3739" operator="containsText" text="On Track to be Achieved">
      <formula>NOT(ISERROR(SEARCH("On Track to be Achieved",I83)))</formula>
    </cfRule>
    <cfRule type="containsText" dxfId="3394" priority="3740" operator="containsText" text="Fully Achieved">
      <formula>NOT(ISERROR(SEARCH("Fully Achieved",I83)))</formula>
    </cfRule>
    <cfRule type="containsText" dxfId="3393" priority="3741" operator="containsText" text="Fully Achieved">
      <formula>NOT(ISERROR(SEARCH("Fully Achieved",I83)))</formula>
    </cfRule>
    <cfRule type="containsText" dxfId="3392" priority="3742" operator="containsText" text="Fully Achieved">
      <formula>NOT(ISERROR(SEARCH("Fully Achieved",I83)))</formula>
    </cfRule>
    <cfRule type="containsText" dxfId="3391" priority="3743" operator="containsText" text="Deferred">
      <formula>NOT(ISERROR(SEARCH("Deferred",I83)))</formula>
    </cfRule>
    <cfRule type="containsText" dxfId="3390" priority="3744" operator="containsText" text="Deleted">
      <formula>NOT(ISERROR(SEARCH("Deleted",I83)))</formula>
    </cfRule>
    <cfRule type="containsText" dxfId="3389" priority="3745" operator="containsText" text="In Danger of Falling Behind Target">
      <formula>NOT(ISERROR(SEARCH("In Danger of Falling Behind Target",I83)))</formula>
    </cfRule>
    <cfRule type="containsText" dxfId="3388" priority="3746" operator="containsText" text="Not yet due">
      <formula>NOT(ISERROR(SEARCH("Not yet due",I83)))</formula>
    </cfRule>
    <cfRule type="containsText" dxfId="3387" priority="3747" operator="containsText" text="Update not Provided">
      <formula>NOT(ISERROR(SEARCH("Update not Provided",I83)))</formula>
    </cfRule>
  </conditionalFormatting>
  <conditionalFormatting sqref="G3:G25 G27:G28">
    <cfRule type="containsText" dxfId="3386" priority="3676" operator="containsText" text="On track to be achieved">
      <formula>NOT(ISERROR(SEARCH("On track to be achieved",G3)))</formula>
    </cfRule>
    <cfRule type="containsText" dxfId="3385" priority="3677" operator="containsText" text="Deferred">
      <formula>NOT(ISERROR(SEARCH("Deferred",G3)))</formula>
    </cfRule>
    <cfRule type="containsText" dxfId="3384" priority="3678" operator="containsText" text="Deleted">
      <formula>NOT(ISERROR(SEARCH("Deleted",G3)))</formula>
    </cfRule>
    <cfRule type="containsText" dxfId="3383" priority="3679" operator="containsText" text="In Danger of Falling Behind Target">
      <formula>NOT(ISERROR(SEARCH("In Danger of Falling Behind Target",G3)))</formula>
    </cfRule>
    <cfRule type="containsText" dxfId="3382" priority="3680" operator="containsText" text="Not yet due">
      <formula>NOT(ISERROR(SEARCH("Not yet due",G3)))</formula>
    </cfRule>
    <cfRule type="containsText" dxfId="3381" priority="3681" operator="containsText" text="Update not Provided">
      <formula>NOT(ISERROR(SEARCH("Update not Provided",G3)))</formula>
    </cfRule>
    <cfRule type="containsText" dxfId="3380" priority="3682" operator="containsText" text="Not yet due">
      <formula>NOT(ISERROR(SEARCH("Not yet due",G3)))</formula>
    </cfRule>
    <cfRule type="containsText" dxfId="3379" priority="3683" operator="containsText" text="Completed Behind Schedule">
      <formula>NOT(ISERROR(SEARCH("Completed Behind Schedule",G3)))</formula>
    </cfRule>
    <cfRule type="containsText" dxfId="3378" priority="3684" operator="containsText" text="Off Target">
      <formula>NOT(ISERROR(SEARCH("Off Target",G3)))</formula>
    </cfRule>
    <cfRule type="containsText" dxfId="3377" priority="3685" operator="containsText" text="On Track to be Achieved">
      <formula>NOT(ISERROR(SEARCH("On Track to be Achieved",G3)))</formula>
    </cfRule>
    <cfRule type="containsText" dxfId="3376" priority="3686" operator="containsText" text="Fully Achieved">
      <formula>NOT(ISERROR(SEARCH("Fully Achieved",G3)))</formula>
    </cfRule>
    <cfRule type="containsText" dxfId="3375" priority="3687" operator="containsText" text="Not yet due">
      <formula>NOT(ISERROR(SEARCH("Not yet due",G3)))</formula>
    </cfRule>
    <cfRule type="containsText" dxfId="3374" priority="3688" operator="containsText" text="Not Yet Due">
      <formula>NOT(ISERROR(SEARCH("Not Yet Due",G3)))</formula>
    </cfRule>
    <cfRule type="containsText" dxfId="3373" priority="3689" operator="containsText" text="Deferred">
      <formula>NOT(ISERROR(SEARCH("Deferred",G3)))</formula>
    </cfRule>
    <cfRule type="containsText" dxfId="3372" priority="3690" operator="containsText" text="Deleted">
      <formula>NOT(ISERROR(SEARCH("Deleted",G3)))</formula>
    </cfRule>
    <cfRule type="containsText" dxfId="3371" priority="3691" operator="containsText" text="In Danger of Falling Behind Target">
      <formula>NOT(ISERROR(SEARCH("In Danger of Falling Behind Target",G3)))</formula>
    </cfRule>
    <cfRule type="containsText" dxfId="3370" priority="3692" operator="containsText" text="Not yet due">
      <formula>NOT(ISERROR(SEARCH("Not yet due",G3)))</formula>
    </cfRule>
    <cfRule type="containsText" dxfId="3369" priority="3693" operator="containsText" text="Completed Behind Schedule">
      <formula>NOT(ISERROR(SEARCH("Completed Behind Schedule",G3)))</formula>
    </cfRule>
    <cfRule type="containsText" dxfId="3368" priority="3694" operator="containsText" text="Off Target">
      <formula>NOT(ISERROR(SEARCH("Off Target",G3)))</formula>
    </cfRule>
    <cfRule type="containsText" dxfId="3367" priority="3695" operator="containsText" text="In Danger of Falling Behind Target">
      <formula>NOT(ISERROR(SEARCH("In Danger of Falling Behind Target",G3)))</formula>
    </cfRule>
    <cfRule type="containsText" dxfId="3366" priority="3696" operator="containsText" text="On Track to be Achieved">
      <formula>NOT(ISERROR(SEARCH("On Track to be Achieved",G3)))</formula>
    </cfRule>
    <cfRule type="containsText" dxfId="3365" priority="3697" operator="containsText" text="Fully Achieved">
      <formula>NOT(ISERROR(SEARCH("Fully Achieved",G3)))</formula>
    </cfRule>
    <cfRule type="containsText" dxfId="3364" priority="3698" operator="containsText" text="Update not Provided">
      <formula>NOT(ISERROR(SEARCH("Update not Provided",G3)))</formula>
    </cfRule>
    <cfRule type="containsText" dxfId="3363" priority="3699" operator="containsText" text="Not yet due">
      <formula>NOT(ISERROR(SEARCH("Not yet due",G3)))</formula>
    </cfRule>
    <cfRule type="containsText" dxfId="3362" priority="3700" operator="containsText" text="Completed Behind Schedule">
      <formula>NOT(ISERROR(SEARCH("Completed Behind Schedule",G3)))</formula>
    </cfRule>
    <cfRule type="containsText" dxfId="3361" priority="3701" operator="containsText" text="Off Target">
      <formula>NOT(ISERROR(SEARCH("Off Target",G3)))</formula>
    </cfRule>
    <cfRule type="containsText" dxfId="3360" priority="3702" operator="containsText" text="In Danger of Falling Behind Target">
      <formula>NOT(ISERROR(SEARCH("In Danger of Falling Behind Target",G3)))</formula>
    </cfRule>
    <cfRule type="containsText" dxfId="3359" priority="3703" operator="containsText" text="On Track to be Achieved">
      <formula>NOT(ISERROR(SEARCH("On Track to be Achieved",G3)))</formula>
    </cfRule>
    <cfRule type="containsText" dxfId="3358" priority="3704" operator="containsText" text="Fully Achieved">
      <formula>NOT(ISERROR(SEARCH("Fully Achieved",G3)))</formula>
    </cfRule>
    <cfRule type="containsText" dxfId="3357" priority="3705" operator="containsText" text="Fully Achieved">
      <formula>NOT(ISERROR(SEARCH("Fully Achieved",G3)))</formula>
    </cfRule>
    <cfRule type="containsText" dxfId="3356" priority="3706" operator="containsText" text="Fully Achieved">
      <formula>NOT(ISERROR(SEARCH("Fully Achieved",G3)))</formula>
    </cfRule>
    <cfRule type="containsText" dxfId="3355" priority="3707" operator="containsText" text="Deferred">
      <formula>NOT(ISERROR(SEARCH("Deferred",G3)))</formula>
    </cfRule>
    <cfRule type="containsText" dxfId="3354" priority="3708" operator="containsText" text="Deleted">
      <formula>NOT(ISERROR(SEARCH("Deleted",G3)))</formula>
    </cfRule>
    <cfRule type="containsText" dxfId="3353" priority="3709" operator="containsText" text="In Danger of Falling Behind Target">
      <formula>NOT(ISERROR(SEARCH("In Danger of Falling Behind Target",G3)))</formula>
    </cfRule>
    <cfRule type="containsText" dxfId="3352" priority="3710" operator="containsText" text="Not yet due">
      <formula>NOT(ISERROR(SEARCH("Not yet due",G3)))</formula>
    </cfRule>
    <cfRule type="containsText" dxfId="3351" priority="3711" operator="containsText" text="Update not Provided">
      <formula>NOT(ISERROR(SEARCH("Update not Provided",G3)))</formula>
    </cfRule>
  </conditionalFormatting>
  <conditionalFormatting sqref="G29">
    <cfRule type="containsText" dxfId="3350" priority="3640" operator="containsText" text="On track to be achieved">
      <formula>NOT(ISERROR(SEARCH("On track to be achieved",G29)))</formula>
    </cfRule>
    <cfRule type="containsText" dxfId="3349" priority="3641" operator="containsText" text="Deferred">
      <formula>NOT(ISERROR(SEARCH("Deferred",G29)))</formula>
    </cfRule>
    <cfRule type="containsText" dxfId="3348" priority="3642" operator="containsText" text="Deleted">
      <formula>NOT(ISERROR(SEARCH("Deleted",G29)))</formula>
    </cfRule>
    <cfRule type="containsText" dxfId="3347" priority="3643" operator="containsText" text="In Danger of Falling Behind Target">
      <formula>NOT(ISERROR(SEARCH("In Danger of Falling Behind Target",G29)))</formula>
    </cfRule>
    <cfRule type="containsText" dxfId="3346" priority="3644" operator="containsText" text="Not yet due">
      <formula>NOT(ISERROR(SEARCH("Not yet due",G29)))</formula>
    </cfRule>
    <cfRule type="containsText" dxfId="3345" priority="3645" operator="containsText" text="Update not Provided">
      <formula>NOT(ISERROR(SEARCH("Update not Provided",G29)))</formula>
    </cfRule>
    <cfRule type="containsText" dxfId="3344" priority="3646" operator="containsText" text="Not yet due">
      <formula>NOT(ISERROR(SEARCH("Not yet due",G29)))</formula>
    </cfRule>
    <cfRule type="containsText" dxfId="3343" priority="3647" operator="containsText" text="Completed Behind Schedule">
      <formula>NOT(ISERROR(SEARCH("Completed Behind Schedule",G29)))</formula>
    </cfRule>
    <cfRule type="containsText" dxfId="3342" priority="3648" operator="containsText" text="Off Target">
      <formula>NOT(ISERROR(SEARCH("Off Target",G29)))</formula>
    </cfRule>
    <cfRule type="containsText" dxfId="3341" priority="3649" operator="containsText" text="On Track to be Achieved">
      <formula>NOT(ISERROR(SEARCH("On Track to be Achieved",G29)))</formula>
    </cfRule>
    <cfRule type="containsText" dxfId="3340" priority="3650" operator="containsText" text="Fully Achieved">
      <formula>NOT(ISERROR(SEARCH("Fully Achieved",G29)))</formula>
    </cfRule>
    <cfRule type="containsText" dxfId="3339" priority="3651" operator="containsText" text="Not yet due">
      <formula>NOT(ISERROR(SEARCH("Not yet due",G29)))</formula>
    </cfRule>
    <cfRule type="containsText" dxfId="3338" priority="3652" operator="containsText" text="Not Yet Due">
      <formula>NOT(ISERROR(SEARCH("Not Yet Due",G29)))</formula>
    </cfRule>
    <cfRule type="containsText" dxfId="3337" priority="3653" operator="containsText" text="Deferred">
      <formula>NOT(ISERROR(SEARCH("Deferred",G29)))</formula>
    </cfRule>
    <cfRule type="containsText" dxfId="3336" priority="3654" operator="containsText" text="Deleted">
      <formula>NOT(ISERROR(SEARCH("Deleted",G29)))</formula>
    </cfRule>
    <cfRule type="containsText" dxfId="3335" priority="3655" operator="containsText" text="In Danger of Falling Behind Target">
      <formula>NOT(ISERROR(SEARCH("In Danger of Falling Behind Target",G29)))</formula>
    </cfRule>
    <cfRule type="containsText" dxfId="3334" priority="3656" operator="containsText" text="Not yet due">
      <formula>NOT(ISERROR(SEARCH("Not yet due",G29)))</formula>
    </cfRule>
    <cfRule type="containsText" dxfId="3333" priority="3657" operator="containsText" text="Completed Behind Schedule">
      <formula>NOT(ISERROR(SEARCH("Completed Behind Schedule",G29)))</formula>
    </cfRule>
    <cfRule type="containsText" dxfId="3332" priority="3658" operator="containsText" text="Off Target">
      <formula>NOT(ISERROR(SEARCH("Off Target",G29)))</formula>
    </cfRule>
    <cfRule type="containsText" dxfId="3331" priority="3659" operator="containsText" text="In Danger of Falling Behind Target">
      <formula>NOT(ISERROR(SEARCH("In Danger of Falling Behind Target",G29)))</formula>
    </cfRule>
    <cfRule type="containsText" dxfId="3330" priority="3660" operator="containsText" text="On Track to be Achieved">
      <formula>NOT(ISERROR(SEARCH("On Track to be Achieved",G29)))</formula>
    </cfRule>
    <cfRule type="containsText" dxfId="3329" priority="3661" operator="containsText" text="Fully Achieved">
      <formula>NOT(ISERROR(SEARCH("Fully Achieved",G29)))</formula>
    </cfRule>
    <cfRule type="containsText" dxfId="3328" priority="3662" operator="containsText" text="Update not Provided">
      <formula>NOT(ISERROR(SEARCH("Update not Provided",G29)))</formula>
    </cfRule>
    <cfRule type="containsText" dxfId="3327" priority="3663" operator="containsText" text="Not yet due">
      <formula>NOT(ISERROR(SEARCH("Not yet due",G29)))</formula>
    </cfRule>
    <cfRule type="containsText" dxfId="3326" priority="3664" operator="containsText" text="Completed Behind Schedule">
      <formula>NOT(ISERROR(SEARCH("Completed Behind Schedule",G29)))</formula>
    </cfRule>
    <cfRule type="containsText" dxfId="3325" priority="3665" operator="containsText" text="Off Target">
      <formula>NOT(ISERROR(SEARCH("Off Target",G29)))</formula>
    </cfRule>
    <cfRule type="containsText" dxfId="3324" priority="3666" operator="containsText" text="In Danger of Falling Behind Target">
      <formula>NOT(ISERROR(SEARCH("In Danger of Falling Behind Target",G29)))</formula>
    </cfRule>
    <cfRule type="containsText" dxfId="3323" priority="3667" operator="containsText" text="On Track to be Achieved">
      <formula>NOT(ISERROR(SEARCH("On Track to be Achieved",G29)))</formula>
    </cfRule>
    <cfRule type="containsText" dxfId="3322" priority="3668" operator="containsText" text="Fully Achieved">
      <formula>NOT(ISERROR(SEARCH("Fully Achieved",G29)))</formula>
    </cfRule>
    <cfRule type="containsText" dxfId="3321" priority="3669" operator="containsText" text="Fully Achieved">
      <formula>NOT(ISERROR(SEARCH("Fully Achieved",G29)))</formula>
    </cfRule>
    <cfRule type="containsText" dxfId="3320" priority="3670" operator="containsText" text="Fully Achieved">
      <formula>NOT(ISERROR(SEARCH("Fully Achieved",G29)))</formula>
    </cfRule>
    <cfRule type="containsText" dxfId="3319" priority="3671" operator="containsText" text="Deferred">
      <formula>NOT(ISERROR(SEARCH("Deferred",G29)))</formula>
    </cfRule>
    <cfRule type="containsText" dxfId="3318" priority="3672" operator="containsText" text="Deleted">
      <formula>NOT(ISERROR(SEARCH("Deleted",G29)))</formula>
    </cfRule>
    <cfRule type="containsText" dxfId="3317" priority="3673" operator="containsText" text="In Danger of Falling Behind Target">
      <formula>NOT(ISERROR(SEARCH("In Danger of Falling Behind Target",G29)))</formula>
    </cfRule>
    <cfRule type="containsText" dxfId="3316" priority="3674" operator="containsText" text="Not yet due">
      <formula>NOT(ISERROR(SEARCH("Not yet due",G29)))</formula>
    </cfRule>
    <cfRule type="containsText" dxfId="3315" priority="3675" operator="containsText" text="Update not Provided">
      <formula>NOT(ISERROR(SEARCH("Update not Provided",G29)))</formula>
    </cfRule>
  </conditionalFormatting>
  <conditionalFormatting sqref="G30:G37">
    <cfRule type="containsText" dxfId="3314" priority="3604" operator="containsText" text="On track to be achieved">
      <formula>NOT(ISERROR(SEARCH("On track to be achieved",G30)))</formula>
    </cfRule>
    <cfRule type="containsText" dxfId="3313" priority="3605" operator="containsText" text="Deferred">
      <formula>NOT(ISERROR(SEARCH("Deferred",G30)))</formula>
    </cfRule>
    <cfRule type="containsText" dxfId="3312" priority="3606" operator="containsText" text="Deleted">
      <formula>NOT(ISERROR(SEARCH("Deleted",G30)))</formula>
    </cfRule>
    <cfRule type="containsText" dxfId="3311" priority="3607" operator="containsText" text="In Danger of Falling Behind Target">
      <formula>NOT(ISERROR(SEARCH("In Danger of Falling Behind Target",G30)))</formula>
    </cfRule>
    <cfRule type="containsText" dxfId="3310" priority="3608" operator="containsText" text="Not yet due">
      <formula>NOT(ISERROR(SEARCH("Not yet due",G30)))</formula>
    </cfRule>
    <cfRule type="containsText" dxfId="3309" priority="3609" operator="containsText" text="Update not Provided">
      <formula>NOT(ISERROR(SEARCH("Update not Provided",G30)))</formula>
    </cfRule>
    <cfRule type="containsText" dxfId="3308" priority="3610" operator="containsText" text="Not yet due">
      <formula>NOT(ISERROR(SEARCH("Not yet due",G30)))</formula>
    </cfRule>
    <cfRule type="containsText" dxfId="3307" priority="3611" operator="containsText" text="Completed Behind Schedule">
      <formula>NOT(ISERROR(SEARCH("Completed Behind Schedule",G30)))</formula>
    </cfRule>
    <cfRule type="containsText" dxfId="3306" priority="3612" operator="containsText" text="Off Target">
      <formula>NOT(ISERROR(SEARCH("Off Target",G30)))</formula>
    </cfRule>
    <cfRule type="containsText" dxfId="3305" priority="3613" operator="containsText" text="On Track to be Achieved">
      <formula>NOT(ISERROR(SEARCH("On Track to be Achieved",G30)))</formula>
    </cfRule>
    <cfRule type="containsText" dxfId="3304" priority="3614" operator="containsText" text="Fully Achieved">
      <formula>NOT(ISERROR(SEARCH("Fully Achieved",G30)))</formula>
    </cfRule>
    <cfRule type="containsText" dxfId="3303" priority="3615" operator="containsText" text="Not yet due">
      <formula>NOT(ISERROR(SEARCH("Not yet due",G30)))</formula>
    </cfRule>
    <cfRule type="containsText" dxfId="3302" priority="3616" operator="containsText" text="Not Yet Due">
      <formula>NOT(ISERROR(SEARCH("Not Yet Due",G30)))</formula>
    </cfRule>
    <cfRule type="containsText" dxfId="3301" priority="3617" operator="containsText" text="Deferred">
      <formula>NOT(ISERROR(SEARCH("Deferred",G30)))</formula>
    </cfRule>
    <cfRule type="containsText" dxfId="3300" priority="3618" operator="containsText" text="Deleted">
      <formula>NOT(ISERROR(SEARCH("Deleted",G30)))</formula>
    </cfRule>
    <cfRule type="containsText" dxfId="3299" priority="3619" operator="containsText" text="In Danger of Falling Behind Target">
      <formula>NOT(ISERROR(SEARCH("In Danger of Falling Behind Target",G30)))</formula>
    </cfRule>
    <cfRule type="containsText" dxfId="3298" priority="3620" operator="containsText" text="Not yet due">
      <formula>NOT(ISERROR(SEARCH("Not yet due",G30)))</formula>
    </cfRule>
    <cfRule type="containsText" dxfId="3297" priority="3621" operator="containsText" text="Completed Behind Schedule">
      <formula>NOT(ISERROR(SEARCH("Completed Behind Schedule",G30)))</formula>
    </cfRule>
    <cfRule type="containsText" dxfId="3296" priority="3622" operator="containsText" text="Off Target">
      <formula>NOT(ISERROR(SEARCH("Off Target",G30)))</formula>
    </cfRule>
    <cfRule type="containsText" dxfId="3295" priority="3623" operator="containsText" text="In Danger of Falling Behind Target">
      <formula>NOT(ISERROR(SEARCH("In Danger of Falling Behind Target",G30)))</formula>
    </cfRule>
    <cfRule type="containsText" dxfId="3294" priority="3624" operator="containsText" text="On Track to be Achieved">
      <formula>NOT(ISERROR(SEARCH("On Track to be Achieved",G30)))</formula>
    </cfRule>
    <cfRule type="containsText" dxfId="3293" priority="3625" operator="containsText" text="Fully Achieved">
      <formula>NOT(ISERROR(SEARCH("Fully Achieved",G30)))</formula>
    </cfRule>
    <cfRule type="containsText" dxfId="3292" priority="3626" operator="containsText" text="Update not Provided">
      <formula>NOT(ISERROR(SEARCH("Update not Provided",G30)))</formula>
    </cfRule>
    <cfRule type="containsText" dxfId="3291" priority="3627" operator="containsText" text="Not yet due">
      <formula>NOT(ISERROR(SEARCH("Not yet due",G30)))</formula>
    </cfRule>
    <cfRule type="containsText" dxfId="3290" priority="3628" operator="containsText" text="Completed Behind Schedule">
      <formula>NOT(ISERROR(SEARCH("Completed Behind Schedule",G30)))</formula>
    </cfRule>
    <cfRule type="containsText" dxfId="3289" priority="3629" operator="containsText" text="Off Target">
      <formula>NOT(ISERROR(SEARCH("Off Target",G30)))</formula>
    </cfRule>
    <cfRule type="containsText" dxfId="3288" priority="3630" operator="containsText" text="In Danger of Falling Behind Target">
      <formula>NOT(ISERROR(SEARCH("In Danger of Falling Behind Target",G30)))</formula>
    </cfRule>
    <cfRule type="containsText" dxfId="3287" priority="3631" operator="containsText" text="On Track to be Achieved">
      <formula>NOT(ISERROR(SEARCH("On Track to be Achieved",G30)))</formula>
    </cfRule>
    <cfRule type="containsText" dxfId="3286" priority="3632" operator="containsText" text="Fully Achieved">
      <formula>NOT(ISERROR(SEARCH("Fully Achieved",G30)))</formula>
    </cfRule>
    <cfRule type="containsText" dxfId="3285" priority="3633" operator="containsText" text="Fully Achieved">
      <formula>NOT(ISERROR(SEARCH("Fully Achieved",G30)))</formula>
    </cfRule>
    <cfRule type="containsText" dxfId="3284" priority="3634" operator="containsText" text="Fully Achieved">
      <formula>NOT(ISERROR(SEARCH("Fully Achieved",G30)))</formula>
    </cfRule>
    <cfRule type="containsText" dxfId="3283" priority="3635" operator="containsText" text="Deferred">
      <formula>NOT(ISERROR(SEARCH("Deferred",G30)))</formula>
    </cfRule>
    <cfRule type="containsText" dxfId="3282" priority="3636" operator="containsText" text="Deleted">
      <formula>NOT(ISERROR(SEARCH("Deleted",G30)))</formula>
    </cfRule>
    <cfRule type="containsText" dxfId="3281" priority="3637" operator="containsText" text="In Danger of Falling Behind Target">
      <formula>NOT(ISERROR(SEARCH("In Danger of Falling Behind Target",G30)))</formula>
    </cfRule>
    <cfRule type="containsText" dxfId="3280" priority="3638" operator="containsText" text="Not yet due">
      <formula>NOT(ISERROR(SEARCH("Not yet due",G30)))</formula>
    </cfRule>
    <cfRule type="containsText" dxfId="3279" priority="3639" operator="containsText" text="Update not Provided">
      <formula>NOT(ISERROR(SEARCH("Update not Provided",G30)))</formula>
    </cfRule>
  </conditionalFormatting>
  <conditionalFormatting sqref="G38:G39">
    <cfRule type="containsText" dxfId="3278" priority="3568" operator="containsText" text="On track to be achieved">
      <formula>NOT(ISERROR(SEARCH("On track to be achieved",G38)))</formula>
    </cfRule>
    <cfRule type="containsText" dxfId="3277" priority="3569" operator="containsText" text="Deferred">
      <formula>NOT(ISERROR(SEARCH("Deferred",G38)))</formula>
    </cfRule>
    <cfRule type="containsText" dxfId="3276" priority="3570" operator="containsText" text="Deleted">
      <formula>NOT(ISERROR(SEARCH("Deleted",G38)))</formula>
    </cfRule>
    <cfRule type="containsText" dxfId="3275" priority="3571" operator="containsText" text="In Danger of Falling Behind Target">
      <formula>NOT(ISERROR(SEARCH("In Danger of Falling Behind Target",G38)))</formula>
    </cfRule>
    <cfRule type="containsText" dxfId="3274" priority="3572" operator="containsText" text="Not yet due">
      <formula>NOT(ISERROR(SEARCH("Not yet due",G38)))</formula>
    </cfRule>
    <cfRule type="containsText" dxfId="3273" priority="3573" operator="containsText" text="Update not Provided">
      <formula>NOT(ISERROR(SEARCH("Update not Provided",G38)))</formula>
    </cfRule>
    <cfRule type="containsText" dxfId="3272" priority="3574" operator="containsText" text="Not yet due">
      <formula>NOT(ISERROR(SEARCH("Not yet due",G38)))</formula>
    </cfRule>
    <cfRule type="containsText" dxfId="3271" priority="3575" operator="containsText" text="Completed Behind Schedule">
      <formula>NOT(ISERROR(SEARCH("Completed Behind Schedule",G38)))</formula>
    </cfRule>
    <cfRule type="containsText" dxfId="3270" priority="3576" operator="containsText" text="Off Target">
      <formula>NOT(ISERROR(SEARCH("Off Target",G38)))</formula>
    </cfRule>
    <cfRule type="containsText" dxfId="3269" priority="3577" operator="containsText" text="On Track to be Achieved">
      <formula>NOT(ISERROR(SEARCH("On Track to be Achieved",G38)))</formula>
    </cfRule>
    <cfRule type="containsText" dxfId="3268" priority="3578" operator="containsText" text="Fully Achieved">
      <formula>NOT(ISERROR(SEARCH("Fully Achieved",G38)))</formula>
    </cfRule>
    <cfRule type="containsText" dxfId="3267" priority="3579" operator="containsText" text="Not yet due">
      <formula>NOT(ISERROR(SEARCH("Not yet due",G38)))</formula>
    </cfRule>
    <cfRule type="containsText" dxfId="3266" priority="3580" operator="containsText" text="Not Yet Due">
      <formula>NOT(ISERROR(SEARCH("Not Yet Due",G38)))</formula>
    </cfRule>
    <cfRule type="containsText" dxfId="3265" priority="3581" operator="containsText" text="Deferred">
      <formula>NOT(ISERROR(SEARCH("Deferred",G38)))</formula>
    </cfRule>
    <cfRule type="containsText" dxfId="3264" priority="3582" operator="containsText" text="Deleted">
      <formula>NOT(ISERROR(SEARCH("Deleted",G38)))</formula>
    </cfRule>
    <cfRule type="containsText" dxfId="3263" priority="3583" operator="containsText" text="In Danger of Falling Behind Target">
      <formula>NOT(ISERROR(SEARCH("In Danger of Falling Behind Target",G38)))</formula>
    </cfRule>
    <cfRule type="containsText" dxfId="3262" priority="3584" operator="containsText" text="Not yet due">
      <formula>NOT(ISERROR(SEARCH("Not yet due",G38)))</formula>
    </cfRule>
    <cfRule type="containsText" dxfId="3261" priority="3585" operator="containsText" text="Completed Behind Schedule">
      <formula>NOT(ISERROR(SEARCH("Completed Behind Schedule",G38)))</formula>
    </cfRule>
    <cfRule type="containsText" dxfId="3260" priority="3586" operator="containsText" text="Off Target">
      <formula>NOT(ISERROR(SEARCH("Off Target",G38)))</formula>
    </cfRule>
    <cfRule type="containsText" dxfId="3259" priority="3587" operator="containsText" text="In Danger of Falling Behind Target">
      <formula>NOT(ISERROR(SEARCH("In Danger of Falling Behind Target",G38)))</formula>
    </cfRule>
    <cfRule type="containsText" dxfId="3258" priority="3588" operator="containsText" text="On Track to be Achieved">
      <formula>NOT(ISERROR(SEARCH("On Track to be Achieved",G38)))</formula>
    </cfRule>
    <cfRule type="containsText" dxfId="3257" priority="3589" operator="containsText" text="Fully Achieved">
      <formula>NOT(ISERROR(SEARCH("Fully Achieved",G38)))</formula>
    </cfRule>
    <cfRule type="containsText" dxfId="3256" priority="3590" operator="containsText" text="Update not Provided">
      <formula>NOT(ISERROR(SEARCH("Update not Provided",G38)))</formula>
    </cfRule>
    <cfRule type="containsText" dxfId="3255" priority="3591" operator="containsText" text="Not yet due">
      <formula>NOT(ISERROR(SEARCH("Not yet due",G38)))</formula>
    </cfRule>
    <cfRule type="containsText" dxfId="3254" priority="3592" operator="containsText" text="Completed Behind Schedule">
      <formula>NOT(ISERROR(SEARCH("Completed Behind Schedule",G38)))</formula>
    </cfRule>
    <cfRule type="containsText" dxfId="3253" priority="3593" operator="containsText" text="Off Target">
      <formula>NOT(ISERROR(SEARCH("Off Target",G38)))</formula>
    </cfRule>
    <cfRule type="containsText" dxfId="3252" priority="3594" operator="containsText" text="In Danger of Falling Behind Target">
      <formula>NOT(ISERROR(SEARCH("In Danger of Falling Behind Target",G38)))</formula>
    </cfRule>
    <cfRule type="containsText" dxfId="3251" priority="3595" operator="containsText" text="On Track to be Achieved">
      <formula>NOT(ISERROR(SEARCH("On Track to be Achieved",G38)))</formula>
    </cfRule>
    <cfRule type="containsText" dxfId="3250" priority="3596" operator="containsText" text="Fully Achieved">
      <formula>NOT(ISERROR(SEARCH("Fully Achieved",G38)))</formula>
    </cfRule>
    <cfRule type="containsText" dxfId="3249" priority="3597" operator="containsText" text="Fully Achieved">
      <formula>NOT(ISERROR(SEARCH("Fully Achieved",G38)))</formula>
    </cfRule>
    <cfRule type="containsText" dxfId="3248" priority="3598" operator="containsText" text="Fully Achieved">
      <formula>NOT(ISERROR(SEARCH("Fully Achieved",G38)))</formula>
    </cfRule>
    <cfRule type="containsText" dxfId="3247" priority="3599" operator="containsText" text="Deferred">
      <formula>NOT(ISERROR(SEARCH("Deferred",G38)))</formula>
    </cfRule>
    <cfRule type="containsText" dxfId="3246" priority="3600" operator="containsText" text="Deleted">
      <formula>NOT(ISERROR(SEARCH("Deleted",G38)))</formula>
    </cfRule>
    <cfRule type="containsText" dxfId="3245" priority="3601" operator="containsText" text="In Danger of Falling Behind Target">
      <formula>NOT(ISERROR(SEARCH("In Danger of Falling Behind Target",G38)))</formula>
    </cfRule>
    <cfRule type="containsText" dxfId="3244" priority="3602" operator="containsText" text="Not yet due">
      <formula>NOT(ISERROR(SEARCH("Not yet due",G38)))</formula>
    </cfRule>
    <cfRule type="containsText" dxfId="3243" priority="3603" operator="containsText" text="Update not Provided">
      <formula>NOT(ISERROR(SEARCH("Update not Provided",G38)))</formula>
    </cfRule>
  </conditionalFormatting>
  <conditionalFormatting sqref="G38:G39">
    <cfRule type="containsText" dxfId="3242" priority="3532" operator="containsText" text="On track to be achieved">
      <formula>NOT(ISERROR(SEARCH("On track to be achieved",G38)))</formula>
    </cfRule>
    <cfRule type="containsText" dxfId="3241" priority="3533" operator="containsText" text="Deferred">
      <formula>NOT(ISERROR(SEARCH("Deferred",G38)))</formula>
    </cfRule>
    <cfRule type="containsText" dxfId="3240" priority="3534" operator="containsText" text="Deleted">
      <formula>NOT(ISERROR(SEARCH("Deleted",G38)))</formula>
    </cfRule>
    <cfRule type="containsText" dxfId="3239" priority="3535" operator="containsText" text="In Danger of Falling Behind Target">
      <formula>NOT(ISERROR(SEARCH("In Danger of Falling Behind Target",G38)))</formula>
    </cfRule>
    <cfRule type="containsText" dxfId="3238" priority="3536" operator="containsText" text="Not yet due">
      <formula>NOT(ISERROR(SEARCH("Not yet due",G38)))</formula>
    </cfRule>
    <cfRule type="containsText" dxfId="3237" priority="3537" operator="containsText" text="Update not Provided">
      <formula>NOT(ISERROR(SEARCH("Update not Provided",G38)))</formula>
    </cfRule>
    <cfRule type="containsText" dxfId="3236" priority="3538" operator="containsText" text="Not yet due">
      <formula>NOT(ISERROR(SEARCH("Not yet due",G38)))</formula>
    </cfRule>
    <cfRule type="containsText" dxfId="3235" priority="3539" operator="containsText" text="Completed Behind Schedule">
      <formula>NOT(ISERROR(SEARCH("Completed Behind Schedule",G38)))</formula>
    </cfRule>
    <cfRule type="containsText" dxfId="3234" priority="3540" operator="containsText" text="Off Target">
      <formula>NOT(ISERROR(SEARCH("Off Target",G38)))</formula>
    </cfRule>
    <cfRule type="containsText" dxfId="3233" priority="3541" operator="containsText" text="On Track to be Achieved">
      <formula>NOT(ISERROR(SEARCH("On Track to be Achieved",G38)))</formula>
    </cfRule>
    <cfRule type="containsText" dxfId="3232" priority="3542" operator="containsText" text="Fully Achieved">
      <formula>NOT(ISERROR(SEARCH("Fully Achieved",G38)))</formula>
    </cfRule>
    <cfRule type="containsText" dxfId="3231" priority="3543" operator="containsText" text="Not yet due">
      <formula>NOT(ISERROR(SEARCH("Not yet due",G38)))</formula>
    </cfRule>
    <cfRule type="containsText" dxfId="3230" priority="3544" operator="containsText" text="Not Yet Due">
      <formula>NOT(ISERROR(SEARCH("Not Yet Due",G38)))</formula>
    </cfRule>
    <cfRule type="containsText" dxfId="3229" priority="3545" operator="containsText" text="Deferred">
      <formula>NOT(ISERROR(SEARCH("Deferred",G38)))</formula>
    </cfRule>
    <cfRule type="containsText" dxfId="3228" priority="3546" operator="containsText" text="Deleted">
      <formula>NOT(ISERROR(SEARCH("Deleted",G38)))</formula>
    </cfRule>
    <cfRule type="containsText" dxfId="3227" priority="3547" operator="containsText" text="In Danger of Falling Behind Target">
      <formula>NOT(ISERROR(SEARCH("In Danger of Falling Behind Target",G38)))</formula>
    </cfRule>
    <cfRule type="containsText" dxfId="3226" priority="3548" operator="containsText" text="Not yet due">
      <formula>NOT(ISERROR(SEARCH("Not yet due",G38)))</formula>
    </cfRule>
    <cfRule type="containsText" dxfId="3225" priority="3549" operator="containsText" text="Completed Behind Schedule">
      <formula>NOT(ISERROR(SEARCH("Completed Behind Schedule",G38)))</formula>
    </cfRule>
    <cfRule type="containsText" dxfId="3224" priority="3550" operator="containsText" text="Off Target">
      <formula>NOT(ISERROR(SEARCH("Off Target",G38)))</formula>
    </cfRule>
    <cfRule type="containsText" dxfId="3223" priority="3551" operator="containsText" text="In Danger of Falling Behind Target">
      <formula>NOT(ISERROR(SEARCH("In Danger of Falling Behind Target",G38)))</formula>
    </cfRule>
    <cfRule type="containsText" dxfId="3222" priority="3552" operator="containsText" text="On Track to be Achieved">
      <formula>NOT(ISERROR(SEARCH("On Track to be Achieved",G38)))</formula>
    </cfRule>
    <cfRule type="containsText" dxfId="3221" priority="3553" operator="containsText" text="Fully Achieved">
      <formula>NOT(ISERROR(SEARCH("Fully Achieved",G38)))</formula>
    </cfRule>
    <cfRule type="containsText" dxfId="3220" priority="3554" operator="containsText" text="Update not Provided">
      <formula>NOT(ISERROR(SEARCH("Update not Provided",G38)))</formula>
    </cfRule>
    <cfRule type="containsText" dxfId="3219" priority="3555" operator="containsText" text="Not yet due">
      <formula>NOT(ISERROR(SEARCH("Not yet due",G38)))</formula>
    </cfRule>
    <cfRule type="containsText" dxfId="3218" priority="3556" operator="containsText" text="Completed Behind Schedule">
      <formula>NOT(ISERROR(SEARCH("Completed Behind Schedule",G38)))</formula>
    </cfRule>
    <cfRule type="containsText" dxfId="3217" priority="3557" operator="containsText" text="Off Target">
      <formula>NOT(ISERROR(SEARCH("Off Target",G38)))</formula>
    </cfRule>
    <cfRule type="containsText" dxfId="3216" priority="3558" operator="containsText" text="In Danger of Falling Behind Target">
      <formula>NOT(ISERROR(SEARCH("In Danger of Falling Behind Target",G38)))</formula>
    </cfRule>
    <cfRule type="containsText" dxfId="3215" priority="3559" operator="containsText" text="On Track to be Achieved">
      <formula>NOT(ISERROR(SEARCH("On Track to be Achieved",G38)))</formula>
    </cfRule>
    <cfRule type="containsText" dxfId="3214" priority="3560" operator="containsText" text="Fully Achieved">
      <formula>NOT(ISERROR(SEARCH("Fully Achieved",G38)))</formula>
    </cfRule>
    <cfRule type="containsText" dxfId="3213" priority="3561" operator="containsText" text="Fully Achieved">
      <formula>NOT(ISERROR(SEARCH("Fully Achieved",G38)))</formula>
    </cfRule>
    <cfRule type="containsText" dxfId="3212" priority="3562" operator="containsText" text="Fully Achieved">
      <formula>NOT(ISERROR(SEARCH("Fully Achieved",G38)))</formula>
    </cfRule>
    <cfRule type="containsText" dxfId="3211" priority="3563" operator="containsText" text="Deferred">
      <formula>NOT(ISERROR(SEARCH("Deferred",G38)))</formula>
    </cfRule>
    <cfRule type="containsText" dxfId="3210" priority="3564" operator="containsText" text="Deleted">
      <formula>NOT(ISERROR(SEARCH("Deleted",G38)))</formula>
    </cfRule>
    <cfRule type="containsText" dxfId="3209" priority="3565" operator="containsText" text="In Danger of Falling Behind Target">
      <formula>NOT(ISERROR(SEARCH("In Danger of Falling Behind Target",G38)))</formula>
    </cfRule>
    <cfRule type="containsText" dxfId="3208" priority="3566" operator="containsText" text="Not yet due">
      <formula>NOT(ISERROR(SEARCH("Not yet due",G38)))</formula>
    </cfRule>
    <cfRule type="containsText" dxfId="3207" priority="3567" operator="containsText" text="Update not Provided">
      <formula>NOT(ISERROR(SEARCH("Update not Provided",G38)))</formula>
    </cfRule>
  </conditionalFormatting>
  <conditionalFormatting sqref="G40:G41">
    <cfRule type="containsText" dxfId="3206" priority="3496" operator="containsText" text="On track to be achieved">
      <formula>NOT(ISERROR(SEARCH("On track to be achieved",G40)))</formula>
    </cfRule>
    <cfRule type="containsText" dxfId="3205" priority="3497" operator="containsText" text="Deferred">
      <formula>NOT(ISERROR(SEARCH("Deferred",G40)))</formula>
    </cfRule>
    <cfRule type="containsText" dxfId="3204" priority="3498" operator="containsText" text="Deleted">
      <formula>NOT(ISERROR(SEARCH("Deleted",G40)))</formula>
    </cfRule>
    <cfRule type="containsText" dxfId="3203" priority="3499" operator="containsText" text="In Danger of Falling Behind Target">
      <formula>NOT(ISERROR(SEARCH("In Danger of Falling Behind Target",G40)))</formula>
    </cfRule>
    <cfRule type="containsText" dxfId="3202" priority="3500" operator="containsText" text="Not yet due">
      <formula>NOT(ISERROR(SEARCH("Not yet due",G40)))</formula>
    </cfRule>
    <cfRule type="containsText" dxfId="3201" priority="3501" operator="containsText" text="Update not Provided">
      <formula>NOT(ISERROR(SEARCH("Update not Provided",G40)))</formula>
    </cfRule>
    <cfRule type="containsText" dxfId="3200" priority="3502" operator="containsText" text="Not yet due">
      <formula>NOT(ISERROR(SEARCH("Not yet due",G40)))</formula>
    </cfRule>
    <cfRule type="containsText" dxfId="3199" priority="3503" operator="containsText" text="Completed Behind Schedule">
      <formula>NOT(ISERROR(SEARCH("Completed Behind Schedule",G40)))</formula>
    </cfRule>
    <cfRule type="containsText" dxfId="3198" priority="3504" operator="containsText" text="Off Target">
      <formula>NOT(ISERROR(SEARCH("Off Target",G40)))</formula>
    </cfRule>
    <cfRule type="containsText" dxfId="3197" priority="3505" operator="containsText" text="On Track to be Achieved">
      <formula>NOT(ISERROR(SEARCH("On Track to be Achieved",G40)))</formula>
    </cfRule>
    <cfRule type="containsText" dxfId="3196" priority="3506" operator="containsText" text="Fully Achieved">
      <formula>NOT(ISERROR(SEARCH("Fully Achieved",G40)))</formula>
    </cfRule>
    <cfRule type="containsText" dxfId="3195" priority="3507" operator="containsText" text="Not yet due">
      <formula>NOT(ISERROR(SEARCH("Not yet due",G40)))</formula>
    </cfRule>
    <cfRule type="containsText" dxfId="3194" priority="3508" operator="containsText" text="Not Yet Due">
      <formula>NOT(ISERROR(SEARCH("Not Yet Due",G40)))</formula>
    </cfRule>
    <cfRule type="containsText" dxfId="3193" priority="3509" operator="containsText" text="Deferred">
      <formula>NOT(ISERROR(SEARCH("Deferred",G40)))</formula>
    </cfRule>
    <cfRule type="containsText" dxfId="3192" priority="3510" operator="containsText" text="Deleted">
      <formula>NOT(ISERROR(SEARCH("Deleted",G40)))</formula>
    </cfRule>
    <cfRule type="containsText" dxfId="3191" priority="3511" operator="containsText" text="In Danger of Falling Behind Target">
      <formula>NOT(ISERROR(SEARCH("In Danger of Falling Behind Target",G40)))</formula>
    </cfRule>
    <cfRule type="containsText" dxfId="3190" priority="3512" operator="containsText" text="Not yet due">
      <formula>NOT(ISERROR(SEARCH("Not yet due",G40)))</formula>
    </cfRule>
    <cfRule type="containsText" dxfId="3189" priority="3513" operator="containsText" text="Completed Behind Schedule">
      <formula>NOT(ISERROR(SEARCH("Completed Behind Schedule",G40)))</formula>
    </cfRule>
    <cfRule type="containsText" dxfId="3188" priority="3514" operator="containsText" text="Off Target">
      <formula>NOT(ISERROR(SEARCH("Off Target",G40)))</formula>
    </cfRule>
    <cfRule type="containsText" dxfId="3187" priority="3515" operator="containsText" text="In Danger of Falling Behind Target">
      <formula>NOT(ISERROR(SEARCH("In Danger of Falling Behind Target",G40)))</formula>
    </cfRule>
    <cfRule type="containsText" dxfId="3186" priority="3516" operator="containsText" text="On Track to be Achieved">
      <formula>NOT(ISERROR(SEARCH("On Track to be Achieved",G40)))</formula>
    </cfRule>
    <cfRule type="containsText" dxfId="3185" priority="3517" operator="containsText" text="Fully Achieved">
      <formula>NOT(ISERROR(SEARCH("Fully Achieved",G40)))</formula>
    </cfRule>
    <cfRule type="containsText" dxfId="3184" priority="3518" operator="containsText" text="Update not Provided">
      <formula>NOT(ISERROR(SEARCH("Update not Provided",G40)))</formula>
    </cfRule>
    <cfRule type="containsText" dxfId="3183" priority="3519" operator="containsText" text="Not yet due">
      <formula>NOT(ISERROR(SEARCH("Not yet due",G40)))</formula>
    </cfRule>
    <cfRule type="containsText" dxfId="3182" priority="3520" operator="containsText" text="Completed Behind Schedule">
      <formula>NOT(ISERROR(SEARCH("Completed Behind Schedule",G40)))</formula>
    </cfRule>
    <cfRule type="containsText" dxfId="3181" priority="3521" operator="containsText" text="Off Target">
      <formula>NOT(ISERROR(SEARCH("Off Target",G40)))</formula>
    </cfRule>
    <cfRule type="containsText" dxfId="3180" priority="3522" operator="containsText" text="In Danger of Falling Behind Target">
      <formula>NOT(ISERROR(SEARCH("In Danger of Falling Behind Target",G40)))</formula>
    </cfRule>
    <cfRule type="containsText" dxfId="3179" priority="3523" operator="containsText" text="On Track to be Achieved">
      <formula>NOT(ISERROR(SEARCH("On Track to be Achieved",G40)))</formula>
    </cfRule>
    <cfRule type="containsText" dxfId="3178" priority="3524" operator="containsText" text="Fully Achieved">
      <formula>NOT(ISERROR(SEARCH("Fully Achieved",G40)))</formula>
    </cfRule>
    <cfRule type="containsText" dxfId="3177" priority="3525" operator="containsText" text="Fully Achieved">
      <formula>NOT(ISERROR(SEARCH("Fully Achieved",G40)))</formula>
    </cfRule>
    <cfRule type="containsText" dxfId="3176" priority="3526" operator="containsText" text="Fully Achieved">
      <formula>NOT(ISERROR(SEARCH("Fully Achieved",G40)))</formula>
    </cfRule>
    <cfRule type="containsText" dxfId="3175" priority="3527" operator="containsText" text="Deferred">
      <formula>NOT(ISERROR(SEARCH("Deferred",G40)))</formula>
    </cfRule>
    <cfRule type="containsText" dxfId="3174" priority="3528" operator="containsText" text="Deleted">
      <formula>NOT(ISERROR(SEARCH("Deleted",G40)))</formula>
    </cfRule>
    <cfRule type="containsText" dxfId="3173" priority="3529" operator="containsText" text="In Danger of Falling Behind Target">
      <formula>NOT(ISERROR(SEARCH("In Danger of Falling Behind Target",G40)))</formula>
    </cfRule>
    <cfRule type="containsText" dxfId="3172" priority="3530" operator="containsText" text="Not yet due">
      <formula>NOT(ISERROR(SEARCH("Not yet due",G40)))</formula>
    </cfRule>
    <cfRule type="containsText" dxfId="3171" priority="3531" operator="containsText" text="Update not Provided">
      <formula>NOT(ISERROR(SEARCH("Update not Provided",G40)))</formula>
    </cfRule>
  </conditionalFormatting>
  <conditionalFormatting sqref="G42">
    <cfRule type="containsText" dxfId="3170" priority="3460" operator="containsText" text="On track to be achieved">
      <formula>NOT(ISERROR(SEARCH("On track to be achieved",G42)))</formula>
    </cfRule>
    <cfRule type="containsText" dxfId="3169" priority="3461" operator="containsText" text="Deferred">
      <formula>NOT(ISERROR(SEARCH("Deferred",G42)))</formula>
    </cfRule>
    <cfRule type="containsText" dxfId="3168" priority="3462" operator="containsText" text="Deleted">
      <formula>NOT(ISERROR(SEARCH("Deleted",G42)))</formula>
    </cfRule>
    <cfRule type="containsText" dxfId="3167" priority="3463" operator="containsText" text="In Danger of Falling Behind Target">
      <formula>NOT(ISERROR(SEARCH("In Danger of Falling Behind Target",G42)))</formula>
    </cfRule>
    <cfRule type="containsText" dxfId="3166" priority="3464" operator="containsText" text="Not yet due">
      <formula>NOT(ISERROR(SEARCH("Not yet due",G42)))</formula>
    </cfRule>
    <cfRule type="containsText" dxfId="3165" priority="3465" operator="containsText" text="Update not Provided">
      <formula>NOT(ISERROR(SEARCH("Update not Provided",G42)))</formula>
    </cfRule>
    <cfRule type="containsText" dxfId="3164" priority="3466" operator="containsText" text="Not yet due">
      <formula>NOT(ISERROR(SEARCH("Not yet due",G42)))</formula>
    </cfRule>
    <cfRule type="containsText" dxfId="3163" priority="3467" operator="containsText" text="Completed Behind Schedule">
      <formula>NOT(ISERROR(SEARCH("Completed Behind Schedule",G42)))</formula>
    </cfRule>
    <cfRule type="containsText" dxfId="3162" priority="3468" operator="containsText" text="Off Target">
      <formula>NOT(ISERROR(SEARCH("Off Target",G42)))</formula>
    </cfRule>
    <cfRule type="containsText" dxfId="3161" priority="3469" operator="containsText" text="On Track to be Achieved">
      <formula>NOT(ISERROR(SEARCH("On Track to be Achieved",G42)))</formula>
    </cfRule>
    <cfRule type="containsText" dxfId="3160" priority="3470" operator="containsText" text="Fully Achieved">
      <formula>NOT(ISERROR(SEARCH("Fully Achieved",G42)))</formula>
    </cfRule>
    <cfRule type="containsText" dxfId="3159" priority="3471" operator="containsText" text="Not yet due">
      <formula>NOT(ISERROR(SEARCH("Not yet due",G42)))</formula>
    </cfRule>
    <cfRule type="containsText" dxfId="3158" priority="3472" operator="containsText" text="Not Yet Due">
      <formula>NOT(ISERROR(SEARCH("Not Yet Due",G42)))</formula>
    </cfRule>
    <cfRule type="containsText" dxfId="3157" priority="3473" operator="containsText" text="Deferred">
      <formula>NOT(ISERROR(SEARCH("Deferred",G42)))</formula>
    </cfRule>
    <cfRule type="containsText" dxfId="3156" priority="3474" operator="containsText" text="Deleted">
      <formula>NOT(ISERROR(SEARCH("Deleted",G42)))</formula>
    </cfRule>
    <cfRule type="containsText" dxfId="3155" priority="3475" operator="containsText" text="In Danger of Falling Behind Target">
      <formula>NOT(ISERROR(SEARCH("In Danger of Falling Behind Target",G42)))</formula>
    </cfRule>
    <cfRule type="containsText" dxfId="3154" priority="3476" operator="containsText" text="Not yet due">
      <formula>NOT(ISERROR(SEARCH("Not yet due",G42)))</formula>
    </cfRule>
    <cfRule type="containsText" dxfId="3153" priority="3477" operator="containsText" text="Completed Behind Schedule">
      <formula>NOT(ISERROR(SEARCH("Completed Behind Schedule",G42)))</formula>
    </cfRule>
    <cfRule type="containsText" dxfId="3152" priority="3478" operator="containsText" text="Off Target">
      <formula>NOT(ISERROR(SEARCH("Off Target",G42)))</formula>
    </cfRule>
    <cfRule type="containsText" dxfId="3151" priority="3479" operator="containsText" text="In Danger of Falling Behind Target">
      <formula>NOT(ISERROR(SEARCH("In Danger of Falling Behind Target",G42)))</formula>
    </cfRule>
    <cfRule type="containsText" dxfId="3150" priority="3480" operator="containsText" text="On Track to be Achieved">
      <formula>NOT(ISERROR(SEARCH("On Track to be Achieved",G42)))</formula>
    </cfRule>
    <cfRule type="containsText" dxfId="3149" priority="3481" operator="containsText" text="Fully Achieved">
      <formula>NOT(ISERROR(SEARCH("Fully Achieved",G42)))</formula>
    </cfRule>
    <cfRule type="containsText" dxfId="3148" priority="3482" operator="containsText" text="Update not Provided">
      <formula>NOT(ISERROR(SEARCH("Update not Provided",G42)))</formula>
    </cfRule>
    <cfRule type="containsText" dxfId="3147" priority="3483" operator="containsText" text="Not yet due">
      <formula>NOT(ISERROR(SEARCH("Not yet due",G42)))</formula>
    </cfRule>
    <cfRule type="containsText" dxfId="3146" priority="3484" operator="containsText" text="Completed Behind Schedule">
      <formula>NOT(ISERROR(SEARCH("Completed Behind Schedule",G42)))</formula>
    </cfRule>
    <cfRule type="containsText" dxfId="3145" priority="3485" operator="containsText" text="Off Target">
      <formula>NOT(ISERROR(SEARCH("Off Target",G42)))</formula>
    </cfRule>
    <cfRule type="containsText" dxfId="3144" priority="3486" operator="containsText" text="In Danger of Falling Behind Target">
      <formula>NOT(ISERROR(SEARCH("In Danger of Falling Behind Target",G42)))</formula>
    </cfRule>
    <cfRule type="containsText" dxfId="3143" priority="3487" operator="containsText" text="On Track to be Achieved">
      <formula>NOT(ISERROR(SEARCH("On Track to be Achieved",G42)))</formula>
    </cfRule>
    <cfRule type="containsText" dxfId="3142" priority="3488" operator="containsText" text="Fully Achieved">
      <formula>NOT(ISERROR(SEARCH("Fully Achieved",G42)))</formula>
    </cfRule>
    <cfRule type="containsText" dxfId="3141" priority="3489" operator="containsText" text="Fully Achieved">
      <formula>NOT(ISERROR(SEARCH("Fully Achieved",G42)))</formula>
    </cfRule>
    <cfRule type="containsText" dxfId="3140" priority="3490" operator="containsText" text="Fully Achieved">
      <formula>NOT(ISERROR(SEARCH("Fully Achieved",G42)))</formula>
    </cfRule>
    <cfRule type="containsText" dxfId="3139" priority="3491" operator="containsText" text="Deferred">
      <formula>NOT(ISERROR(SEARCH("Deferred",G42)))</formula>
    </cfRule>
    <cfRule type="containsText" dxfId="3138" priority="3492" operator="containsText" text="Deleted">
      <formula>NOT(ISERROR(SEARCH("Deleted",G42)))</formula>
    </cfRule>
    <cfRule type="containsText" dxfId="3137" priority="3493" operator="containsText" text="In Danger of Falling Behind Target">
      <formula>NOT(ISERROR(SEARCH("In Danger of Falling Behind Target",G42)))</formula>
    </cfRule>
    <cfRule type="containsText" dxfId="3136" priority="3494" operator="containsText" text="Not yet due">
      <formula>NOT(ISERROR(SEARCH("Not yet due",G42)))</formula>
    </cfRule>
    <cfRule type="containsText" dxfId="3135" priority="3495" operator="containsText" text="Update not Provided">
      <formula>NOT(ISERROR(SEARCH("Update not Provided",G42)))</formula>
    </cfRule>
  </conditionalFormatting>
  <conditionalFormatting sqref="G42">
    <cfRule type="containsText" dxfId="3134" priority="3424" operator="containsText" text="On track to be achieved">
      <formula>NOT(ISERROR(SEARCH("On track to be achieved",G42)))</formula>
    </cfRule>
    <cfRule type="containsText" dxfId="3133" priority="3425" operator="containsText" text="Deferred">
      <formula>NOT(ISERROR(SEARCH("Deferred",G42)))</formula>
    </cfRule>
    <cfRule type="containsText" dxfId="3132" priority="3426" operator="containsText" text="Deleted">
      <formula>NOT(ISERROR(SEARCH("Deleted",G42)))</formula>
    </cfRule>
    <cfRule type="containsText" dxfId="3131" priority="3427" operator="containsText" text="In Danger of Falling Behind Target">
      <formula>NOT(ISERROR(SEARCH("In Danger of Falling Behind Target",G42)))</formula>
    </cfRule>
    <cfRule type="containsText" dxfId="3130" priority="3428" operator="containsText" text="Not yet due">
      <formula>NOT(ISERROR(SEARCH("Not yet due",G42)))</formula>
    </cfRule>
    <cfRule type="containsText" dxfId="3129" priority="3429" operator="containsText" text="Update not Provided">
      <formula>NOT(ISERROR(SEARCH("Update not Provided",G42)))</formula>
    </cfRule>
    <cfRule type="containsText" dxfId="3128" priority="3430" operator="containsText" text="Not yet due">
      <formula>NOT(ISERROR(SEARCH("Not yet due",G42)))</formula>
    </cfRule>
    <cfRule type="containsText" dxfId="3127" priority="3431" operator="containsText" text="Completed Behind Schedule">
      <formula>NOT(ISERROR(SEARCH("Completed Behind Schedule",G42)))</formula>
    </cfRule>
    <cfRule type="containsText" dxfId="3126" priority="3432" operator="containsText" text="Off Target">
      <formula>NOT(ISERROR(SEARCH("Off Target",G42)))</formula>
    </cfRule>
    <cfRule type="containsText" dxfId="3125" priority="3433" operator="containsText" text="On Track to be Achieved">
      <formula>NOT(ISERROR(SEARCH("On Track to be Achieved",G42)))</formula>
    </cfRule>
    <cfRule type="containsText" dxfId="3124" priority="3434" operator="containsText" text="Fully Achieved">
      <formula>NOT(ISERROR(SEARCH("Fully Achieved",G42)))</formula>
    </cfRule>
    <cfRule type="containsText" dxfId="3123" priority="3435" operator="containsText" text="Not yet due">
      <formula>NOT(ISERROR(SEARCH("Not yet due",G42)))</formula>
    </cfRule>
    <cfRule type="containsText" dxfId="3122" priority="3436" operator="containsText" text="Not Yet Due">
      <formula>NOT(ISERROR(SEARCH("Not Yet Due",G42)))</formula>
    </cfRule>
    <cfRule type="containsText" dxfId="3121" priority="3437" operator="containsText" text="Deferred">
      <formula>NOT(ISERROR(SEARCH("Deferred",G42)))</formula>
    </cfRule>
    <cfRule type="containsText" dxfId="3120" priority="3438" operator="containsText" text="Deleted">
      <formula>NOT(ISERROR(SEARCH("Deleted",G42)))</formula>
    </cfRule>
    <cfRule type="containsText" dxfId="3119" priority="3439" operator="containsText" text="In Danger of Falling Behind Target">
      <formula>NOT(ISERROR(SEARCH("In Danger of Falling Behind Target",G42)))</formula>
    </cfRule>
    <cfRule type="containsText" dxfId="3118" priority="3440" operator="containsText" text="Not yet due">
      <formula>NOT(ISERROR(SEARCH("Not yet due",G42)))</formula>
    </cfRule>
    <cfRule type="containsText" dxfId="3117" priority="3441" operator="containsText" text="Completed Behind Schedule">
      <formula>NOT(ISERROR(SEARCH("Completed Behind Schedule",G42)))</formula>
    </cfRule>
    <cfRule type="containsText" dxfId="3116" priority="3442" operator="containsText" text="Off Target">
      <formula>NOT(ISERROR(SEARCH("Off Target",G42)))</formula>
    </cfRule>
    <cfRule type="containsText" dxfId="3115" priority="3443" operator="containsText" text="In Danger of Falling Behind Target">
      <formula>NOT(ISERROR(SEARCH("In Danger of Falling Behind Target",G42)))</formula>
    </cfRule>
    <cfRule type="containsText" dxfId="3114" priority="3444" operator="containsText" text="On Track to be Achieved">
      <formula>NOT(ISERROR(SEARCH("On Track to be Achieved",G42)))</formula>
    </cfRule>
    <cfRule type="containsText" dxfId="3113" priority="3445" operator="containsText" text="Fully Achieved">
      <formula>NOT(ISERROR(SEARCH("Fully Achieved",G42)))</formula>
    </cfRule>
    <cfRule type="containsText" dxfId="3112" priority="3446" operator="containsText" text="Update not Provided">
      <formula>NOT(ISERROR(SEARCH("Update not Provided",G42)))</formula>
    </cfRule>
    <cfRule type="containsText" dxfId="3111" priority="3447" operator="containsText" text="Not yet due">
      <formula>NOT(ISERROR(SEARCH("Not yet due",G42)))</formula>
    </cfRule>
    <cfRule type="containsText" dxfId="3110" priority="3448" operator="containsText" text="Completed Behind Schedule">
      <formula>NOT(ISERROR(SEARCH("Completed Behind Schedule",G42)))</formula>
    </cfRule>
    <cfRule type="containsText" dxfId="3109" priority="3449" operator="containsText" text="Off Target">
      <formula>NOT(ISERROR(SEARCH("Off Target",G42)))</formula>
    </cfRule>
    <cfRule type="containsText" dxfId="3108" priority="3450" operator="containsText" text="In Danger of Falling Behind Target">
      <formula>NOT(ISERROR(SEARCH("In Danger of Falling Behind Target",G42)))</formula>
    </cfRule>
    <cfRule type="containsText" dxfId="3107" priority="3451" operator="containsText" text="On Track to be Achieved">
      <formula>NOT(ISERROR(SEARCH("On Track to be Achieved",G42)))</formula>
    </cfRule>
    <cfRule type="containsText" dxfId="3106" priority="3452" operator="containsText" text="Fully Achieved">
      <formula>NOT(ISERROR(SEARCH("Fully Achieved",G42)))</formula>
    </cfRule>
    <cfRule type="containsText" dxfId="3105" priority="3453" operator="containsText" text="Fully Achieved">
      <formula>NOT(ISERROR(SEARCH("Fully Achieved",G42)))</formula>
    </cfRule>
    <cfRule type="containsText" dxfId="3104" priority="3454" operator="containsText" text="Fully Achieved">
      <formula>NOT(ISERROR(SEARCH("Fully Achieved",G42)))</formula>
    </cfRule>
    <cfRule type="containsText" dxfId="3103" priority="3455" operator="containsText" text="Deferred">
      <formula>NOT(ISERROR(SEARCH("Deferred",G42)))</formula>
    </cfRule>
    <cfRule type="containsText" dxfId="3102" priority="3456" operator="containsText" text="Deleted">
      <formula>NOT(ISERROR(SEARCH("Deleted",G42)))</formula>
    </cfRule>
    <cfRule type="containsText" dxfId="3101" priority="3457" operator="containsText" text="In Danger of Falling Behind Target">
      <formula>NOT(ISERROR(SEARCH("In Danger of Falling Behind Target",G42)))</formula>
    </cfRule>
    <cfRule type="containsText" dxfId="3100" priority="3458" operator="containsText" text="Not yet due">
      <formula>NOT(ISERROR(SEARCH("Not yet due",G42)))</formula>
    </cfRule>
    <cfRule type="containsText" dxfId="3099" priority="3459" operator="containsText" text="Update not Provided">
      <formula>NOT(ISERROR(SEARCH("Update not Provided",G42)))</formula>
    </cfRule>
  </conditionalFormatting>
  <conditionalFormatting sqref="G43:G49">
    <cfRule type="containsText" dxfId="3098" priority="3388" operator="containsText" text="On track to be achieved">
      <formula>NOT(ISERROR(SEARCH("On track to be achieved",G43)))</formula>
    </cfRule>
    <cfRule type="containsText" dxfId="3097" priority="3389" operator="containsText" text="Deferred">
      <formula>NOT(ISERROR(SEARCH("Deferred",G43)))</formula>
    </cfRule>
    <cfRule type="containsText" dxfId="3096" priority="3390" operator="containsText" text="Deleted">
      <formula>NOT(ISERROR(SEARCH("Deleted",G43)))</formula>
    </cfRule>
    <cfRule type="containsText" dxfId="3095" priority="3391" operator="containsText" text="In Danger of Falling Behind Target">
      <formula>NOT(ISERROR(SEARCH("In Danger of Falling Behind Target",G43)))</formula>
    </cfRule>
    <cfRule type="containsText" dxfId="3094" priority="3392" operator="containsText" text="Not yet due">
      <formula>NOT(ISERROR(SEARCH("Not yet due",G43)))</formula>
    </cfRule>
    <cfRule type="containsText" dxfId="3093" priority="3393" operator="containsText" text="Update not Provided">
      <formula>NOT(ISERROR(SEARCH("Update not Provided",G43)))</formula>
    </cfRule>
    <cfRule type="containsText" dxfId="3092" priority="3394" operator="containsText" text="Not yet due">
      <formula>NOT(ISERROR(SEARCH("Not yet due",G43)))</formula>
    </cfRule>
    <cfRule type="containsText" dxfId="3091" priority="3395" operator="containsText" text="Completed Behind Schedule">
      <formula>NOT(ISERROR(SEARCH("Completed Behind Schedule",G43)))</formula>
    </cfRule>
    <cfRule type="containsText" dxfId="3090" priority="3396" operator="containsText" text="Off Target">
      <formula>NOT(ISERROR(SEARCH("Off Target",G43)))</formula>
    </cfRule>
    <cfRule type="containsText" dxfId="3089" priority="3397" operator="containsText" text="On Track to be Achieved">
      <formula>NOT(ISERROR(SEARCH("On Track to be Achieved",G43)))</formula>
    </cfRule>
    <cfRule type="containsText" dxfId="3088" priority="3398" operator="containsText" text="Fully Achieved">
      <formula>NOT(ISERROR(SEARCH("Fully Achieved",G43)))</formula>
    </cfRule>
    <cfRule type="containsText" dxfId="3087" priority="3399" operator="containsText" text="Not yet due">
      <formula>NOT(ISERROR(SEARCH("Not yet due",G43)))</formula>
    </cfRule>
    <cfRule type="containsText" dxfId="3086" priority="3400" operator="containsText" text="Not Yet Due">
      <formula>NOT(ISERROR(SEARCH("Not Yet Due",G43)))</formula>
    </cfRule>
    <cfRule type="containsText" dxfId="3085" priority="3401" operator="containsText" text="Deferred">
      <formula>NOT(ISERROR(SEARCH("Deferred",G43)))</formula>
    </cfRule>
    <cfRule type="containsText" dxfId="3084" priority="3402" operator="containsText" text="Deleted">
      <formula>NOT(ISERROR(SEARCH("Deleted",G43)))</formula>
    </cfRule>
    <cfRule type="containsText" dxfId="3083" priority="3403" operator="containsText" text="In Danger of Falling Behind Target">
      <formula>NOT(ISERROR(SEARCH("In Danger of Falling Behind Target",G43)))</formula>
    </cfRule>
    <cfRule type="containsText" dxfId="3082" priority="3404" operator="containsText" text="Not yet due">
      <formula>NOT(ISERROR(SEARCH("Not yet due",G43)))</formula>
    </cfRule>
    <cfRule type="containsText" dxfId="3081" priority="3405" operator="containsText" text="Completed Behind Schedule">
      <formula>NOT(ISERROR(SEARCH("Completed Behind Schedule",G43)))</formula>
    </cfRule>
    <cfRule type="containsText" dxfId="3080" priority="3406" operator="containsText" text="Off Target">
      <formula>NOT(ISERROR(SEARCH("Off Target",G43)))</formula>
    </cfRule>
    <cfRule type="containsText" dxfId="3079" priority="3407" operator="containsText" text="In Danger of Falling Behind Target">
      <formula>NOT(ISERROR(SEARCH("In Danger of Falling Behind Target",G43)))</formula>
    </cfRule>
    <cfRule type="containsText" dxfId="3078" priority="3408" operator="containsText" text="On Track to be Achieved">
      <formula>NOT(ISERROR(SEARCH("On Track to be Achieved",G43)))</formula>
    </cfRule>
    <cfRule type="containsText" dxfId="3077" priority="3409" operator="containsText" text="Fully Achieved">
      <formula>NOT(ISERROR(SEARCH("Fully Achieved",G43)))</formula>
    </cfRule>
    <cfRule type="containsText" dxfId="3076" priority="3410" operator="containsText" text="Update not Provided">
      <formula>NOT(ISERROR(SEARCH("Update not Provided",G43)))</formula>
    </cfRule>
    <cfRule type="containsText" dxfId="3075" priority="3411" operator="containsText" text="Not yet due">
      <formula>NOT(ISERROR(SEARCH("Not yet due",G43)))</formula>
    </cfRule>
    <cfRule type="containsText" dxfId="3074" priority="3412" operator="containsText" text="Completed Behind Schedule">
      <formula>NOT(ISERROR(SEARCH("Completed Behind Schedule",G43)))</formula>
    </cfRule>
    <cfRule type="containsText" dxfId="3073" priority="3413" operator="containsText" text="Off Target">
      <formula>NOT(ISERROR(SEARCH("Off Target",G43)))</formula>
    </cfRule>
    <cfRule type="containsText" dxfId="3072" priority="3414" operator="containsText" text="In Danger of Falling Behind Target">
      <formula>NOT(ISERROR(SEARCH("In Danger of Falling Behind Target",G43)))</formula>
    </cfRule>
    <cfRule type="containsText" dxfId="3071" priority="3415" operator="containsText" text="On Track to be Achieved">
      <formula>NOT(ISERROR(SEARCH("On Track to be Achieved",G43)))</formula>
    </cfRule>
    <cfRule type="containsText" dxfId="3070" priority="3416" operator="containsText" text="Fully Achieved">
      <formula>NOT(ISERROR(SEARCH("Fully Achieved",G43)))</formula>
    </cfRule>
    <cfRule type="containsText" dxfId="3069" priority="3417" operator="containsText" text="Fully Achieved">
      <formula>NOT(ISERROR(SEARCH("Fully Achieved",G43)))</formula>
    </cfRule>
    <cfRule type="containsText" dxfId="3068" priority="3418" operator="containsText" text="Fully Achieved">
      <formula>NOT(ISERROR(SEARCH("Fully Achieved",G43)))</formula>
    </cfRule>
    <cfRule type="containsText" dxfId="3067" priority="3419" operator="containsText" text="Deferred">
      <formula>NOT(ISERROR(SEARCH("Deferred",G43)))</formula>
    </cfRule>
    <cfRule type="containsText" dxfId="3066" priority="3420" operator="containsText" text="Deleted">
      <formula>NOT(ISERROR(SEARCH("Deleted",G43)))</formula>
    </cfRule>
    <cfRule type="containsText" dxfId="3065" priority="3421" operator="containsText" text="In Danger of Falling Behind Target">
      <formula>NOT(ISERROR(SEARCH("In Danger of Falling Behind Target",G43)))</formula>
    </cfRule>
    <cfRule type="containsText" dxfId="3064" priority="3422" operator="containsText" text="Not yet due">
      <formula>NOT(ISERROR(SEARCH("Not yet due",G43)))</formula>
    </cfRule>
    <cfRule type="containsText" dxfId="3063" priority="3423" operator="containsText" text="Update not Provided">
      <formula>NOT(ISERROR(SEARCH("Update not Provided",G43)))</formula>
    </cfRule>
  </conditionalFormatting>
  <conditionalFormatting sqref="G50">
    <cfRule type="containsText" dxfId="3062" priority="3352" operator="containsText" text="On track to be achieved">
      <formula>NOT(ISERROR(SEARCH("On track to be achieved",G50)))</formula>
    </cfRule>
    <cfRule type="containsText" dxfId="3061" priority="3353" operator="containsText" text="Deferred">
      <formula>NOT(ISERROR(SEARCH("Deferred",G50)))</formula>
    </cfRule>
    <cfRule type="containsText" dxfId="3060" priority="3354" operator="containsText" text="Deleted">
      <formula>NOT(ISERROR(SEARCH("Deleted",G50)))</formula>
    </cfRule>
    <cfRule type="containsText" dxfId="3059" priority="3355" operator="containsText" text="In Danger of Falling Behind Target">
      <formula>NOT(ISERROR(SEARCH("In Danger of Falling Behind Target",G50)))</formula>
    </cfRule>
    <cfRule type="containsText" dxfId="3058" priority="3356" operator="containsText" text="Not yet due">
      <formula>NOT(ISERROR(SEARCH("Not yet due",G50)))</formula>
    </cfRule>
    <cfRule type="containsText" dxfId="3057" priority="3357" operator="containsText" text="Update not Provided">
      <formula>NOT(ISERROR(SEARCH("Update not Provided",G50)))</formula>
    </cfRule>
    <cfRule type="containsText" dxfId="3056" priority="3358" operator="containsText" text="Not yet due">
      <formula>NOT(ISERROR(SEARCH("Not yet due",G50)))</formula>
    </cfRule>
    <cfRule type="containsText" dxfId="3055" priority="3359" operator="containsText" text="Completed Behind Schedule">
      <formula>NOT(ISERROR(SEARCH("Completed Behind Schedule",G50)))</formula>
    </cfRule>
    <cfRule type="containsText" dxfId="3054" priority="3360" operator="containsText" text="Off Target">
      <formula>NOT(ISERROR(SEARCH("Off Target",G50)))</formula>
    </cfRule>
    <cfRule type="containsText" dxfId="3053" priority="3361" operator="containsText" text="On Track to be Achieved">
      <formula>NOT(ISERROR(SEARCH("On Track to be Achieved",G50)))</formula>
    </cfRule>
    <cfRule type="containsText" dxfId="3052" priority="3362" operator="containsText" text="Fully Achieved">
      <formula>NOT(ISERROR(SEARCH("Fully Achieved",G50)))</formula>
    </cfRule>
    <cfRule type="containsText" dxfId="3051" priority="3363" operator="containsText" text="Not yet due">
      <formula>NOT(ISERROR(SEARCH("Not yet due",G50)))</formula>
    </cfRule>
    <cfRule type="containsText" dxfId="3050" priority="3364" operator="containsText" text="Not Yet Due">
      <formula>NOT(ISERROR(SEARCH("Not Yet Due",G50)))</formula>
    </cfRule>
    <cfRule type="containsText" dxfId="3049" priority="3365" operator="containsText" text="Deferred">
      <formula>NOT(ISERROR(SEARCH("Deferred",G50)))</formula>
    </cfRule>
    <cfRule type="containsText" dxfId="3048" priority="3366" operator="containsText" text="Deleted">
      <formula>NOT(ISERROR(SEARCH("Deleted",G50)))</formula>
    </cfRule>
    <cfRule type="containsText" dxfId="3047" priority="3367" operator="containsText" text="In Danger of Falling Behind Target">
      <formula>NOT(ISERROR(SEARCH("In Danger of Falling Behind Target",G50)))</formula>
    </cfRule>
    <cfRule type="containsText" dxfId="3046" priority="3368" operator="containsText" text="Not yet due">
      <formula>NOT(ISERROR(SEARCH("Not yet due",G50)))</formula>
    </cfRule>
    <cfRule type="containsText" dxfId="3045" priority="3369" operator="containsText" text="Completed Behind Schedule">
      <formula>NOT(ISERROR(SEARCH("Completed Behind Schedule",G50)))</formula>
    </cfRule>
    <cfRule type="containsText" dxfId="3044" priority="3370" operator="containsText" text="Off Target">
      <formula>NOT(ISERROR(SEARCH("Off Target",G50)))</formula>
    </cfRule>
    <cfRule type="containsText" dxfId="3043" priority="3371" operator="containsText" text="In Danger of Falling Behind Target">
      <formula>NOT(ISERROR(SEARCH("In Danger of Falling Behind Target",G50)))</formula>
    </cfRule>
    <cfRule type="containsText" dxfId="3042" priority="3372" operator="containsText" text="On Track to be Achieved">
      <formula>NOT(ISERROR(SEARCH("On Track to be Achieved",G50)))</formula>
    </cfRule>
    <cfRule type="containsText" dxfId="3041" priority="3373" operator="containsText" text="Fully Achieved">
      <formula>NOT(ISERROR(SEARCH("Fully Achieved",G50)))</formula>
    </cfRule>
    <cfRule type="containsText" dxfId="3040" priority="3374" operator="containsText" text="Update not Provided">
      <formula>NOT(ISERROR(SEARCH("Update not Provided",G50)))</formula>
    </cfRule>
    <cfRule type="containsText" dxfId="3039" priority="3375" operator="containsText" text="Not yet due">
      <formula>NOT(ISERROR(SEARCH("Not yet due",G50)))</formula>
    </cfRule>
    <cfRule type="containsText" dxfId="3038" priority="3376" operator="containsText" text="Completed Behind Schedule">
      <formula>NOT(ISERROR(SEARCH("Completed Behind Schedule",G50)))</formula>
    </cfRule>
    <cfRule type="containsText" dxfId="3037" priority="3377" operator="containsText" text="Off Target">
      <formula>NOT(ISERROR(SEARCH("Off Target",G50)))</formula>
    </cfRule>
    <cfRule type="containsText" dxfId="3036" priority="3378" operator="containsText" text="In Danger of Falling Behind Target">
      <formula>NOT(ISERROR(SEARCH("In Danger of Falling Behind Target",G50)))</formula>
    </cfRule>
    <cfRule type="containsText" dxfId="3035" priority="3379" operator="containsText" text="On Track to be Achieved">
      <formula>NOT(ISERROR(SEARCH("On Track to be Achieved",G50)))</formula>
    </cfRule>
    <cfRule type="containsText" dxfId="3034" priority="3380" operator="containsText" text="Fully Achieved">
      <formula>NOT(ISERROR(SEARCH("Fully Achieved",G50)))</formula>
    </cfRule>
    <cfRule type="containsText" dxfId="3033" priority="3381" operator="containsText" text="Fully Achieved">
      <formula>NOT(ISERROR(SEARCH("Fully Achieved",G50)))</formula>
    </cfRule>
    <cfRule type="containsText" dxfId="3032" priority="3382" operator="containsText" text="Fully Achieved">
      <formula>NOT(ISERROR(SEARCH("Fully Achieved",G50)))</formula>
    </cfRule>
    <cfRule type="containsText" dxfId="3031" priority="3383" operator="containsText" text="Deferred">
      <formula>NOT(ISERROR(SEARCH("Deferred",G50)))</formula>
    </cfRule>
    <cfRule type="containsText" dxfId="3030" priority="3384" operator="containsText" text="Deleted">
      <formula>NOT(ISERROR(SEARCH("Deleted",G50)))</formula>
    </cfRule>
    <cfRule type="containsText" dxfId="3029" priority="3385" operator="containsText" text="In Danger of Falling Behind Target">
      <formula>NOT(ISERROR(SEARCH("In Danger of Falling Behind Target",G50)))</formula>
    </cfRule>
    <cfRule type="containsText" dxfId="3028" priority="3386" operator="containsText" text="Not yet due">
      <formula>NOT(ISERROR(SEARCH("Not yet due",G50)))</formula>
    </cfRule>
    <cfRule type="containsText" dxfId="3027" priority="3387" operator="containsText" text="Update not Provided">
      <formula>NOT(ISERROR(SEARCH("Update not Provided",G50)))</formula>
    </cfRule>
  </conditionalFormatting>
  <conditionalFormatting sqref="G50">
    <cfRule type="containsText" dxfId="3026" priority="3316" operator="containsText" text="On track to be achieved">
      <formula>NOT(ISERROR(SEARCH("On track to be achieved",G50)))</formula>
    </cfRule>
    <cfRule type="containsText" dxfId="3025" priority="3317" operator="containsText" text="Deferred">
      <formula>NOT(ISERROR(SEARCH("Deferred",G50)))</formula>
    </cfRule>
    <cfRule type="containsText" dxfId="3024" priority="3318" operator="containsText" text="Deleted">
      <formula>NOT(ISERROR(SEARCH("Deleted",G50)))</formula>
    </cfRule>
    <cfRule type="containsText" dxfId="3023" priority="3319" operator="containsText" text="In Danger of Falling Behind Target">
      <formula>NOT(ISERROR(SEARCH("In Danger of Falling Behind Target",G50)))</formula>
    </cfRule>
    <cfRule type="containsText" dxfId="3022" priority="3320" operator="containsText" text="Not yet due">
      <formula>NOT(ISERROR(SEARCH("Not yet due",G50)))</formula>
    </cfRule>
    <cfRule type="containsText" dxfId="3021" priority="3321" operator="containsText" text="Update not Provided">
      <formula>NOT(ISERROR(SEARCH("Update not Provided",G50)))</formula>
    </cfRule>
    <cfRule type="containsText" dxfId="3020" priority="3322" operator="containsText" text="Not yet due">
      <formula>NOT(ISERROR(SEARCH("Not yet due",G50)))</formula>
    </cfRule>
    <cfRule type="containsText" dxfId="3019" priority="3323" operator="containsText" text="Completed Behind Schedule">
      <formula>NOT(ISERROR(SEARCH("Completed Behind Schedule",G50)))</formula>
    </cfRule>
    <cfRule type="containsText" dxfId="3018" priority="3324" operator="containsText" text="Off Target">
      <formula>NOT(ISERROR(SEARCH("Off Target",G50)))</formula>
    </cfRule>
    <cfRule type="containsText" dxfId="3017" priority="3325" operator="containsText" text="On Track to be Achieved">
      <formula>NOT(ISERROR(SEARCH("On Track to be Achieved",G50)))</formula>
    </cfRule>
    <cfRule type="containsText" dxfId="3016" priority="3326" operator="containsText" text="Fully Achieved">
      <formula>NOT(ISERROR(SEARCH("Fully Achieved",G50)))</formula>
    </cfRule>
    <cfRule type="containsText" dxfId="3015" priority="3327" operator="containsText" text="Not yet due">
      <formula>NOT(ISERROR(SEARCH("Not yet due",G50)))</formula>
    </cfRule>
    <cfRule type="containsText" dxfId="3014" priority="3328" operator="containsText" text="Not Yet Due">
      <formula>NOT(ISERROR(SEARCH("Not Yet Due",G50)))</formula>
    </cfRule>
    <cfRule type="containsText" dxfId="3013" priority="3329" operator="containsText" text="Deferred">
      <formula>NOT(ISERROR(SEARCH("Deferred",G50)))</formula>
    </cfRule>
    <cfRule type="containsText" dxfId="3012" priority="3330" operator="containsText" text="Deleted">
      <formula>NOT(ISERROR(SEARCH("Deleted",G50)))</formula>
    </cfRule>
    <cfRule type="containsText" dxfId="3011" priority="3331" operator="containsText" text="In Danger of Falling Behind Target">
      <formula>NOT(ISERROR(SEARCH("In Danger of Falling Behind Target",G50)))</formula>
    </cfRule>
    <cfRule type="containsText" dxfId="3010" priority="3332" operator="containsText" text="Not yet due">
      <formula>NOT(ISERROR(SEARCH("Not yet due",G50)))</formula>
    </cfRule>
    <cfRule type="containsText" dxfId="3009" priority="3333" operator="containsText" text="Completed Behind Schedule">
      <formula>NOT(ISERROR(SEARCH("Completed Behind Schedule",G50)))</formula>
    </cfRule>
    <cfRule type="containsText" dxfId="3008" priority="3334" operator="containsText" text="Off Target">
      <formula>NOT(ISERROR(SEARCH("Off Target",G50)))</formula>
    </cfRule>
    <cfRule type="containsText" dxfId="3007" priority="3335" operator="containsText" text="In Danger of Falling Behind Target">
      <formula>NOT(ISERROR(SEARCH("In Danger of Falling Behind Target",G50)))</formula>
    </cfRule>
    <cfRule type="containsText" dxfId="3006" priority="3336" operator="containsText" text="On Track to be Achieved">
      <formula>NOT(ISERROR(SEARCH("On Track to be Achieved",G50)))</formula>
    </cfRule>
    <cfRule type="containsText" dxfId="3005" priority="3337" operator="containsText" text="Fully Achieved">
      <formula>NOT(ISERROR(SEARCH("Fully Achieved",G50)))</formula>
    </cfRule>
    <cfRule type="containsText" dxfId="3004" priority="3338" operator="containsText" text="Update not Provided">
      <formula>NOT(ISERROR(SEARCH("Update not Provided",G50)))</formula>
    </cfRule>
    <cfRule type="containsText" dxfId="3003" priority="3339" operator="containsText" text="Not yet due">
      <formula>NOT(ISERROR(SEARCH("Not yet due",G50)))</formula>
    </cfRule>
    <cfRule type="containsText" dxfId="3002" priority="3340" operator="containsText" text="Completed Behind Schedule">
      <formula>NOT(ISERROR(SEARCH("Completed Behind Schedule",G50)))</formula>
    </cfRule>
    <cfRule type="containsText" dxfId="3001" priority="3341" operator="containsText" text="Off Target">
      <formula>NOT(ISERROR(SEARCH("Off Target",G50)))</formula>
    </cfRule>
    <cfRule type="containsText" dxfId="3000" priority="3342" operator="containsText" text="In Danger of Falling Behind Target">
      <formula>NOT(ISERROR(SEARCH("In Danger of Falling Behind Target",G50)))</formula>
    </cfRule>
    <cfRule type="containsText" dxfId="2999" priority="3343" operator="containsText" text="On Track to be Achieved">
      <formula>NOT(ISERROR(SEARCH("On Track to be Achieved",G50)))</formula>
    </cfRule>
    <cfRule type="containsText" dxfId="2998" priority="3344" operator="containsText" text="Fully Achieved">
      <formula>NOT(ISERROR(SEARCH("Fully Achieved",G50)))</formula>
    </cfRule>
    <cfRule type="containsText" dxfId="2997" priority="3345" operator="containsText" text="Fully Achieved">
      <formula>NOT(ISERROR(SEARCH("Fully Achieved",G50)))</formula>
    </cfRule>
    <cfRule type="containsText" dxfId="2996" priority="3346" operator="containsText" text="Fully Achieved">
      <formula>NOT(ISERROR(SEARCH("Fully Achieved",G50)))</formula>
    </cfRule>
    <cfRule type="containsText" dxfId="2995" priority="3347" operator="containsText" text="Deferred">
      <formula>NOT(ISERROR(SEARCH("Deferred",G50)))</formula>
    </cfRule>
    <cfRule type="containsText" dxfId="2994" priority="3348" operator="containsText" text="Deleted">
      <formula>NOT(ISERROR(SEARCH("Deleted",G50)))</formula>
    </cfRule>
    <cfRule type="containsText" dxfId="2993" priority="3349" operator="containsText" text="In Danger of Falling Behind Target">
      <formula>NOT(ISERROR(SEARCH("In Danger of Falling Behind Target",G50)))</formula>
    </cfRule>
    <cfRule type="containsText" dxfId="2992" priority="3350" operator="containsText" text="Not yet due">
      <formula>NOT(ISERROR(SEARCH("Not yet due",G50)))</formula>
    </cfRule>
    <cfRule type="containsText" dxfId="2991" priority="3351" operator="containsText" text="Update not Provided">
      <formula>NOT(ISERROR(SEARCH("Update not Provided",G50)))</formula>
    </cfRule>
  </conditionalFormatting>
  <conditionalFormatting sqref="G51:G53">
    <cfRule type="containsText" dxfId="2990" priority="3280" operator="containsText" text="On track to be achieved">
      <formula>NOT(ISERROR(SEARCH("On track to be achieved",G51)))</formula>
    </cfRule>
    <cfRule type="containsText" dxfId="2989" priority="3281" operator="containsText" text="Deferred">
      <formula>NOT(ISERROR(SEARCH("Deferred",G51)))</formula>
    </cfRule>
    <cfRule type="containsText" dxfId="2988" priority="3282" operator="containsText" text="Deleted">
      <formula>NOT(ISERROR(SEARCH("Deleted",G51)))</formula>
    </cfRule>
    <cfRule type="containsText" dxfId="2987" priority="3283" operator="containsText" text="In Danger of Falling Behind Target">
      <formula>NOT(ISERROR(SEARCH("In Danger of Falling Behind Target",G51)))</formula>
    </cfRule>
    <cfRule type="containsText" dxfId="2986" priority="3284" operator="containsText" text="Not yet due">
      <formula>NOT(ISERROR(SEARCH("Not yet due",G51)))</formula>
    </cfRule>
    <cfRule type="containsText" dxfId="2985" priority="3285" operator="containsText" text="Update not Provided">
      <formula>NOT(ISERROR(SEARCH("Update not Provided",G51)))</formula>
    </cfRule>
    <cfRule type="containsText" dxfId="2984" priority="3286" operator="containsText" text="Not yet due">
      <formula>NOT(ISERROR(SEARCH("Not yet due",G51)))</formula>
    </cfRule>
    <cfRule type="containsText" dxfId="2983" priority="3287" operator="containsText" text="Completed Behind Schedule">
      <formula>NOT(ISERROR(SEARCH("Completed Behind Schedule",G51)))</formula>
    </cfRule>
    <cfRule type="containsText" dxfId="2982" priority="3288" operator="containsText" text="Off Target">
      <formula>NOT(ISERROR(SEARCH("Off Target",G51)))</formula>
    </cfRule>
    <cfRule type="containsText" dxfId="2981" priority="3289" operator="containsText" text="On Track to be Achieved">
      <formula>NOT(ISERROR(SEARCH("On Track to be Achieved",G51)))</formula>
    </cfRule>
    <cfRule type="containsText" dxfId="2980" priority="3290" operator="containsText" text="Fully Achieved">
      <formula>NOT(ISERROR(SEARCH("Fully Achieved",G51)))</formula>
    </cfRule>
    <cfRule type="containsText" dxfId="2979" priority="3291" operator="containsText" text="Not yet due">
      <formula>NOT(ISERROR(SEARCH("Not yet due",G51)))</formula>
    </cfRule>
    <cfRule type="containsText" dxfId="2978" priority="3292" operator="containsText" text="Not Yet Due">
      <formula>NOT(ISERROR(SEARCH("Not Yet Due",G51)))</formula>
    </cfRule>
    <cfRule type="containsText" dxfId="2977" priority="3293" operator="containsText" text="Deferred">
      <formula>NOT(ISERROR(SEARCH("Deferred",G51)))</formula>
    </cfRule>
    <cfRule type="containsText" dxfId="2976" priority="3294" operator="containsText" text="Deleted">
      <formula>NOT(ISERROR(SEARCH("Deleted",G51)))</formula>
    </cfRule>
    <cfRule type="containsText" dxfId="2975" priority="3295" operator="containsText" text="In Danger of Falling Behind Target">
      <formula>NOT(ISERROR(SEARCH("In Danger of Falling Behind Target",G51)))</formula>
    </cfRule>
    <cfRule type="containsText" dxfId="2974" priority="3296" operator="containsText" text="Not yet due">
      <formula>NOT(ISERROR(SEARCH("Not yet due",G51)))</formula>
    </cfRule>
    <cfRule type="containsText" dxfId="2973" priority="3297" operator="containsText" text="Completed Behind Schedule">
      <formula>NOT(ISERROR(SEARCH("Completed Behind Schedule",G51)))</formula>
    </cfRule>
    <cfRule type="containsText" dxfId="2972" priority="3298" operator="containsText" text="Off Target">
      <formula>NOT(ISERROR(SEARCH("Off Target",G51)))</formula>
    </cfRule>
    <cfRule type="containsText" dxfId="2971" priority="3299" operator="containsText" text="In Danger of Falling Behind Target">
      <formula>NOT(ISERROR(SEARCH("In Danger of Falling Behind Target",G51)))</formula>
    </cfRule>
    <cfRule type="containsText" dxfId="2970" priority="3300" operator="containsText" text="On Track to be Achieved">
      <formula>NOT(ISERROR(SEARCH("On Track to be Achieved",G51)))</formula>
    </cfRule>
    <cfRule type="containsText" dxfId="2969" priority="3301" operator="containsText" text="Fully Achieved">
      <formula>NOT(ISERROR(SEARCH("Fully Achieved",G51)))</formula>
    </cfRule>
    <cfRule type="containsText" dxfId="2968" priority="3302" operator="containsText" text="Update not Provided">
      <formula>NOT(ISERROR(SEARCH("Update not Provided",G51)))</formula>
    </cfRule>
    <cfRule type="containsText" dxfId="2967" priority="3303" operator="containsText" text="Not yet due">
      <formula>NOT(ISERROR(SEARCH("Not yet due",G51)))</formula>
    </cfRule>
    <cfRule type="containsText" dxfId="2966" priority="3304" operator="containsText" text="Completed Behind Schedule">
      <formula>NOT(ISERROR(SEARCH("Completed Behind Schedule",G51)))</formula>
    </cfRule>
    <cfRule type="containsText" dxfId="2965" priority="3305" operator="containsText" text="Off Target">
      <formula>NOT(ISERROR(SEARCH("Off Target",G51)))</formula>
    </cfRule>
    <cfRule type="containsText" dxfId="2964" priority="3306" operator="containsText" text="In Danger of Falling Behind Target">
      <formula>NOT(ISERROR(SEARCH("In Danger of Falling Behind Target",G51)))</formula>
    </cfRule>
    <cfRule type="containsText" dxfId="2963" priority="3307" operator="containsText" text="On Track to be Achieved">
      <formula>NOT(ISERROR(SEARCH("On Track to be Achieved",G51)))</formula>
    </cfRule>
    <cfRule type="containsText" dxfId="2962" priority="3308" operator="containsText" text="Fully Achieved">
      <formula>NOT(ISERROR(SEARCH("Fully Achieved",G51)))</formula>
    </cfRule>
    <cfRule type="containsText" dxfId="2961" priority="3309" operator="containsText" text="Fully Achieved">
      <formula>NOT(ISERROR(SEARCH("Fully Achieved",G51)))</formula>
    </cfRule>
    <cfRule type="containsText" dxfId="2960" priority="3310" operator="containsText" text="Fully Achieved">
      <formula>NOT(ISERROR(SEARCH("Fully Achieved",G51)))</formula>
    </cfRule>
    <cfRule type="containsText" dxfId="2959" priority="3311" operator="containsText" text="Deferred">
      <formula>NOT(ISERROR(SEARCH("Deferred",G51)))</formula>
    </cfRule>
    <cfRule type="containsText" dxfId="2958" priority="3312" operator="containsText" text="Deleted">
      <formula>NOT(ISERROR(SEARCH("Deleted",G51)))</formula>
    </cfRule>
    <cfRule type="containsText" dxfId="2957" priority="3313" operator="containsText" text="In Danger of Falling Behind Target">
      <formula>NOT(ISERROR(SEARCH("In Danger of Falling Behind Target",G51)))</formula>
    </cfRule>
    <cfRule type="containsText" dxfId="2956" priority="3314" operator="containsText" text="Not yet due">
      <formula>NOT(ISERROR(SEARCH("Not yet due",G51)))</formula>
    </cfRule>
    <cfRule type="containsText" dxfId="2955" priority="3315" operator="containsText" text="Update not Provided">
      <formula>NOT(ISERROR(SEARCH("Update not Provided",G51)))</formula>
    </cfRule>
  </conditionalFormatting>
  <conditionalFormatting sqref="G54">
    <cfRule type="containsText" dxfId="2954" priority="3244" operator="containsText" text="On track to be achieved">
      <formula>NOT(ISERROR(SEARCH("On track to be achieved",G54)))</formula>
    </cfRule>
    <cfRule type="containsText" dxfId="2953" priority="3245" operator="containsText" text="Deferred">
      <formula>NOT(ISERROR(SEARCH("Deferred",G54)))</formula>
    </cfRule>
    <cfRule type="containsText" dxfId="2952" priority="3246" operator="containsText" text="Deleted">
      <formula>NOT(ISERROR(SEARCH("Deleted",G54)))</formula>
    </cfRule>
    <cfRule type="containsText" dxfId="2951" priority="3247" operator="containsText" text="In Danger of Falling Behind Target">
      <formula>NOT(ISERROR(SEARCH("In Danger of Falling Behind Target",G54)))</formula>
    </cfRule>
    <cfRule type="containsText" dxfId="2950" priority="3248" operator="containsText" text="Not yet due">
      <formula>NOT(ISERROR(SEARCH("Not yet due",G54)))</formula>
    </cfRule>
    <cfRule type="containsText" dxfId="2949" priority="3249" operator="containsText" text="Update not Provided">
      <formula>NOT(ISERROR(SEARCH("Update not Provided",G54)))</formula>
    </cfRule>
    <cfRule type="containsText" dxfId="2948" priority="3250" operator="containsText" text="Not yet due">
      <formula>NOT(ISERROR(SEARCH("Not yet due",G54)))</formula>
    </cfRule>
    <cfRule type="containsText" dxfId="2947" priority="3251" operator="containsText" text="Completed Behind Schedule">
      <formula>NOT(ISERROR(SEARCH("Completed Behind Schedule",G54)))</formula>
    </cfRule>
    <cfRule type="containsText" dxfId="2946" priority="3252" operator="containsText" text="Off Target">
      <formula>NOT(ISERROR(SEARCH("Off Target",G54)))</formula>
    </cfRule>
    <cfRule type="containsText" dxfId="2945" priority="3253" operator="containsText" text="On Track to be Achieved">
      <formula>NOT(ISERROR(SEARCH("On Track to be Achieved",G54)))</formula>
    </cfRule>
    <cfRule type="containsText" dxfId="2944" priority="3254" operator="containsText" text="Fully Achieved">
      <formula>NOT(ISERROR(SEARCH("Fully Achieved",G54)))</formula>
    </cfRule>
    <cfRule type="containsText" dxfId="2943" priority="3255" operator="containsText" text="Not yet due">
      <formula>NOT(ISERROR(SEARCH("Not yet due",G54)))</formula>
    </cfRule>
    <cfRule type="containsText" dxfId="2942" priority="3256" operator="containsText" text="Not Yet Due">
      <formula>NOT(ISERROR(SEARCH("Not Yet Due",G54)))</formula>
    </cfRule>
    <cfRule type="containsText" dxfId="2941" priority="3257" operator="containsText" text="Deferred">
      <formula>NOT(ISERROR(SEARCH("Deferred",G54)))</formula>
    </cfRule>
    <cfRule type="containsText" dxfId="2940" priority="3258" operator="containsText" text="Deleted">
      <formula>NOT(ISERROR(SEARCH("Deleted",G54)))</formula>
    </cfRule>
    <cfRule type="containsText" dxfId="2939" priority="3259" operator="containsText" text="In Danger of Falling Behind Target">
      <formula>NOT(ISERROR(SEARCH("In Danger of Falling Behind Target",G54)))</formula>
    </cfRule>
    <cfRule type="containsText" dxfId="2938" priority="3260" operator="containsText" text="Not yet due">
      <formula>NOT(ISERROR(SEARCH("Not yet due",G54)))</formula>
    </cfRule>
    <cfRule type="containsText" dxfId="2937" priority="3261" operator="containsText" text="Completed Behind Schedule">
      <formula>NOT(ISERROR(SEARCH("Completed Behind Schedule",G54)))</formula>
    </cfRule>
    <cfRule type="containsText" dxfId="2936" priority="3262" operator="containsText" text="Off Target">
      <formula>NOT(ISERROR(SEARCH("Off Target",G54)))</formula>
    </cfRule>
    <cfRule type="containsText" dxfId="2935" priority="3263" operator="containsText" text="In Danger of Falling Behind Target">
      <formula>NOT(ISERROR(SEARCH("In Danger of Falling Behind Target",G54)))</formula>
    </cfRule>
    <cfRule type="containsText" dxfId="2934" priority="3264" operator="containsText" text="On Track to be Achieved">
      <formula>NOT(ISERROR(SEARCH("On Track to be Achieved",G54)))</formula>
    </cfRule>
    <cfRule type="containsText" dxfId="2933" priority="3265" operator="containsText" text="Fully Achieved">
      <formula>NOT(ISERROR(SEARCH("Fully Achieved",G54)))</formula>
    </cfRule>
    <cfRule type="containsText" dxfId="2932" priority="3266" operator="containsText" text="Update not Provided">
      <formula>NOT(ISERROR(SEARCH("Update not Provided",G54)))</formula>
    </cfRule>
    <cfRule type="containsText" dxfId="2931" priority="3267" operator="containsText" text="Not yet due">
      <formula>NOT(ISERROR(SEARCH("Not yet due",G54)))</formula>
    </cfRule>
    <cfRule type="containsText" dxfId="2930" priority="3268" operator="containsText" text="Completed Behind Schedule">
      <formula>NOT(ISERROR(SEARCH("Completed Behind Schedule",G54)))</formula>
    </cfRule>
    <cfRule type="containsText" dxfId="2929" priority="3269" operator="containsText" text="Off Target">
      <formula>NOT(ISERROR(SEARCH("Off Target",G54)))</formula>
    </cfRule>
    <cfRule type="containsText" dxfId="2928" priority="3270" operator="containsText" text="In Danger of Falling Behind Target">
      <formula>NOT(ISERROR(SEARCH("In Danger of Falling Behind Target",G54)))</formula>
    </cfRule>
    <cfRule type="containsText" dxfId="2927" priority="3271" operator="containsText" text="On Track to be Achieved">
      <formula>NOT(ISERROR(SEARCH("On Track to be Achieved",G54)))</formula>
    </cfRule>
    <cfRule type="containsText" dxfId="2926" priority="3272" operator="containsText" text="Fully Achieved">
      <formula>NOT(ISERROR(SEARCH("Fully Achieved",G54)))</formula>
    </cfRule>
    <cfRule type="containsText" dxfId="2925" priority="3273" operator="containsText" text="Fully Achieved">
      <formula>NOT(ISERROR(SEARCH("Fully Achieved",G54)))</formula>
    </cfRule>
    <cfRule type="containsText" dxfId="2924" priority="3274" operator="containsText" text="Fully Achieved">
      <formula>NOT(ISERROR(SEARCH("Fully Achieved",G54)))</formula>
    </cfRule>
    <cfRule type="containsText" dxfId="2923" priority="3275" operator="containsText" text="Deferred">
      <formula>NOT(ISERROR(SEARCH("Deferred",G54)))</formula>
    </cfRule>
    <cfRule type="containsText" dxfId="2922" priority="3276" operator="containsText" text="Deleted">
      <formula>NOT(ISERROR(SEARCH("Deleted",G54)))</formula>
    </cfRule>
    <cfRule type="containsText" dxfId="2921" priority="3277" operator="containsText" text="In Danger of Falling Behind Target">
      <formula>NOT(ISERROR(SEARCH("In Danger of Falling Behind Target",G54)))</formula>
    </cfRule>
    <cfRule type="containsText" dxfId="2920" priority="3278" operator="containsText" text="Not yet due">
      <formula>NOT(ISERROR(SEARCH("Not yet due",G54)))</formula>
    </cfRule>
    <cfRule type="containsText" dxfId="2919" priority="3279" operator="containsText" text="Update not Provided">
      <formula>NOT(ISERROR(SEARCH("Update not Provided",G54)))</formula>
    </cfRule>
  </conditionalFormatting>
  <conditionalFormatting sqref="G54">
    <cfRule type="containsText" dxfId="2918" priority="3208" operator="containsText" text="On track to be achieved">
      <formula>NOT(ISERROR(SEARCH("On track to be achieved",G54)))</formula>
    </cfRule>
    <cfRule type="containsText" dxfId="2917" priority="3209" operator="containsText" text="Deferred">
      <formula>NOT(ISERROR(SEARCH("Deferred",G54)))</formula>
    </cfRule>
    <cfRule type="containsText" dxfId="2916" priority="3210" operator="containsText" text="Deleted">
      <formula>NOT(ISERROR(SEARCH("Deleted",G54)))</formula>
    </cfRule>
    <cfRule type="containsText" dxfId="2915" priority="3211" operator="containsText" text="In Danger of Falling Behind Target">
      <formula>NOT(ISERROR(SEARCH("In Danger of Falling Behind Target",G54)))</formula>
    </cfRule>
    <cfRule type="containsText" dxfId="2914" priority="3212" operator="containsText" text="Not yet due">
      <formula>NOT(ISERROR(SEARCH("Not yet due",G54)))</formula>
    </cfRule>
    <cfRule type="containsText" dxfId="2913" priority="3213" operator="containsText" text="Update not Provided">
      <formula>NOT(ISERROR(SEARCH("Update not Provided",G54)))</formula>
    </cfRule>
    <cfRule type="containsText" dxfId="2912" priority="3214" operator="containsText" text="Not yet due">
      <formula>NOT(ISERROR(SEARCH("Not yet due",G54)))</formula>
    </cfRule>
    <cfRule type="containsText" dxfId="2911" priority="3215" operator="containsText" text="Completed Behind Schedule">
      <formula>NOT(ISERROR(SEARCH("Completed Behind Schedule",G54)))</formula>
    </cfRule>
    <cfRule type="containsText" dxfId="2910" priority="3216" operator="containsText" text="Off Target">
      <formula>NOT(ISERROR(SEARCH("Off Target",G54)))</formula>
    </cfRule>
    <cfRule type="containsText" dxfId="2909" priority="3217" operator="containsText" text="On Track to be Achieved">
      <formula>NOT(ISERROR(SEARCH("On Track to be Achieved",G54)))</formula>
    </cfRule>
    <cfRule type="containsText" dxfId="2908" priority="3218" operator="containsText" text="Fully Achieved">
      <formula>NOT(ISERROR(SEARCH("Fully Achieved",G54)))</formula>
    </cfRule>
    <cfRule type="containsText" dxfId="2907" priority="3219" operator="containsText" text="Not yet due">
      <formula>NOT(ISERROR(SEARCH("Not yet due",G54)))</formula>
    </cfRule>
    <cfRule type="containsText" dxfId="2906" priority="3220" operator="containsText" text="Not Yet Due">
      <formula>NOT(ISERROR(SEARCH("Not Yet Due",G54)))</formula>
    </cfRule>
    <cfRule type="containsText" dxfId="2905" priority="3221" operator="containsText" text="Deferred">
      <formula>NOT(ISERROR(SEARCH("Deferred",G54)))</formula>
    </cfRule>
    <cfRule type="containsText" dxfId="2904" priority="3222" operator="containsText" text="Deleted">
      <formula>NOT(ISERROR(SEARCH("Deleted",G54)))</formula>
    </cfRule>
    <cfRule type="containsText" dxfId="2903" priority="3223" operator="containsText" text="In Danger of Falling Behind Target">
      <formula>NOT(ISERROR(SEARCH("In Danger of Falling Behind Target",G54)))</formula>
    </cfRule>
    <cfRule type="containsText" dxfId="2902" priority="3224" operator="containsText" text="Not yet due">
      <formula>NOT(ISERROR(SEARCH("Not yet due",G54)))</formula>
    </cfRule>
    <cfRule type="containsText" dxfId="2901" priority="3225" operator="containsText" text="Completed Behind Schedule">
      <formula>NOT(ISERROR(SEARCH("Completed Behind Schedule",G54)))</formula>
    </cfRule>
    <cfRule type="containsText" dxfId="2900" priority="3226" operator="containsText" text="Off Target">
      <formula>NOT(ISERROR(SEARCH("Off Target",G54)))</formula>
    </cfRule>
    <cfRule type="containsText" dxfId="2899" priority="3227" operator="containsText" text="In Danger of Falling Behind Target">
      <formula>NOT(ISERROR(SEARCH("In Danger of Falling Behind Target",G54)))</formula>
    </cfRule>
    <cfRule type="containsText" dxfId="2898" priority="3228" operator="containsText" text="On Track to be Achieved">
      <formula>NOT(ISERROR(SEARCH("On Track to be Achieved",G54)))</formula>
    </cfRule>
    <cfRule type="containsText" dxfId="2897" priority="3229" operator="containsText" text="Fully Achieved">
      <formula>NOT(ISERROR(SEARCH("Fully Achieved",G54)))</formula>
    </cfRule>
    <cfRule type="containsText" dxfId="2896" priority="3230" operator="containsText" text="Update not Provided">
      <formula>NOT(ISERROR(SEARCH("Update not Provided",G54)))</formula>
    </cfRule>
    <cfRule type="containsText" dxfId="2895" priority="3231" operator="containsText" text="Not yet due">
      <formula>NOT(ISERROR(SEARCH("Not yet due",G54)))</formula>
    </cfRule>
    <cfRule type="containsText" dxfId="2894" priority="3232" operator="containsText" text="Completed Behind Schedule">
      <formula>NOT(ISERROR(SEARCH("Completed Behind Schedule",G54)))</formula>
    </cfRule>
    <cfRule type="containsText" dxfId="2893" priority="3233" operator="containsText" text="Off Target">
      <formula>NOT(ISERROR(SEARCH("Off Target",G54)))</formula>
    </cfRule>
    <cfRule type="containsText" dxfId="2892" priority="3234" operator="containsText" text="In Danger of Falling Behind Target">
      <formula>NOT(ISERROR(SEARCH("In Danger of Falling Behind Target",G54)))</formula>
    </cfRule>
    <cfRule type="containsText" dxfId="2891" priority="3235" operator="containsText" text="On Track to be Achieved">
      <formula>NOT(ISERROR(SEARCH("On Track to be Achieved",G54)))</formula>
    </cfRule>
    <cfRule type="containsText" dxfId="2890" priority="3236" operator="containsText" text="Fully Achieved">
      <formula>NOT(ISERROR(SEARCH("Fully Achieved",G54)))</formula>
    </cfRule>
    <cfRule type="containsText" dxfId="2889" priority="3237" operator="containsText" text="Fully Achieved">
      <formula>NOT(ISERROR(SEARCH("Fully Achieved",G54)))</formula>
    </cfRule>
    <cfRule type="containsText" dxfId="2888" priority="3238" operator="containsText" text="Fully Achieved">
      <formula>NOT(ISERROR(SEARCH("Fully Achieved",G54)))</formula>
    </cfRule>
    <cfRule type="containsText" dxfId="2887" priority="3239" operator="containsText" text="Deferred">
      <formula>NOT(ISERROR(SEARCH("Deferred",G54)))</formula>
    </cfRule>
    <cfRule type="containsText" dxfId="2886" priority="3240" operator="containsText" text="Deleted">
      <formula>NOT(ISERROR(SEARCH("Deleted",G54)))</formula>
    </cfRule>
    <cfRule type="containsText" dxfId="2885" priority="3241" operator="containsText" text="In Danger of Falling Behind Target">
      <formula>NOT(ISERROR(SEARCH("In Danger of Falling Behind Target",G54)))</formula>
    </cfRule>
    <cfRule type="containsText" dxfId="2884" priority="3242" operator="containsText" text="Not yet due">
      <formula>NOT(ISERROR(SEARCH("Not yet due",G54)))</formula>
    </cfRule>
    <cfRule type="containsText" dxfId="2883" priority="3243" operator="containsText" text="Update not Provided">
      <formula>NOT(ISERROR(SEARCH("Update not Provided",G54)))</formula>
    </cfRule>
  </conditionalFormatting>
  <conditionalFormatting sqref="G55:G60">
    <cfRule type="containsText" dxfId="2882" priority="3172" operator="containsText" text="On track to be achieved">
      <formula>NOT(ISERROR(SEARCH("On track to be achieved",G55)))</formula>
    </cfRule>
    <cfRule type="containsText" dxfId="2881" priority="3173" operator="containsText" text="Deferred">
      <formula>NOT(ISERROR(SEARCH("Deferred",G55)))</formula>
    </cfRule>
    <cfRule type="containsText" dxfId="2880" priority="3174" operator="containsText" text="Deleted">
      <formula>NOT(ISERROR(SEARCH("Deleted",G55)))</formula>
    </cfRule>
    <cfRule type="containsText" dxfId="2879" priority="3175" operator="containsText" text="In Danger of Falling Behind Target">
      <formula>NOT(ISERROR(SEARCH("In Danger of Falling Behind Target",G55)))</formula>
    </cfRule>
    <cfRule type="containsText" dxfId="2878" priority="3176" operator="containsText" text="Not yet due">
      <formula>NOT(ISERROR(SEARCH("Not yet due",G55)))</formula>
    </cfRule>
    <cfRule type="containsText" dxfId="2877" priority="3177" operator="containsText" text="Update not Provided">
      <formula>NOT(ISERROR(SEARCH("Update not Provided",G55)))</formula>
    </cfRule>
    <cfRule type="containsText" dxfId="2876" priority="3178" operator="containsText" text="Not yet due">
      <formula>NOT(ISERROR(SEARCH("Not yet due",G55)))</formula>
    </cfRule>
    <cfRule type="containsText" dxfId="2875" priority="3179" operator="containsText" text="Completed Behind Schedule">
      <formula>NOT(ISERROR(SEARCH("Completed Behind Schedule",G55)))</formula>
    </cfRule>
    <cfRule type="containsText" dxfId="2874" priority="3180" operator="containsText" text="Off Target">
      <formula>NOT(ISERROR(SEARCH("Off Target",G55)))</formula>
    </cfRule>
    <cfRule type="containsText" dxfId="2873" priority="3181" operator="containsText" text="On Track to be Achieved">
      <formula>NOT(ISERROR(SEARCH("On Track to be Achieved",G55)))</formula>
    </cfRule>
    <cfRule type="containsText" dxfId="2872" priority="3182" operator="containsText" text="Fully Achieved">
      <formula>NOT(ISERROR(SEARCH("Fully Achieved",G55)))</formula>
    </cfRule>
    <cfRule type="containsText" dxfId="2871" priority="3183" operator="containsText" text="Not yet due">
      <formula>NOT(ISERROR(SEARCH("Not yet due",G55)))</formula>
    </cfRule>
    <cfRule type="containsText" dxfId="2870" priority="3184" operator="containsText" text="Not Yet Due">
      <formula>NOT(ISERROR(SEARCH("Not Yet Due",G55)))</formula>
    </cfRule>
    <cfRule type="containsText" dxfId="2869" priority="3185" operator="containsText" text="Deferred">
      <formula>NOT(ISERROR(SEARCH("Deferred",G55)))</formula>
    </cfRule>
    <cfRule type="containsText" dxfId="2868" priority="3186" operator="containsText" text="Deleted">
      <formula>NOT(ISERROR(SEARCH("Deleted",G55)))</formula>
    </cfRule>
    <cfRule type="containsText" dxfId="2867" priority="3187" operator="containsText" text="In Danger of Falling Behind Target">
      <formula>NOT(ISERROR(SEARCH("In Danger of Falling Behind Target",G55)))</formula>
    </cfRule>
    <cfRule type="containsText" dxfId="2866" priority="3188" operator="containsText" text="Not yet due">
      <formula>NOT(ISERROR(SEARCH("Not yet due",G55)))</formula>
    </cfRule>
    <cfRule type="containsText" dxfId="2865" priority="3189" operator="containsText" text="Completed Behind Schedule">
      <formula>NOT(ISERROR(SEARCH("Completed Behind Schedule",G55)))</formula>
    </cfRule>
    <cfRule type="containsText" dxfId="2864" priority="3190" operator="containsText" text="Off Target">
      <formula>NOT(ISERROR(SEARCH("Off Target",G55)))</formula>
    </cfRule>
    <cfRule type="containsText" dxfId="2863" priority="3191" operator="containsText" text="In Danger of Falling Behind Target">
      <formula>NOT(ISERROR(SEARCH("In Danger of Falling Behind Target",G55)))</formula>
    </cfRule>
    <cfRule type="containsText" dxfId="2862" priority="3192" operator="containsText" text="On Track to be Achieved">
      <formula>NOT(ISERROR(SEARCH("On Track to be Achieved",G55)))</formula>
    </cfRule>
    <cfRule type="containsText" dxfId="2861" priority="3193" operator="containsText" text="Fully Achieved">
      <formula>NOT(ISERROR(SEARCH("Fully Achieved",G55)))</formula>
    </cfRule>
    <cfRule type="containsText" dxfId="2860" priority="3194" operator="containsText" text="Update not Provided">
      <formula>NOT(ISERROR(SEARCH("Update not Provided",G55)))</formula>
    </cfRule>
    <cfRule type="containsText" dxfId="2859" priority="3195" operator="containsText" text="Not yet due">
      <formula>NOT(ISERROR(SEARCH("Not yet due",G55)))</formula>
    </cfRule>
    <cfRule type="containsText" dxfId="2858" priority="3196" operator="containsText" text="Completed Behind Schedule">
      <formula>NOT(ISERROR(SEARCH("Completed Behind Schedule",G55)))</formula>
    </cfRule>
    <cfRule type="containsText" dxfId="2857" priority="3197" operator="containsText" text="Off Target">
      <formula>NOT(ISERROR(SEARCH("Off Target",G55)))</formula>
    </cfRule>
    <cfRule type="containsText" dxfId="2856" priority="3198" operator="containsText" text="In Danger of Falling Behind Target">
      <formula>NOT(ISERROR(SEARCH("In Danger of Falling Behind Target",G55)))</formula>
    </cfRule>
    <cfRule type="containsText" dxfId="2855" priority="3199" operator="containsText" text="On Track to be Achieved">
      <formula>NOT(ISERROR(SEARCH("On Track to be Achieved",G55)))</formula>
    </cfRule>
    <cfRule type="containsText" dxfId="2854" priority="3200" operator="containsText" text="Fully Achieved">
      <formula>NOT(ISERROR(SEARCH("Fully Achieved",G55)))</formula>
    </cfRule>
    <cfRule type="containsText" dxfId="2853" priority="3201" operator="containsText" text="Fully Achieved">
      <formula>NOT(ISERROR(SEARCH("Fully Achieved",G55)))</formula>
    </cfRule>
    <cfRule type="containsText" dxfId="2852" priority="3202" operator="containsText" text="Fully Achieved">
      <formula>NOT(ISERROR(SEARCH("Fully Achieved",G55)))</formula>
    </cfRule>
    <cfRule type="containsText" dxfId="2851" priority="3203" operator="containsText" text="Deferred">
      <formula>NOT(ISERROR(SEARCH("Deferred",G55)))</formula>
    </cfRule>
    <cfRule type="containsText" dxfId="2850" priority="3204" operator="containsText" text="Deleted">
      <formula>NOT(ISERROR(SEARCH("Deleted",G55)))</formula>
    </cfRule>
    <cfRule type="containsText" dxfId="2849" priority="3205" operator="containsText" text="In Danger of Falling Behind Target">
      <formula>NOT(ISERROR(SEARCH("In Danger of Falling Behind Target",G55)))</formula>
    </cfRule>
    <cfRule type="containsText" dxfId="2848" priority="3206" operator="containsText" text="Not yet due">
      <formula>NOT(ISERROR(SEARCH("Not yet due",G55)))</formula>
    </cfRule>
    <cfRule type="containsText" dxfId="2847" priority="3207" operator="containsText" text="Update not Provided">
      <formula>NOT(ISERROR(SEARCH("Update not Provided",G55)))</formula>
    </cfRule>
  </conditionalFormatting>
  <conditionalFormatting sqref="G62:G68">
    <cfRule type="containsText" dxfId="2846" priority="3136" operator="containsText" text="On track to be achieved">
      <formula>NOT(ISERROR(SEARCH("On track to be achieved",G62)))</formula>
    </cfRule>
    <cfRule type="containsText" dxfId="2845" priority="3137" operator="containsText" text="Deferred">
      <formula>NOT(ISERROR(SEARCH("Deferred",G62)))</formula>
    </cfRule>
    <cfRule type="containsText" dxfId="2844" priority="3138" operator="containsText" text="Deleted">
      <formula>NOT(ISERROR(SEARCH("Deleted",G62)))</formula>
    </cfRule>
    <cfRule type="containsText" dxfId="2843" priority="3139" operator="containsText" text="In Danger of Falling Behind Target">
      <formula>NOT(ISERROR(SEARCH("In Danger of Falling Behind Target",G62)))</formula>
    </cfRule>
    <cfRule type="containsText" dxfId="2842" priority="3140" operator="containsText" text="Not yet due">
      <formula>NOT(ISERROR(SEARCH("Not yet due",G62)))</formula>
    </cfRule>
    <cfRule type="containsText" dxfId="2841" priority="3141" operator="containsText" text="Update not Provided">
      <formula>NOT(ISERROR(SEARCH("Update not Provided",G62)))</formula>
    </cfRule>
    <cfRule type="containsText" dxfId="2840" priority="3142" operator="containsText" text="Not yet due">
      <formula>NOT(ISERROR(SEARCH("Not yet due",G62)))</formula>
    </cfRule>
    <cfRule type="containsText" dxfId="2839" priority="3143" operator="containsText" text="Completed Behind Schedule">
      <formula>NOT(ISERROR(SEARCH("Completed Behind Schedule",G62)))</formula>
    </cfRule>
    <cfRule type="containsText" dxfId="2838" priority="3144" operator="containsText" text="Off Target">
      <formula>NOT(ISERROR(SEARCH("Off Target",G62)))</formula>
    </cfRule>
    <cfRule type="containsText" dxfId="2837" priority="3145" operator="containsText" text="On Track to be Achieved">
      <formula>NOT(ISERROR(SEARCH("On Track to be Achieved",G62)))</formula>
    </cfRule>
    <cfRule type="containsText" dxfId="2836" priority="3146" operator="containsText" text="Fully Achieved">
      <formula>NOT(ISERROR(SEARCH("Fully Achieved",G62)))</formula>
    </cfRule>
    <cfRule type="containsText" dxfId="2835" priority="3147" operator="containsText" text="Not yet due">
      <formula>NOT(ISERROR(SEARCH("Not yet due",G62)))</formula>
    </cfRule>
    <cfRule type="containsText" dxfId="2834" priority="3148" operator="containsText" text="Not Yet Due">
      <formula>NOT(ISERROR(SEARCH("Not Yet Due",G62)))</formula>
    </cfRule>
    <cfRule type="containsText" dxfId="2833" priority="3149" operator="containsText" text="Deferred">
      <formula>NOT(ISERROR(SEARCH("Deferred",G62)))</formula>
    </cfRule>
    <cfRule type="containsText" dxfId="2832" priority="3150" operator="containsText" text="Deleted">
      <formula>NOT(ISERROR(SEARCH("Deleted",G62)))</formula>
    </cfRule>
    <cfRule type="containsText" dxfId="2831" priority="3151" operator="containsText" text="In Danger of Falling Behind Target">
      <formula>NOT(ISERROR(SEARCH("In Danger of Falling Behind Target",G62)))</formula>
    </cfRule>
    <cfRule type="containsText" dxfId="2830" priority="3152" operator="containsText" text="Not yet due">
      <formula>NOT(ISERROR(SEARCH("Not yet due",G62)))</formula>
    </cfRule>
    <cfRule type="containsText" dxfId="2829" priority="3153" operator="containsText" text="Completed Behind Schedule">
      <formula>NOT(ISERROR(SEARCH("Completed Behind Schedule",G62)))</formula>
    </cfRule>
    <cfRule type="containsText" dxfId="2828" priority="3154" operator="containsText" text="Off Target">
      <formula>NOT(ISERROR(SEARCH("Off Target",G62)))</formula>
    </cfRule>
    <cfRule type="containsText" dxfId="2827" priority="3155" operator="containsText" text="In Danger of Falling Behind Target">
      <formula>NOT(ISERROR(SEARCH("In Danger of Falling Behind Target",G62)))</formula>
    </cfRule>
    <cfRule type="containsText" dxfId="2826" priority="3156" operator="containsText" text="On Track to be Achieved">
      <formula>NOT(ISERROR(SEARCH("On Track to be Achieved",G62)))</formula>
    </cfRule>
    <cfRule type="containsText" dxfId="2825" priority="3157" operator="containsText" text="Fully Achieved">
      <formula>NOT(ISERROR(SEARCH("Fully Achieved",G62)))</formula>
    </cfRule>
    <cfRule type="containsText" dxfId="2824" priority="3158" operator="containsText" text="Update not Provided">
      <formula>NOT(ISERROR(SEARCH("Update not Provided",G62)))</formula>
    </cfRule>
    <cfRule type="containsText" dxfId="2823" priority="3159" operator="containsText" text="Not yet due">
      <formula>NOT(ISERROR(SEARCH("Not yet due",G62)))</formula>
    </cfRule>
    <cfRule type="containsText" dxfId="2822" priority="3160" operator="containsText" text="Completed Behind Schedule">
      <formula>NOT(ISERROR(SEARCH("Completed Behind Schedule",G62)))</formula>
    </cfRule>
    <cfRule type="containsText" dxfId="2821" priority="3161" operator="containsText" text="Off Target">
      <formula>NOT(ISERROR(SEARCH("Off Target",G62)))</formula>
    </cfRule>
    <cfRule type="containsText" dxfId="2820" priority="3162" operator="containsText" text="In Danger of Falling Behind Target">
      <formula>NOT(ISERROR(SEARCH("In Danger of Falling Behind Target",G62)))</formula>
    </cfRule>
    <cfRule type="containsText" dxfId="2819" priority="3163" operator="containsText" text="On Track to be Achieved">
      <formula>NOT(ISERROR(SEARCH("On Track to be Achieved",G62)))</formula>
    </cfRule>
    <cfRule type="containsText" dxfId="2818" priority="3164" operator="containsText" text="Fully Achieved">
      <formula>NOT(ISERROR(SEARCH("Fully Achieved",G62)))</formula>
    </cfRule>
    <cfRule type="containsText" dxfId="2817" priority="3165" operator="containsText" text="Fully Achieved">
      <formula>NOT(ISERROR(SEARCH("Fully Achieved",G62)))</formula>
    </cfRule>
    <cfRule type="containsText" dxfId="2816" priority="3166" operator="containsText" text="Fully Achieved">
      <formula>NOT(ISERROR(SEARCH("Fully Achieved",G62)))</formula>
    </cfRule>
    <cfRule type="containsText" dxfId="2815" priority="3167" operator="containsText" text="Deferred">
      <formula>NOT(ISERROR(SEARCH("Deferred",G62)))</formula>
    </cfRule>
    <cfRule type="containsText" dxfId="2814" priority="3168" operator="containsText" text="Deleted">
      <formula>NOT(ISERROR(SEARCH("Deleted",G62)))</formula>
    </cfRule>
    <cfRule type="containsText" dxfId="2813" priority="3169" operator="containsText" text="In Danger of Falling Behind Target">
      <formula>NOT(ISERROR(SEARCH("In Danger of Falling Behind Target",G62)))</formula>
    </cfRule>
    <cfRule type="containsText" dxfId="2812" priority="3170" operator="containsText" text="Not yet due">
      <formula>NOT(ISERROR(SEARCH("Not yet due",G62)))</formula>
    </cfRule>
    <cfRule type="containsText" dxfId="2811" priority="3171" operator="containsText" text="Update not Provided">
      <formula>NOT(ISERROR(SEARCH("Update not Provided",G62)))</formula>
    </cfRule>
  </conditionalFormatting>
  <conditionalFormatting sqref="G69">
    <cfRule type="containsText" dxfId="2810" priority="3100" operator="containsText" text="On track to be achieved">
      <formula>NOT(ISERROR(SEARCH("On track to be achieved",G69)))</formula>
    </cfRule>
    <cfRule type="containsText" dxfId="2809" priority="3101" operator="containsText" text="Deferred">
      <formula>NOT(ISERROR(SEARCH("Deferred",G69)))</formula>
    </cfRule>
    <cfRule type="containsText" dxfId="2808" priority="3102" operator="containsText" text="Deleted">
      <formula>NOT(ISERROR(SEARCH("Deleted",G69)))</formula>
    </cfRule>
    <cfRule type="containsText" dxfId="2807" priority="3103" operator="containsText" text="In Danger of Falling Behind Target">
      <formula>NOT(ISERROR(SEARCH("In Danger of Falling Behind Target",G69)))</formula>
    </cfRule>
    <cfRule type="containsText" dxfId="2806" priority="3104" operator="containsText" text="Not yet due">
      <formula>NOT(ISERROR(SEARCH("Not yet due",G69)))</formula>
    </cfRule>
    <cfRule type="containsText" dxfId="2805" priority="3105" operator="containsText" text="Update not Provided">
      <formula>NOT(ISERROR(SEARCH("Update not Provided",G69)))</formula>
    </cfRule>
    <cfRule type="containsText" dxfId="2804" priority="3106" operator="containsText" text="Not yet due">
      <formula>NOT(ISERROR(SEARCH("Not yet due",G69)))</formula>
    </cfRule>
    <cfRule type="containsText" dxfId="2803" priority="3107" operator="containsText" text="Completed Behind Schedule">
      <formula>NOT(ISERROR(SEARCH("Completed Behind Schedule",G69)))</formula>
    </cfRule>
    <cfRule type="containsText" dxfId="2802" priority="3108" operator="containsText" text="Off Target">
      <formula>NOT(ISERROR(SEARCH("Off Target",G69)))</formula>
    </cfRule>
    <cfRule type="containsText" dxfId="2801" priority="3109" operator="containsText" text="On Track to be Achieved">
      <formula>NOT(ISERROR(SEARCH("On Track to be Achieved",G69)))</formula>
    </cfRule>
    <cfRule type="containsText" dxfId="2800" priority="3110" operator="containsText" text="Fully Achieved">
      <formula>NOT(ISERROR(SEARCH("Fully Achieved",G69)))</formula>
    </cfRule>
    <cfRule type="containsText" dxfId="2799" priority="3111" operator="containsText" text="Not yet due">
      <formula>NOT(ISERROR(SEARCH("Not yet due",G69)))</formula>
    </cfRule>
    <cfRule type="containsText" dxfId="2798" priority="3112" operator="containsText" text="Not Yet Due">
      <formula>NOT(ISERROR(SEARCH("Not Yet Due",G69)))</formula>
    </cfRule>
    <cfRule type="containsText" dxfId="2797" priority="3113" operator="containsText" text="Deferred">
      <formula>NOT(ISERROR(SEARCH("Deferred",G69)))</formula>
    </cfRule>
    <cfRule type="containsText" dxfId="2796" priority="3114" operator="containsText" text="Deleted">
      <formula>NOT(ISERROR(SEARCH("Deleted",G69)))</formula>
    </cfRule>
    <cfRule type="containsText" dxfId="2795" priority="3115" operator="containsText" text="In Danger of Falling Behind Target">
      <formula>NOT(ISERROR(SEARCH("In Danger of Falling Behind Target",G69)))</formula>
    </cfRule>
    <cfRule type="containsText" dxfId="2794" priority="3116" operator="containsText" text="Not yet due">
      <formula>NOT(ISERROR(SEARCH("Not yet due",G69)))</formula>
    </cfRule>
    <cfRule type="containsText" dxfId="2793" priority="3117" operator="containsText" text="Completed Behind Schedule">
      <formula>NOT(ISERROR(SEARCH("Completed Behind Schedule",G69)))</formula>
    </cfRule>
    <cfRule type="containsText" dxfId="2792" priority="3118" operator="containsText" text="Off Target">
      <formula>NOT(ISERROR(SEARCH("Off Target",G69)))</formula>
    </cfRule>
    <cfRule type="containsText" dxfId="2791" priority="3119" operator="containsText" text="In Danger of Falling Behind Target">
      <formula>NOT(ISERROR(SEARCH("In Danger of Falling Behind Target",G69)))</formula>
    </cfRule>
    <cfRule type="containsText" dxfId="2790" priority="3120" operator="containsText" text="On Track to be Achieved">
      <formula>NOT(ISERROR(SEARCH("On Track to be Achieved",G69)))</formula>
    </cfRule>
    <cfRule type="containsText" dxfId="2789" priority="3121" operator="containsText" text="Fully Achieved">
      <formula>NOT(ISERROR(SEARCH("Fully Achieved",G69)))</formula>
    </cfRule>
    <cfRule type="containsText" dxfId="2788" priority="3122" operator="containsText" text="Update not Provided">
      <formula>NOT(ISERROR(SEARCH("Update not Provided",G69)))</formula>
    </cfRule>
    <cfRule type="containsText" dxfId="2787" priority="3123" operator="containsText" text="Not yet due">
      <formula>NOT(ISERROR(SEARCH("Not yet due",G69)))</formula>
    </cfRule>
    <cfRule type="containsText" dxfId="2786" priority="3124" operator="containsText" text="Completed Behind Schedule">
      <formula>NOT(ISERROR(SEARCH("Completed Behind Schedule",G69)))</formula>
    </cfRule>
    <cfRule type="containsText" dxfId="2785" priority="3125" operator="containsText" text="Off Target">
      <formula>NOT(ISERROR(SEARCH("Off Target",G69)))</formula>
    </cfRule>
    <cfRule type="containsText" dxfId="2784" priority="3126" operator="containsText" text="In Danger of Falling Behind Target">
      <formula>NOT(ISERROR(SEARCH("In Danger of Falling Behind Target",G69)))</formula>
    </cfRule>
    <cfRule type="containsText" dxfId="2783" priority="3127" operator="containsText" text="On Track to be Achieved">
      <formula>NOT(ISERROR(SEARCH("On Track to be Achieved",G69)))</formula>
    </cfRule>
    <cfRule type="containsText" dxfId="2782" priority="3128" operator="containsText" text="Fully Achieved">
      <formula>NOT(ISERROR(SEARCH("Fully Achieved",G69)))</formula>
    </cfRule>
    <cfRule type="containsText" dxfId="2781" priority="3129" operator="containsText" text="Fully Achieved">
      <formula>NOT(ISERROR(SEARCH("Fully Achieved",G69)))</formula>
    </cfRule>
    <cfRule type="containsText" dxfId="2780" priority="3130" operator="containsText" text="Fully Achieved">
      <formula>NOT(ISERROR(SEARCH("Fully Achieved",G69)))</formula>
    </cfRule>
    <cfRule type="containsText" dxfId="2779" priority="3131" operator="containsText" text="Deferred">
      <formula>NOT(ISERROR(SEARCH("Deferred",G69)))</formula>
    </cfRule>
    <cfRule type="containsText" dxfId="2778" priority="3132" operator="containsText" text="Deleted">
      <formula>NOT(ISERROR(SEARCH("Deleted",G69)))</formula>
    </cfRule>
    <cfRule type="containsText" dxfId="2777" priority="3133" operator="containsText" text="In Danger of Falling Behind Target">
      <formula>NOT(ISERROR(SEARCH("In Danger of Falling Behind Target",G69)))</formula>
    </cfRule>
    <cfRule type="containsText" dxfId="2776" priority="3134" operator="containsText" text="Not yet due">
      <formula>NOT(ISERROR(SEARCH("Not yet due",G69)))</formula>
    </cfRule>
    <cfRule type="containsText" dxfId="2775" priority="3135" operator="containsText" text="Update not Provided">
      <formula>NOT(ISERROR(SEARCH("Update not Provided",G69)))</formula>
    </cfRule>
  </conditionalFormatting>
  <conditionalFormatting sqref="G69">
    <cfRule type="containsText" dxfId="2774" priority="3064" operator="containsText" text="On track to be achieved">
      <formula>NOT(ISERROR(SEARCH("On track to be achieved",G69)))</formula>
    </cfRule>
    <cfRule type="containsText" dxfId="2773" priority="3065" operator="containsText" text="Deferred">
      <formula>NOT(ISERROR(SEARCH("Deferred",G69)))</formula>
    </cfRule>
    <cfRule type="containsText" dxfId="2772" priority="3066" operator="containsText" text="Deleted">
      <formula>NOT(ISERROR(SEARCH("Deleted",G69)))</formula>
    </cfRule>
    <cfRule type="containsText" dxfId="2771" priority="3067" operator="containsText" text="In Danger of Falling Behind Target">
      <formula>NOT(ISERROR(SEARCH("In Danger of Falling Behind Target",G69)))</formula>
    </cfRule>
    <cfRule type="containsText" dxfId="2770" priority="3068" operator="containsText" text="Not yet due">
      <formula>NOT(ISERROR(SEARCH("Not yet due",G69)))</formula>
    </cfRule>
    <cfRule type="containsText" dxfId="2769" priority="3069" operator="containsText" text="Update not Provided">
      <formula>NOT(ISERROR(SEARCH("Update not Provided",G69)))</formula>
    </cfRule>
    <cfRule type="containsText" dxfId="2768" priority="3070" operator="containsText" text="Not yet due">
      <formula>NOT(ISERROR(SEARCH("Not yet due",G69)))</formula>
    </cfRule>
    <cfRule type="containsText" dxfId="2767" priority="3071" operator="containsText" text="Completed Behind Schedule">
      <formula>NOT(ISERROR(SEARCH("Completed Behind Schedule",G69)))</formula>
    </cfRule>
    <cfRule type="containsText" dxfId="2766" priority="3072" operator="containsText" text="Off Target">
      <formula>NOT(ISERROR(SEARCH("Off Target",G69)))</formula>
    </cfRule>
    <cfRule type="containsText" dxfId="2765" priority="3073" operator="containsText" text="On Track to be Achieved">
      <formula>NOT(ISERROR(SEARCH("On Track to be Achieved",G69)))</formula>
    </cfRule>
    <cfRule type="containsText" dxfId="2764" priority="3074" operator="containsText" text="Fully Achieved">
      <formula>NOT(ISERROR(SEARCH("Fully Achieved",G69)))</formula>
    </cfRule>
    <cfRule type="containsText" dxfId="2763" priority="3075" operator="containsText" text="Not yet due">
      <formula>NOT(ISERROR(SEARCH("Not yet due",G69)))</formula>
    </cfRule>
    <cfRule type="containsText" dxfId="2762" priority="3076" operator="containsText" text="Not Yet Due">
      <formula>NOT(ISERROR(SEARCH("Not Yet Due",G69)))</formula>
    </cfRule>
    <cfRule type="containsText" dxfId="2761" priority="3077" operator="containsText" text="Deferred">
      <formula>NOT(ISERROR(SEARCH("Deferred",G69)))</formula>
    </cfRule>
    <cfRule type="containsText" dxfId="2760" priority="3078" operator="containsText" text="Deleted">
      <formula>NOT(ISERROR(SEARCH("Deleted",G69)))</formula>
    </cfRule>
    <cfRule type="containsText" dxfId="2759" priority="3079" operator="containsText" text="In Danger of Falling Behind Target">
      <formula>NOT(ISERROR(SEARCH("In Danger of Falling Behind Target",G69)))</formula>
    </cfRule>
    <cfRule type="containsText" dxfId="2758" priority="3080" operator="containsText" text="Not yet due">
      <formula>NOT(ISERROR(SEARCH("Not yet due",G69)))</formula>
    </cfRule>
    <cfRule type="containsText" dxfId="2757" priority="3081" operator="containsText" text="Completed Behind Schedule">
      <formula>NOT(ISERROR(SEARCH("Completed Behind Schedule",G69)))</formula>
    </cfRule>
    <cfRule type="containsText" dxfId="2756" priority="3082" operator="containsText" text="Off Target">
      <formula>NOT(ISERROR(SEARCH("Off Target",G69)))</formula>
    </cfRule>
    <cfRule type="containsText" dxfId="2755" priority="3083" operator="containsText" text="In Danger of Falling Behind Target">
      <formula>NOT(ISERROR(SEARCH("In Danger of Falling Behind Target",G69)))</formula>
    </cfRule>
    <cfRule type="containsText" dxfId="2754" priority="3084" operator="containsText" text="On Track to be Achieved">
      <formula>NOT(ISERROR(SEARCH("On Track to be Achieved",G69)))</formula>
    </cfRule>
    <cfRule type="containsText" dxfId="2753" priority="3085" operator="containsText" text="Fully Achieved">
      <formula>NOT(ISERROR(SEARCH("Fully Achieved",G69)))</formula>
    </cfRule>
    <cfRule type="containsText" dxfId="2752" priority="3086" operator="containsText" text="Update not Provided">
      <formula>NOT(ISERROR(SEARCH("Update not Provided",G69)))</formula>
    </cfRule>
    <cfRule type="containsText" dxfId="2751" priority="3087" operator="containsText" text="Not yet due">
      <formula>NOT(ISERROR(SEARCH("Not yet due",G69)))</formula>
    </cfRule>
    <cfRule type="containsText" dxfId="2750" priority="3088" operator="containsText" text="Completed Behind Schedule">
      <formula>NOT(ISERROR(SEARCH("Completed Behind Schedule",G69)))</formula>
    </cfRule>
    <cfRule type="containsText" dxfId="2749" priority="3089" operator="containsText" text="Off Target">
      <formula>NOT(ISERROR(SEARCH("Off Target",G69)))</formula>
    </cfRule>
    <cfRule type="containsText" dxfId="2748" priority="3090" operator="containsText" text="In Danger of Falling Behind Target">
      <formula>NOT(ISERROR(SEARCH("In Danger of Falling Behind Target",G69)))</formula>
    </cfRule>
    <cfRule type="containsText" dxfId="2747" priority="3091" operator="containsText" text="On Track to be Achieved">
      <formula>NOT(ISERROR(SEARCH("On Track to be Achieved",G69)))</formula>
    </cfRule>
    <cfRule type="containsText" dxfId="2746" priority="3092" operator="containsText" text="Fully Achieved">
      <formula>NOT(ISERROR(SEARCH("Fully Achieved",G69)))</formula>
    </cfRule>
    <cfRule type="containsText" dxfId="2745" priority="3093" operator="containsText" text="Fully Achieved">
      <formula>NOT(ISERROR(SEARCH("Fully Achieved",G69)))</formula>
    </cfRule>
    <cfRule type="containsText" dxfId="2744" priority="3094" operator="containsText" text="Fully Achieved">
      <formula>NOT(ISERROR(SEARCH("Fully Achieved",G69)))</formula>
    </cfRule>
    <cfRule type="containsText" dxfId="2743" priority="3095" operator="containsText" text="Deferred">
      <formula>NOT(ISERROR(SEARCH("Deferred",G69)))</formula>
    </cfRule>
    <cfRule type="containsText" dxfId="2742" priority="3096" operator="containsText" text="Deleted">
      <formula>NOT(ISERROR(SEARCH("Deleted",G69)))</formula>
    </cfRule>
    <cfRule type="containsText" dxfId="2741" priority="3097" operator="containsText" text="In Danger of Falling Behind Target">
      <formula>NOT(ISERROR(SEARCH("In Danger of Falling Behind Target",G69)))</formula>
    </cfRule>
    <cfRule type="containsText" dxfId="2740" priority="3098" operator="containsText" text="Not yet due">
      <formula>NOT(ISERROR(SEARCH("Not yet due",G69)))</formula>
    </cfRule>
    <cfRule type="containsText" dxfId="2739" priority="3099" operator="containsText" text="Update not Provided">
      <formula>NOT(ISERROR(SEARCH("Update not Provided",G69)))</formula>
    </cfRule>
  </conditionalFormatting>
  <conditionalFormatting sqref="G69">
    <cfRule type="containsText" dxfId="2738" priority="3028" operator="containsText" text="On track to be achieved">
      <formula>NOT(ISERROR(SEARCH("On track to be achieved",G69)))</formula>
    </cfRule>
    <cfRule type="containsText" dxfId="2737" priority="3029" operator="containsText" text="Deferred">
      <formula>NOT(ISERROR(SEARCH("Deferred",G69)))</formula>
    </cfRule>
    <cfRule type="containsText" dxfId="2736" priority="3030" operator="containsText" text="Deleted">
      <formula>NOT(ISERROR(SEARCH("Deleted",G69)))</formula>
    </cfRule>
    <cfRule type="containsText" dxfId="2735" priority="3031" operator="containsText" text="In Danger of Falling Behind Target">
      <formula>NOT(ISERROR(SEARCH("In Danger of Falling Behind Target",G69)))</formula>
    </cfRule>
    <cfRule type="containsText" dxfId="2734" priority="3032" operator="containsText" text="Not yet due">
      <formula>NOT(ISERROR(SEARCH("Not yet due",G69)))</formula>
    </cfRule>
    <cfRule type="containsText" dxfId="2733" priority="3033" operator="containsText" text="Update not Provided">
      <formula>NOT(ISERROR(SEARCH("Update not Provided",G69)))</formula>
    </cfRule>
    <cfRule type="containsText" dxfId="2732" priority="3034" operator="containsText" text="Not yet due">
      <formula>NOT(ISERROR(SEARCH("Not yet due",G69)))</formula>
    </cfRule>
    <cfRule type="containsText" dxfId="2731" priority="3035" operator="containsText" text="Completed Behind Schedule">
      <formula>NOT(ISERROR(SEARCH("Completed Behind Schedule",G69)))</formula>
    </cfRule>
    <cfRule type="containsText" dxfId="2730" priority="3036" operator="containsText" text="Off Target">
      <formula>NOT(ISERROR(SEARCH("Off Target",G69)))</formula>
    </cfRule>
    <cfRule type="containsText" dxfId="2729" priority="3037" operator="containsText" text="On Track to be Achieved">
      <formula>NOT(ISERROR(SEARCH("On Track to be Achieved",G69)))</formula>
    </cfRule>
    <cfRule type="containsText" dxfId="2728" priority="3038" operator="containsText" text="Fully Achieved">
      <formula>NOT(ISERROR(SEARCH("Fully Achieved",G69)))</formula>
    </cfRule>
    <cfRule type="containsText" dxfId="2727" priority="3039" operator="containsText" text="Not yet due">
      <formula>NOT(ISERROR(SEARCH("Not yet due",G69)))</formula>
    </cfRule>
    <cfRule type="containsText" dxfId="2726" priority="3040" operator="containsText" text="Not Yet Due">
      <formula>NOT(ISERROR(SEARCH("Not Yet Due",G69)))</formula>
    </cfRule>
    <cfRule type="containsText" dxfId="2725" priority="3041" operator="containsText" text="Deferred">
      <formula>NOT(ISERROR(SEARCH("Deferred",G69)))</formula>
    </cfRule>
    <cfRule type="containsText" dxfId="2724" priority="3042" operator="containsText" text="Deleted">
      <formula>NOT(ISERROR(SEARCH("Deleted",G69)))</formula>
    </cfRule>
    <cfRule type="containsText" dxfId="2723" priority="3043" operator="containsText" text="In Danger of Falling Behind Target">
      <formula>NOT(ISERROR(SEARCH("In Danger of Falling Behind Target",G69)))</formula>
    </cfRule>
    <cfRule type="containsText" dxfId="2722" priority="3044" operator="containsText" text="Not yet due">
      <formula>NOT(ISERROR(SEARCH("Not yet due",G69)))</formula>
    </cfRule>
    <cfRule type="containsText" dxfId="2721" priority="3045" operator="containsText" text="Completed Behind Schedule">
      <formula>NOT(ISERROR(SEARCH("Completed Behind Schedule",G69)))</formula>
    </cfRule>
    <cfRule type="containsText" dxfId="2720" priority="3046" operator="containsText" text="Off Target">
      <formula>NOT(ISERROR(SEARCH("Off Target",G69)))</formula>
    </cfRule>
    <cfRule type="containsText" dxfId="2719" priority="3047" operator="containsText" text="In Danger of Falling Behind Target">
      <formula>NOT(ISERROR(SEARCH("In Danger of Falling Behind Target",G69)))</formula>
    </cfRule>
    <cfRule type="containsText" dxfId="2718" priority="3048" operator="containsText" text="On Track to be Achieved">
      <formula>NOT(ISERROR(SEARCH("On Track to be Achieved",G69)))</formula>
    </cfRule>
    <cfRule type="containsText" dxfId="2717" priority="3049" operator="containsText" text="Fully Achieved">
      <formula>NOT(ISERROR(SEARCH("Fully Achieved",G69)))</formula>
    </cfRule>
    <cfRule type="containsText" dxfId="2716" priority="3050" operator="containsText" text="Update not Provided">
      <formula>NOT(ISERROR(SEARCH("Update not Provided",G69)))</formula>
    </cfRule>
    <cfRule type="containsText" dxfId="2715" priority="3051" operator="containsText" text="Not yet due">
      <formula>NOT(ISERROR(SEARCH("Not yet due",G69)))</formula>
    </cfRule>
    <cfRule type="containsText" dxfId="2714" priority="3052" operator="containsText" text="Completed Behind Schedule">
      <formula>NOT(ISERROR(SEARCH("Completed Behind Schedule",G69)))</formula>
    </cfRule>
    <cfRule type="containsText" dxfId="2713" priority="3053" operator="containsText" text="Off Target">
      <formula>NOT(ISERROR(SEARCH("Off Target",G69)))</formula>
    </cfRule>
    <cfRule type="containsText" dxfId="2712" priority="3054" operator="containsText" text="In Danger of Falling Behind Target">
      <formula>NOT(ISERROR(SEARCH("In Danger of Falling Behind Target",G69)))</formula>
    </cfRule>
    <cfRule type="containsText" dxfId="2711" priority="3055" operator="containsText" text="On Track to be Achieved">
      <formula>NOT(ISERROR(SEARCH("On Track to be Achieved",G69)))</formula>
    </cfRule>
    <cfRule type="containsText" dxfId="2710" priority="3056" operator="containsText" text="Fully Achieved">
      <formula>NOT(ISERROR(SEARCH("Fully Achieved",G69)))</formula>
    </cfRule>
    <cfRule type="containsText" dxfId="2709" priority="3057" operator="containsText" text="Fully Achieved">
      <formula>NOT(ISERROR(SEARCH("Fully Achieved",G69)))</formula>
    </cfRule>
    <cfRule type="containsText" dxfId="2708" priority="3058" operator="containsText" text="Fully Achieved">
      <formula>NOT(ISERROR(SEARCH("Fully Achieved",G69)))</formula>
    </cfRule>
    <cfRule type="containsText" dxfId="2707" priority="3059" operator="containsText" text="Deferred">
      <formula>NOT(ISERROR(SEARCH("Deferred",G69)))</formula>
    </cfRule>
    <cfRule type="containsText" dxfId="2706" priority="3060" operator="containsText" text="Deleted">
      <formula>NOT(ISERROR(SEARCH("Deleted",G69)))</formula>
    </cfRule>
    <cfRule type="containsText" dxfId="2705" priority="3061" operator="containsText" text="In Danger of Falling Behind Target">
      <formula>NOT(ISERROR(SEARCH("In Danger of Falling Behind Target",G69)))</formula>
    </cfRule>
    <cfRule type="containsText" dxfId="2704" priority="3062" operator="containsText" text="Not yet due">
      <formula>NOT(ISERROR(SEARCH("Not yet due",G69)))</formula>
    </cfRule>
    <cfRule type="containsText" dxfId="2703" priority="3063" operator="containsText" text="Update not Provided">
      <formula>NOT(ISERROR(SEARCH("Update not Provided",G69)))</formula>
    </cfRule>
  </conditionalFormatting>
  <conditionalFormatting sqref="G70:G71">
    <cfRule type="containsText" dxfId="2702" priority="2992" operator="containsText" text="On track to be achieved">
      <formula>NOT(ISERROR(SEARCH("On track to be achieved",G70)))</formula>
    </cfRule>
    <cfRule type="containsText" dxfId="2701" priority="2993" operator="containsText" text="Deferred">
      <formula>NOT(ISERROR(SEARCH("Deferred",G70)))</formula>
    </cfRule>
    <cfRule type="containsText" dxfId="2700" priority="2994" operator="containsText" text="Deleted">
      <formula>NOT(ISERROR(SEARCH("Deleted",G70)))</formula>
    </cfRule>
    <cfRule type="containsText" dxfId="2699" priority="2995" operator="containsText" text="In Danger of Falling Behind Target">
      <formula>NOT(ISERROR(SEARCH("In Danger of Falling Behind Target",G70)))</formula>
    </cfRule>
    <cfRule type="containsText" dxfId="2698" priority="2996" operator="containsText" text="Not yet due">
      <formula>NOT(ISERROR(SEARCH("Not yet due",G70)))</formula>
    </cfRule>
    <cfRule type="containsText" dxfId="2697" priority="2997" operator="containsText" text="Update not Provided">
      <formula>NOT(ISERROR(SEARCH("Update not Provided",G70)))</formula>
    </cfRule>
    <cfRule type="containsText" dxfId="2696" priority="2998" operator="containsText" text="Not yet due">
      <formula>NOT(ISERROR(SEARCH("Not yet due",G70)))</formula>
    </cfRule>
    <cfRule type="containsText" dxfId="2695" priority="2999" operator="containsText" text="Completed Behind Schedule">
      <formula>NOT(ISERROR(SEARCH("Completed Behind Schedule",G70)))</formula>
    </cfRule>
    <cfRule type="containsText" dxfId="2694" priority="3000" operator="containsText" text="Off Target">
      <formula>NOT(ISERROR(SEARCH("Off Target",G70)))</formula>
    </cfRule>
    <cfRule type="containsText" dxfId="2693" priority="3001" operator="containsText" text="On Track to be Achieved">
      <formula>NOT(ISERROR(SEARCH("On Track to be Achieved",G70)))</formula>
    </cfRule>
    <cfRule type="containsText" dxfId="2692" priority="3002" operator="containsText" text="Fully Achieved">
      <formula>NOT(ISERROR(SEARCH("Fully Achieved",G70)))</formula>
    </cfRule>
    <cfRule type="containsText" dxfId="2691" priority="3003" operator="containsText" text="Not yet due">
      <formula>NOT(ISERROR(SEARCH("Not yet due",G70)))</formula>
    </cfRule>
    <cfRule type="containsText" dxfId="2690" priority="3004" operator="containsText" text="Not Yet Due">
      <formula>NOT(ISERROR(SEARCH("Not Yet Due",G70)))</formula>
    </cfRule>
    <cfRule type="containsText" dxfId="2689" priority="3005" operator="containsText" text="Deferred">
      <formula>NOT(ISERROR(SEARCH("Deferred",G70)))</formula>
    </cfRule>
    <cfRule type="containsText" dxfId="2688" priority="3006" operator="containsText" text="Deleted">
      <formula>NOT(ISERROR(SEARCH("Deleted",G70)))</formula>
    </cfRule>
    <cfRule type="containsText" dxfId="2687" priority="3007" operator="containsText" text="In Danger of Falling Behind Target">
      <formula>NOT(ISERROR(SEARCH("In Danger of Falling Behind Target",G70)))</formula>
    </cfRule>
    <cfRule type="containsText" dxfId="2686" priority="3008" operator="containsText" text="Not yet due">
      <formula>NOT(ISERROR(SEARCH("Not yet due",G70)))</formula>
    </cfRule>
    <cfRule type="containsText" dxfId="2685" priority="3009" operator="containsText" text="Completed Behind Schedule">
      <formula>NOT(ISERROR(SEARCH("Completed Behind Schedule",G70)))</formula>
    </cfRule>
    <cfRule type="containsText" dxfId="2684" priority="3010" operator="containsText" text="Off Target">
      <formula>NOT(ISERROR(SEARCH("Off Target",G70)))</formula>
    </cfRule>
    <cfRule type="containsText" dxfId="2683" priority="3011" operator="containsText" text="In Danger of Falling Behind Target">
      <formula>NOT(ISERROR(SEARCH("In Danger of Falling Behind Target",G70)))</formula>
    </cfRule>
    <cfRule type="containsText" dxfId="2682" priority="3012" operator="containsText" text="On Track to be Achieved">
      <formula>NOT(ISERROR(SEARCH("On Track to be Achieved",G70)))</formula>
    </cfRule>
    <cfRule type="containsText" dxfId="2681" priority="3013" operator="containsText" text="Fully Achieved">
      <formula>NOT(ISERROR(SEARCH("Fully Achieved",G70)))</formula>
    </cfRule>
    <cfRule type="containsText" dxfId="2680" priority="3014" operator="containsText" text="Update not Provided">
      <formula>NOT(ISERROR(SEARCH("Update not Provided",G70)))</formula>
    </cfRule>
    <cfRule type="containsText" dxfId="2679" priority="3015" operator="containsText" text="Not yet due">
      <formula>NOT(ISERROR(SEARCH("Not yet due",G70)))</formula>
    </cfRule>
    <cfRule type="containsText" dxfId="2678" priority="3016" operator="containsText" text="Completed Behind Schedule">
      <formula>NOT(ISERROR(SEARCH("Completed Behind Schedule",G70)))</formula>
    </cfRule>
    <cfRule type="containsText" dxfId="2677" priority="3017" operator="containsText" text="Off Target">
      <formula>NOT(ISERROR(SEARCH("Off Target",G70)))</formula>
    </cfRule>
    <cfRule type="containsText" dxfId="2676" priority="3018" operator="containsText" text="In Danger of Falling Behind Target">
      <formula>NOT(ISERROR(SEARCH("In Danger of Falling Behind Target",G70)))</formula>
    </cfRule>
    <cfRule type="containsText" dxfId="2675" priority="3019" operator="containsText" text="On Track to be Achieved">
      <formula>NOT(ISERROR(SEARCH("On Track to be Achieved",G70)))</formula>
    </cfRule>
    <cfRule type="containsText" dxfId="2674" priority="3020" operator="containsText" text="Fully Achieved">
      <formula>NOT(ISERROR(SEARCH("Fully Achieved",G70)))</formula>
    </cfRule>
    <cfRule type="containsText" dxfId="2673" priority="3021" operator="containsText" text="Fully Achieved">
      <formula>NOT(ISERROR(SEARCH("Fully Achieved",G70)))</formula>
    </cfRule>
    <cfRule type="containsText" dxfId="2672" priority="3022" operator="containsText" text="Fully Achieved">
      <formula>NOT(ISERROR(SEARCH("Fully Achieved",G70)))</formula>
    </cfRule>
    <cfRule type="containsText" dxfId="2671" priority="3023" operator="containsText" text="Deferred">
      <formula>NOT(ISERROR(SEARCH("Deferred",G70)))</formula>
    </cfRule>
    <cfRule type="containsText" dxfId="2670" priority="3024" operator="containsText" text="Deleted">
      <formula>NOT(ISERROR(SEARCH("Deleted",G70)))</formula>
    </cfRule>
    <cfRule type="containsText" dxfId="2669" priority="3025" operator="containsText" text="In Danger of Falling Behind Target">
      <formula>NOT(ISERROR(SEARCH("In Danger of Falling Behind Target",G70)))</formula>
    </cfRule>
    <cfRule type="containsText" dxfId="2668" priority="3026" operator="containsText" text="Not yet due">
      <formula>NOT(ISERROR(SEARCH("Not yet due",G70)))</formula>
    </cfRule>
    <cfRule type="containsText" dxfId="2667" priority="3027" operator="containsText" text="Update not Provided">
      <formula>NOT(ISERROR(SEARCH("Update not Provided",G70)))</formula>
    </cfRule>
  </conditionalFormatting>
  <conditionalFormatting sqref="G70:G71">
    <cfRule type="containsText" dxfId="2666" priority="2956" operator="containsText" text="On track to be achieved">
      <formula>NOT(ISERROR(SEARCH("On track to be achieved",G70)))</formula>
    </cfRule>
    <cfRule type="containsText" dxfId="2665" priority="2957" operator="containsText" text="Deferred">
      <formula>NOT(ISERROR(SEARCH("Deferred",G70)))</formula>
    </cfRule>
    <cfRule type="containsText" dxfId="2664" priority="2958" operator="containsText" text="Deleted">
      <formula>NOT(ISERROR(SEARCH("Deleted",G70)))</formula>
    </cfRule>
    <cfRule type="containsText" dxfId="2663" priority="2959" operator="containsText" text="In Danger of Falling Behind Target">
      <formula>NOT(ISERROR(SEARCH("In Danger of Falling Behind Target",G70)))</formula>
    </cfRule>
    <cfRule type="containsText" dxfId="2662" priority="2960" operator="containsText" text="Not yet due">
      <formula>NOT(ISERROR(SEARCH("Not yet due",G70)))</formula>
    </cfRule>
    <cfRule type="containsText" dxfId="2661" priority="2961" operator="containsText" text="Update not Provided">
      <formula>NOT(ISERROR(SEARCH("Update not Provided",G70)))</formula>
    </cfRule>
    <cfRule type="containsText" dxfId="2660" priority="2962" operator="containsText" text="Not yet due">
      <formula>NOT(ISERROR(SEARCH("Not yet due",G70)))</formula>
    </cfRule>
    <cfRule type="containsText" dxfId="2659" priority="2963" operator="containsText" text="Completed Behind Schedule">
      <formula>NOT(ISERROR(SEARCH("Completed Behind Schedule",G70)))</formula>
    </cfRule>
    <cfRule type="containsText" dxfId="2658" priority="2964" operator="containsText" text="Off Target">
      <formula>NOT(ISERROR(SEARCH("Off Target",G70)))</formula>
    </cfRule>
    <cfRule type="containsText" dxfId="2657" priority="2965" operator="containsText" text="On Track to be Achieved">
      <formula>NOT(ISERROR(SEARCH("On Track to be Achieved",G70)))</formula>
    </cfRule>
    <cfRule type="containsText" dxfId="2656" priority="2966" operator="containsText" text="Fully Achieved">
      <formula>NOT(ISERROR(SEARCH("Fully Achieved",G70)))</formula>
    </cfRule>
    <cfRule type="containsText" dxfId="2655" priority="2967" operator="containsText" text="Not yet due">
      <formula>NOT(ISERROR(SEARCH("Not yet due",G70)))</formula>
    </cfRule>
    <cfRule type="containsText" dxfId="2654" priority="2968" operator="containsText" text="Not Yet Due">
      <formula>NOT(ISERROR(SEARCH("Not Yet Due",G70)))</formula>
    </cfRule>
    <cfRule type="containsText" dxfId="2653" priority="2969" operator="containsText" text="Deferred">
      <formula>NOT(ISERROR(SEARCH("Deferred",G70)))</formula>
    </cfRule>
    <cfRule type="containsText" dxfId="2652" priority="2970" operator="containsText" text="Deleted">
      <formula>NOT(ISERROR(SEARCH("Deleted",G70)))</formula>
    </cfRule>
    <cfRule type="containsText" dxfId="2651" priority="2971" operator="containsText" text="In Danger of Falling Behind Target">
      <formula>NOT(ISERROR(SEARCH("In Danger of Falling Behind Target",G70)))</formula>
    </cfRule>
    <cfRule type="containsText" dxfId="2650" priority="2972" operator="containsText" text="Not yet due">
      <formula>NOT(ISERROR(SEARCH("Not yet due",G70)))</formula>
    </cfRule>
    <cfRule type="containsText" dxfId="2649" priority="2973" operator="containsText" text="Completed Behind Schedule">
      <formula>NOT(ISERROR(SEARCH("Completed Behind Schedule",G70)))</formula>
    </cfRule>
    <cfRule type="containsText" dxfId="2648" priority="2974" operator="containsText" text="Off Target">
      <formula>NOT(ISERROR(SEARCH("Off Target",G70)))</formula>
    </cfRule>
    <cfRule type="containsText" dxfId="2647" priority="2975" operator="containsText" text="In Danger of Falling Behind Target">
      <formula>NOT(ISERROR(SEARCH("In Danger of Falling Behind Target",G70)))</formula>
    </cfRule>
    <cfRule type="containsText" dxfId="2646" priority="2976" operator="containsText" text="On Track to be Achieved">
      <formula>NOT(ISERROR(SEARCH("On Track to be Achieved",G70)))</formula>
    </cfRule>
    <cfRule type="containsText" dxfId="2645" priority="2977" operator="containsText" text="Fully Achieved">
      <formula>NOT(ISERROR(SEARCH("Fully Achieved",G70)))</formula>
    </cfRule>
    <cfRule type="containsText" dxfId="2644" priority="2978" operator="containsText" text="Update not Provided">
      <formula>NOT(ISERROR(SEARCH("Update not Provided",G70)))</formula>
    </cfRule>
    <cfRule type="containsText" dxfId="2643" priority="2979" operator="containsText" text="Not yet due">
      <formula>NOT(ISERROR(SEARCH("Not yet due",G70)))</formula>
    </cfRule>
    <cfRule type="containsText" dxfId="2642" priority="2980" operator="containsText" text="Completed Behind Schedule">
      <formula>NOT(ISERROR(SEARCH("Completed Behind Schedule",G70)))</formula>
    </cfRule>
    <cfRule type="containsText" dxfId="2641" priority="2981" operator="containsText" text="Off Target">
      <formula>NOT(ISERROR(SEARCH("Off Target",G70)))</formula>
    </cfRule>
    <cfRule type="containsText" dxfId="2640" priority="2982" operator="containsText" text="In Danger of Falling Behind Target">
      <formula>NOT(ISERROR(SEARCH("In Danger of Falling Behind Target",G70)))</formula>
    </cfRule>
    <cfRule type="containsText" dxfId="2639" priority="2983" operator="containsText" text="On Track to be Achieved">
      <formula>NOT(ISERROR(SEARCH("On Track to be Achieved",G70)))</formula>
    </cfRule>
    <cfRule type="containsText" dxfId="2638" priority="2984" operator="containsText" text="Fully Achieved">
      <formula>NOT(ISERROR(SEARCH("Fully Achieved",G70)))</formula>
    </cfRule>
    <cfRule type="containsText" dxfId="2637" priority="2985" operator="containsText" text="Fully Achieved">
      <formula>NOT(ISERROR(SEARCH("Fully Achieved",G70)))</formula>
    </cfRule>
    <cfRule type="containsText" dxfId="2636" priority="2986" operator="containsText" text="Fully Achieved">
      <formula>NOT(ISERROR(SEARCH("Fully Achieved",G70)))</formula>
    </cfRule>
    <cfRule type="containsText" dxfId="2635" priority="2987" operator="containsText" text="Deferred">
      <formula>NOT(ISERROR(SEARCH("Deferred",G70)))</formula>
    </cfRule>
    <cfRule type="containsText" dxfId="2634" priority="2988" operator="containsText" text="Deleted">
      <formula>NOT(ISERROR(SEARCH("Deleted",G70)))</formula>
    </cfRule>
    <cfRule type="containsText" dxfId="2633" priority="2989" operator="containsText" text="In Danger of Falling Behind Target">
      <formula>NOT(ISERROR(SEARCH("In Danger of Falling Behind Target",G70)))</formula>
    </cfRule>
    <cfRule type="containsText" dxfId="2632" priority="2990" operator="containsText" text="Not yet due">
      <formula>NOT(ISERROR(SEARCH("Not yet due",G70)))</formula>
    </cfRule>
    <cfRule type="containsText" dxfId="2631" priority="2991" operator="containsText" text="Update not Provided">
      <formula>NOT(ISERROR(SEARCH("Update not Provided",G70)))</formula>
    </cfRule>
  </conditionalFormatting>
  <conditionalFormatting sqref="G70:G71">
    <cfRule type="containsText" dxfId="2630" priority="2920" operator="containsText" text="On track to be achieved">
      <formula>NOT(ISERROR(SEARCH("On track to be achieved",G70)))</formula>
    </cfRule>
    <cfRule type="containsText" dxfId="2629" priority="2921" operator="containsText" text="Deferred">
      <formula>NOT(ISERROR(SEARCH("Deferred",G70)))</formula>
    </cfRule>
    <cfRule type="containsText" dxfId="2628" priority="2922" operator="containsText" text="Deleted">
      <formula>NOT(ISERROR(SEARCH("Deleted",G70)))</formula>
    </cfRule>
    <cfRule type="containsText" dxfId="2627" priority="2923" operator="containsText" text="In Danger of Falling Behind Target">
      <formula>NOT(ISERROR(SEARCH("In Danger of Falling Behind Target",G70)))</formula>
    </cfRule>
    <cfRule type="containsText" dxfId="2626" priority="2924" operator="containsText" text="Not yet due">
      <formula>NOT(ISERROR(SEARCH("Not yet due",G70)))</formula>
    </cfRule>
    <cfRule type="containsText" dxfId="2625" priority="2925" operator="containsText" text="Update not Provided">
      <formula>NOT(ISERROR(SEARCH("Update not Provided",G70)))</formula>
    </cfRule>
    <cfRule type="containsText" dxfId="2624" priority="2926" operator="containsText" text="Not yet due">
      <formula>NOT(ISERROR(SEARCH("Not yet due",G70)))</formula>
    </cfRule>
    <cfRule type="containsText" dxfId="2623" priority="2927" operator="containsText" text="Completed Behind Schedule">
      <formula>NOT(ISERROR(SEARCH("Completed Behind Schedule",G70)))</formula>
    </cfRule>
    <cfRule type="containsText" dxfId="2622" priority="2928" operator="containsText" text="Off Target">
      <formula>NOT(ISERROR(SEARCH("Off Target",G70)))</formula>
    </cfRule>
    <cfRule type="containsText" dxfId="2621" priority="2929" operator="containsText" text="On Track to be Achieved">
      <formula>NOT(ISERROR(SEARCH("On Track to be Achieved",G70)))</formula>
    </cfRule>
    <cfRule type="containsText" dxfId="2620" priority="2930" operator="containsText" text="Fully Achieved">
      <formula>NOT(ISERROR(SEARCH("Fully Achieved",G70)))</formula>
    </cfRule>
    <cfRule type="containsText" dxfId="2619" priority="2931" operator="containsText" text="Not yet due">
      <formula>NOT(ISERROR(SEARCH("Not yet due",G70)))</formula>
    </cfRule>
    <cfRule type="containsText" dxfId="2618" priority="2932" operator="containsText" text="Not Yet Due">
      <formula>NOT(ISERROR(SEARCH("Not Yet Due",G70)))</formula>
    </cfRule>
    <cfRule type="containsText" dxfId="2617" priority="2933" operator="containsText" text="Deferred">
      <formula>NOT(ISERROR(SEARCH("Deferred",G70)))</formula>
    </cfRule>
    <cfRule type="containsText" dxfId="2616" priority="2934" operator="containsText" text="Deleted">
      <formula>NOT(ISERROR(SEARCH("Deleted",G70)))</formula>
    </cfRule>
    <cfRule type="containsText" dxfId="2615" priority="2935" operator="containsText" text="In Danger of Falling Behind Target">
      <formula>NOT(ISERROR(SEARCH("In Danger of Falling Behind Target",G70)))</formula>
    </cfRule>
    <cfRule type="containsText" dxfId="2614" priority="2936" operator="containsText" text="Not yet due">
      <formula>NOT(ISERROR(SEARCH("Not yet due",G70)))</formula>
    </cfRule>
    <cfRule type="containsText" dxfId="2613" priority="2937" operator="containsText" text="Completed Behind Schedule">
      <formula>NOT(ISERROR(SEARCH("Completed Behind Schedule",G70)))</formula>
    </cfRule>
    <cfRule type="containsText" dxfId="2612" priority="2938" operator="containsText" text="Off Target">
      <formula>NOT(ISERROR(SEARCH("Off Target",G70)))</formula>
    </cfRule>
    <cfRule type="containsText" dxfId="2611" priority="2939" operator="containsText" text="In Danger of Falling Behind Target">
      <formula>NOT(ISERROR(SEARCH("In Danger of Falling Behind Target",G70)))</formula>
    </cfRule>
    <cfRule type="containsText" dxfId="2610" priority="2940" operator="containsText" text="On Track to be Achieved">
      <formula>NOT(ISERROR(SEARCH("On Track to be Achieved",G70)))</formula>
    </cfRule>
    <cfRule type="containsText" dxfId="2609" priority="2941" operator="containsText" text="Fully Achieved">
      <formula>NOT(ISERROR(SEARCH("Fully Achieved",G70)))</formula>
    </cfRule>
    <cfRule type="containsText" dxfId="2608" priority="2942" operator="containsText" text="Update not Provided">
      <formula>NOT(ISERROR(SEARCH("Update not Provided",G70)))</formula>
    </cfRule>
    <cfRule type="containsText" dxfId="2607" priority="2943" operator="containsText" text="Not yet due">
      <formula>NOT(ISERROR(SEARCH("Not yet due",G70)))</formula>
    </cfRule>
    <cfRule type="containsText" dxfId="2606" priority="2944" operator="containsText" text="Completed Behind Schedule">
      <formula>NOT(ISERROR(SEARCH("Completed Behind Schedule",G70)))</formula>
    </cfRule>
    <cfRule type="containsText" dxfId="2605" priority="2945" operator="containsText" text="Off Target">
      <formula>NOT(ISERROR(SEARCH("Off Target",G70)))</formula>
    </cfRule>
    <cfRule type="containsText" dxfId="2604" priority="2946" operator="containsText" text="In Danger of Falling Behind Target">
      <formula>NOT(ISERROR(SEARCH("In Danger of Falling Behind Target",G70)))</formula>
    </cfRule>
    <cfRule type="containsText" dxfId="2603" priority="2947" operator="containsText" text="On Track to be Achieved">
      <formula>NOT(ISERROR(SEARCH("On Track to be Achieved",G70)))</formula>
    </cfRule>
    <cfRule type="containsText" dxfId="2602" priority="2948" operator="containsText" text="Fully Achieved">
      <formula>NOT(ISERROR(SEARCH("Fully Achieved",G70)))</formula>
    </cfRule>
    <cfRule type="containsText" dxfId="2601" priority="2949" operator="containsText" text="Fully Achieved">
      <formula>NOT(ISERROR(SEARCH("Fully Achieved",G70)))</formula>
    </cfRule>
    <cfRule type="containsText" dxfId="2600" priority="2950" operator="containsText" text="Fully Achieved">
      <formula>NOT(ISERROR(SEARCH("Fully Achieved",G70)))</formula>
    </cfRule>
    <cfRule type="containsText" dxfId="2599" priority="2951" operator="containsText" text="Deferred">
      <formula>NOT(ISERROR(SEARCH("Deferred",G70)))</formula>
    </cfRule>
    <cfRule type="containsText" dxfId="2598" priority="2952" operator="containsText" text="Deleted">
      <formula>NOT(ISERROR(SEARCH("Deleted",G70)))</formula>
    </cfRule>
    <cfRule type="containsText" dxfId="2597" priority="2953" operator="containsText" text="In Danger of Falling Behind Target">
      <formula>NOT(ISERROR(SEARCH("In Danger of Falling Behind Target",G70)))</formula>
    </cfRule>
    <cfRule type="containsText" dxfId="2596" priority="2954" operator="containsText" text="Not yet due">
      <formula>NOT(ISERROR(SEARCH("Not yet due",G70)))</formula>
    </cfRule>
    <cfRule type="containsText" dxfId="2595" priority="2955" operator="containsText" text="Update not Provided">
      <formula>NOT(ISERROR(SEARCH("Update not Provided",G70)))</formula>
    </cfRule>
  </conditionalFormatting>
  <conditionalFormatting sqref="G72:G73">
    <cfRule type="containsText" dxfId="2594" priority="2884" operator="containsText" text="On track to be achieved">
      <formula>NOT(ISERROR(SEARCH("On track to be achieved",G72)))</formula>
    </cfRule>
    <cfRule type="containsText" dxfId="2593" priority="2885" operator="containsText" text="Deferred">
      <formula>NOT(ISERROR(SEARCH("Deferred",G72)))</formula>
    </cfRule>
    <cfRule type="containsText" dxfId="2592" priority="2886" operator="containsText" text="Deleted">
      <formula>NOT(ISERROR(SEARCH("Deleted",G72)))</formula>
    </cfRule>
    <cfRule type="containsText" dxfId="2591" priority="2887" operator="containsText" text="In Danger of Falling Behind Target">
      <formula>NOT(ISERROR(SEARCH("In Danger of Falling Behind Target",G72)))</formula>
    </cfRule>
    <cfRule type="containsText" dxfId="2590" priority="2888" operator="containsText" text="Not yet due">
      <formula>NOT(ISERROR(SEARCH("Not yet due",G72)))</formula>
    </cfRule>
    <cfRule type="containsText" dxfId="2589" priority="2889" operator="containsText" text="Update not Provided">
      <formula>NOT(ISERROR(SEARCH("Update not Provided",G72)))</formula>
    </cfRule>
    <cfRule type="containsText" dxfId="2588" priority="2890" operator="containsText" text="Not yet due">
      <formula>NOT(ISERROR(SEARCH("Not yet due",G72)))</formula>
    </cfRule>
    <cfRule type="containsText" dxfId="2587" priority="2891" operator="containsText" text="Completed Behind Schedule">
      <formula>NOT(ISERROR(SEARCH("Completed Behind Schedule",G72)))</formula>
    </cfRule>
    <cfRule type="containsText" dxfId="2586" priority="2892" operator="containsText" text="Off Target">
      <formula>NOT(ISERROR(SEARCH("Off Target",G72)))</formula>
    </cfRule>
    <cfRule type="containsText" dxfId="2585" priority="2893" operator="containsText" text="On Track to be Achieved">
      <formula>NOT(ISERROR(SEARCH("On Track to be Achieved",G72)))</formula>
    </cfRule>
    <cfRule type="containsText" dxfId="2584" priority="2894" operator="containsText" text="Fully Achieved">
      <formula>NOT(ISERROR(SEARCH("Fully Achieved",G72)))</formula>
    </cfRule>
    <cfRule type="containsText" dxfId="2583" priority="2895" operator="containsText" text="Not yet due">
      <formula>NOT(ISERROR(SEARCH("Not yet due",G72)))</formula>
    </cfRule>
    <cfRule type="containsText" dxfId="2582" priority="2896" operator="containsText" text="Not Yet Due">
      <formula>NOT(ISERROR(SEARCH("Not Yet Due",G72)))</formula>
    </cfRule>
    <cfRule type="containsText" dxfId="2581" priority="2897" operator="containsText" text="Deferred">
      <formula>NOT(ISERROR(SEARCH("Deferred",G72)))</formula>
    </cfRule>
    <cfRule type="containsText" dxfId="2580" priority="2898" operator="containsText" text="Deleted">
      <formula>NOT(ISERROR(SEARCH("Deleted",G72)))</formula>
    </cfRule>
    <cfRule type="containsText" dxfId="2579" priority="2899" operator="containsText" text="In Danger of Falling Behind Target">
      <formula>NOT(ISERROR(SEARCH("In Danger of Falling Behind Target",G72)))</formula>
    </cfRule>
    <cfRule type="containsText" dxfId="2578" priority="2900" operator="containsText" text="Not yet due">
      <formula>NOT(ISERROR(SEARCH("Not yet due",G72)))</formula>
    </cfRule>
    <cfRule type="containsText" dxfId="2577" priority="2901" operator="containsText" text="Completed Behind Schedule">
      <formula>NOT(ISERROR(SEARCH("Completed Behind Schedule",G72)))</formula>
    </cfRule>
    <cfRule type="containsText" dxfId="2576" priority="2902" operator="containsText" text="Off Target">
      <formula>NOT(ISERROR(SEARCH("Off Target",G72)))</formula>
    </cfRule>
    <cfRule type="containsText" dxfId="2575" priority="2903" operator="containsText" text="In Danger of Falling Behind Target">
      <formula>NOT(ISERROR(SEARCH("In Danger of Falling Behind Target",G72)))</formula>
    </cfRule>
    <cfRule type="containsText" dxfId="2574" priority="2904" operator="containsText" text="On Track to be Achieved">
      <formula>NOT(ISERROR(SEARCH("On Track to be Achieved",G72)))</formula>
    </cfRule>
    <cfRule type="containsText" dxfId="2573" priority="2905" operator="containsText" text="Fully Achieved">
      <formula>NOT(ISERROR(SEARCH("Fully Achieved",G72)))</formula>
    </cfRule>
    <cfRule type="containsText" dxfId="2572" priority="2906" operator="containsText" text="Update not Provided">
      <formula>NOT(ISERROR(SEARCH("Update not Provided",G72)))</formula>
    </cfRule>
    <cfRule type="containsText" dxfId="2571" priority="2907" operator="containsText" text="Not yet due">
      <formula>NOT(ISERROR(SEARCH("Not yet due",G72)))</formula>
    </cfRule>
    <cfRule type="containsText" dxfId="2570" priority="2908" operator="containsText" text="Completed Behind Schedule">
      <formula>NOT(ISERROR(SEARCH("Completed Behind Schedule",G72)))</formula>
    </cfRule>
    <cfRule type="containsText" dxfId="2569" priority="2909" operator="containsText" text="Off Target">
      <formula>NOT(ISERROR(SEARCH("Off Target",G72)))</formula>
    </cfRule>
    <cfRule type="containsText" dxfId="2568" priority="2910" operator="containsText" text="In Danger of Falling Behind Target">
      <formula>NOT(ISERROR(SEARCH("In Danger of Falling Behind Target",G72)))</formula>
    </cfRule>
    <cfRule type="containsText" dxfId="2567" priority="2911" operator="containsText" text="On Track to be Achieved">
      <formula>NOT(ISERROR(SEARCH("On Track to be Achieved",G72)))</formula>
    </cfRule>
    <cfRule type="containsText" dxfId="2566" priority="2912" operator="containsText" text="Fully Achieved">
      <formula>NOT(ISERROR(SEARCH("Fully Achieved",G72)))</formula>
    </cfRule>
    <cfRule type="containsText" dxfId="2565" priority="2913" operator="containsText" text="Fully Achieved">
      <formula>NOT(ISERROR(SEARCH("Fully Achieved",G72)))</formula>
    </cfRule>
    <cfRule type="containsText" dxfId="2564" priority="2914" operator="containsText" text="Fully Achieved">
      <formula>NOT(ISERROR(SEARCH("Fully Achieved",G72)))</formula>
    </cfRule>
    <cfRule type="containsText" dxfId="2563" priority="2915" operator="containsText" text="Deferred">
      <formula>NOT(ISERROR(SEARCH("Deferred",G72)))</formula>
    </cfRule>
    <cfRule type="containsText" dxfId="2562" priority="2916" operator="containsText" text="Deleted">
      <formula>NOT(ISERROR(SEARCH("Deleted",G72)))</formula>
    </cfRule>
    <cfRule type="containsText" dxfId="2561" priority="2917" operator="containsText" text="In Danger of Falling Behind Target">
      <formula>NOT(ISERROR(SEARCH("In Danger of Falling Behind Target",G72)))</formula>
    </cfRule>
    <cfRule type="containsText" dxfId="2560" priority="2918" operator="containsText" text="Not yet due">
      <formula>NOT(ISERROR(SEARCH("Not yet due",G72)))</formula>
    </cfRule>
    <cfRule type="containsText" dxfId="2559" priority="2919" operator="containsText" text="Update not Provided">
      <formula>NOT(ISERROR(SEARCH("Update not Provided",G72)))</formula>
    </cfRule>
  </conditionalFormatting>
  <conditionalFormatting sqref="G74">
    <cfRule type="containsText" dxfId="2558" priority="2848" operator="containsText" text="On track to be achieved">
      <formula>NOT(ISERROR(SEARCH("On track to be achieved",G74)))</formula>
    </cfRule>
    <cfRule type="containsText" dxfId="2557" priority="2849" operator="containsText" text="Deferred">
      <formula>NOT(ISERROR(SEARCH("Deferred",G74)))</formula>
    </cfRule>
    <cfRule type="containsText" dxfId="2556" priority="2850" operator="containsText" text="Deleted">
      <formula>NOT(ISERROR(SEARCH("Deleted",G74)))</formula>
    </cfRule>
    <cfRule type="containsText" dxfId="2555" priority="2851" operator="containsText" text="In Danger of Falling Behind Target">
      <formula>NOT(ISERROR(SEARCH("In Danger of Falling Behind Target",G74)))</formula>
    </cfRule>
    <cfRule type="containsText" dxfId="2554" priority="2852" operator="containsText" text="Not yet due">
      <formula>NOT(ISERROR(SEARCH("Not yet due",G74)))</formula>
    </cfRule>
    <cfRule type="containsText" dxfId="2553" priority="2853" operator="containsText" text="Update not Provided">
      <formula>NOT(ISERROR(SEARCH("Update not Provided",G74)))</formula>
    </cfRule>
    <cfRule type="containsText" dxfId="2552" priority="2854" operator="containsText" text="Not yet due">
      <formula>NOT(ISERROR(SEARCH("Not yet due",G74)))</formula>
    </cfRule>
    <cfRule type="containsText" dxfId="2551" priority="2855" operator="containsText" text="Completed Behind Schedule">
      <formula>NOT(ISERROR(SEARCH("Completed Behind Schedule",G74)))</formula>
    </cfRule>
    <cfRule type="containsText" dxfId="2550" priority="2856" operator="containsText" text="Off Target">
      <formula>NOT(ISERROR(SEARCH("Off Target",G74)))</formula>
    </cfRule>
    <cfRule type="containsText" dxfId="2549" priority="2857" operator="containsText" text="On Track to be Achieved">
      <formula>NOT(ISERROR(SEARCH("On Track to be Achieved",G74)))</formula>
    </cfRule>
    <cfRule type="containsText" dxfId="2548" priority="2858" operator="containsText" text="Fully Achieved">
      <formula>NOT(ISERROR(SEARCH("Fully Achieved",G74)))</formula>
    </cfRule>
    <cfRule type="containsText" dxfId="2547" priority="2859" operator="containsText" text="Not yet due">
      <formula>NOT(ISERROR(SEARCH("Not yet due",G74)))</formula>
    </cfRule>
    <cfRule type="containsText" dxfId="2546" priority="2860" operator="containsText" text="Not Yet Due">
      <formula>NOT(ISERROR(SEARCH("Not Yet Due",G74)))</formula>
    </cfRule>
    <cfRule type="containsText" dxfId="2545" priority="2861" operator="containsText" text="Deferred">
      <formula>NOT(ISERROR(SEARCH("Deferred",G74)))</formula>
    </cfRule>
    <cfRule type="containsText" dxfId="2544" priority="2862" operator="containsText" text="Deleted">
      <formula>NOT(ISERROR(SEARCH("Deleted",G74)))</formula>
    </cfRule>
    <cfRule type="containsText" dxfId="2543" priority="2863" operator="containsText" text="In Danger of Falling Behind Target">
      <formula>NOT(ISERROR(SEARCH("In Danger of Falling Behind Target",G74)))</formula>
    </cfRule>
    <cfRule type="containsText" dxfId="2542" priority="2864" operator="containsText" text="Not yet due">
      <formula>NOT(ISERROR(SEARCH("Not yet due",G74)))</formula>
    </cfRule>
    <cfRule type="containsText" dxfId="2541" priority="2865" operator="containsText" text="Completed Behind Schedule">
      <formula>NOT(ISERROR(SEARCH("Completed Behind Schedule",G74)))</formula>
    </cfRule>
    <cfRule type="containsText" dxfId="2540" priority="2866" operator="containsText" text="Off Target">
      <formula>NOT(ISERROR(SEARCH("Off Target",G74)))</formula>
    </cfRule>
    <cfRule type="containsText" dxfId="2539" priority="2867" operator="containsText" text="In Danger of Falling Behind Target">
      <formula>NOT(ISERROR(SEARCH("In Danger of Falling Behind Target",G74)))</formula>
    </cfRule>
    <cfRule type="containsText" dxfId="2538" priority="2868" operator="containsText" text="On Track to be Achieved">
      <formula>NOT(ISERROR(SEARCH("On Track to be Achieved",G74)))</formula>
    </cfRule>
    <cfRule type="containsText" dxfId="2537" priority="2869" operator="containsText" text="Fully Achieved">
      <formula>NOT(ISERROR(SEARCH("Fully Achieved",G74)))</formula>
    </cfRule>
    <cfRule type="containsText" dxfId="2536" priority="2870" operator="containsText" text="Update not Provided">
      <formula>NOT(ISERROR(SEARCH("Update not Provided",G74)))</formula>
    </cfRule>
    <cfRule type="containsText" dxfId="2535" priority="2871" operator="containsText" text="Not yet due">
      <formula>NOT(ISERROR(SEARCH("Not yet due",G74)))</formula>
    </cfRule>
    <cfRule type="containsText" dxfId="2534" priority="2872" operator="containsText" text="Completed Behind Schedule">
      <formula>NOT(ISERROR(SEARCH("Completed Behind Schedule",G74)))</formula>
    </cfRule>
    <cfRule type="containsText" dxfId="2533" priority="2873" operator="containsText" text="Off Target">
      <formula>NOT(ISERROR(SEARCH("Off Target",G74)))</formula>
    </cfRule>
    <cfRule type="containsText" dxfId="2532" priority="2874" operator="containsText" text="In Danger of Falling Behind Target">
      <formula>NOT(ISERROR(SEARCH("In Danger of Falling Behind Target",G74)))</formula>
    </cfRule>
    <cfRule type="containsText" dxfId="2531" priority="2875" operator="containsText" text="On Track to be Achieved">
      <formula>NOT(ISERROR(SEARCH("On Track to be Achieved",G74)))</formula>
    </cfRule>
    <cfRule type="containsText" dxfId="2530" priority="2876" operator="containsText" text="Fully Achieved">
      <formula>NOT(ISERROR(SEARCH("Fully Achieved",G74)))</formula>
    </cfRule>
    <cfRule type="containsText" dxfId="2529" priority="2877" operator="containsText" text="Fully Achieved">
      <formula>NOT(ISERROR(SEARCH("Fully Achieved",G74)))</formula>
    </cfRule>
    <cfRule type="containsText" dxfId="2528" priority="2878" operator="containsText" text="Fully Achieved">
      <formula>NOT(ISERROR(SEARCH("Fully Achieved",G74)))</formula>
    </cfRule>
    <cfRule type="containsText" dxfId="2527" priority="2879" operator="containsText" text="Deferred">
      <formula>NOT(ISERROR(SEARCH("Deferred",G74)))</formula>
    </cfRule>
    <cfRule type="containsText" dxfId="2526" priority="2880" operator="containsText" text="Deleted">
      <formula>NOT(ISERROR(SEARCH("Deleted",G74)))</formula>
    </cfRule>
    <cfRule type="containsText" dxfId="2525" priority="2881" operator="containsText" text="In Danger of Falling Behind Target">
      <formula>NOT(ISERROR(SEARCH("In Danger of Falling Behind Target",G74)))</formula>
    </cfRule>
    <cfRule type="containsText" dxfId="2524" priority="2882" operator="containsText" text="Not yet due">
      <formula>NOT(ISERROR(SEARCH("Not yet due",G74)))</formula>
    </cfRule>
    <cfRule type="containsText" dxfId="2523" priority="2883" operator="containsText" text="Update not Provided">
      <formula>NOT(ISERROR(SEARCH("Update not Provided",G74)))</formula>
    </cfRule>
  </conditionalFormatting>
  <conditionalFormatting sqref="G74">
    <cfRule type="containsText" dxfId="2522" priority="2812" operator="containsText" text="On track to be achieved">
      <formula>NOT(ISERROR(SEARCH("On track to be achieved",G74)))</formula>
    </cfRule>
    <cfRule type="containsText" dxfId="2521" priority="2813" operator="containsText" text="Deferred">
      <formula>NOT(ISERROR(SEARCH("Deferred",G74)))</formula>
    </cfRule>
    <cfRule type="containsText" dxfId="2520" priority="2814" operator="containsText" text="Deleted">
      <formula>NOT(ISERROR(SEARCH("Deleted",G74)))</formula>
    </cfRule>
    <cfRule type="containsText" dxfId="2519" priority="2815" operator="containsText" text="In Danger of Falling Behind Target">
      <formula>NOT(ISERROR(SEARCH("In Danger of Falling Behind Target",G74)))</formula>
    </cfRule>
    <cfRule type="containsText" dxfId="2518" priority="2816" operator="containsText" text="Not yet due">
      <formula>NOT(ISERROR(SEARCH("Not yet due",G74)))</formula>
    </cfRule>
    <cfRule type="containsText" dxfId="2517" priority="2817" operator="containsText" text="Update not Provided">
      <formula>NOT(ISERROR(SEARCH("Update not Provided",G74)))</formula>
    </cfRule>
    <cfRule type="containsText" dxfId="2516" priority="2818" operator="containsText" text="Not yet due">
      <formula>NOT(ISERROR(SEARCH("Not yet due",G74)))</formula>
    </cfRule>
    <cfRule type="containsText" dxfId="2515" priority="2819" operator="containsText" text="Completed Behind Schedule">
      <formula>NOT(ISERROR(SEARCH("Completed Behind Schedule",G74)))</formula>
    </cfRule>
    <cfRule type="containsText" dxfId="2514" priority="2820" operator="containsText" text="Off Target">
      <formula>NOT(ISERROR(SEARCH("Off Target",G74)))</formula>
    </cfRule>
    <cfRule type="containsText" dxfId="2513" priority="2821" operator="containsText" text="On Track to be Achieved">
      <formula>NOT(ISERROR(SEARCH("On Track to be Achieved",G74)))</formula>
    </cfRule>
    <cfRule type="containsText" dxfId="2512" priority="2822" operator="containsText" text="Fully Achieved">
      <formula>NOT(ISERROR(SEARCH("Fully Achieved",G74)))</formula>
    </cfRule>
    <cfRule type="containsText" dxfId="2511" priority="2823" operator="containsText" text="Not yet due">
      <formula>NOT(ISERROR(SEARCH("Not yet due",G74)))</formula>
    </cfRule>
    <cfRule type="containsText" dxfId="2510" priority="2824" operator="containsText" text="Not Yet Due">
      <formula>NOT(ISERROR(SEARCH("Not Yet Due",G74)))</formula>
    </cfRule>
    <cfRule type="containsText" dxfId="2509" priority="2825" operator="containsText" text="Deferred">
      <formula>NOT(ISERROR(SEARCH("Deferred",G74)))</formula>
    </cfRule>
    <cfRule type="containsText" dxfId="2508" priority="2826" operator="containsText" text="Deleted">
      <formula>NOT(ISERROR(SEARCH("Deleted",G74)))</formula>
    </cfRule>
    <cfRule type="containsText" dxfId="2507" priority="2827" operator="containsText" text="In Danger of Falling Behind Target">
      <formula>NOT(ISERROR(SEARCH("In Danger of Falling Behind Target",G74)))</formula>
    </cfRule>
    <cfRule type="containsText" dxfId="2506" priority="2828" operator="containsText" text="Not yet due">
      <formula>NOT(ISERROR(SEARCH("Not yet due",G74)))</formula>
    </cfRule>
    <cfRule type="containsText" dxfId="2505" priority="2829" operator="containsText" text="Completed Behind Schedule">
      <formula>NOT(ISERROR(SEARCH("Completed Behind Schedule",G74)))</formula>
    </cfRule>
    <cfRule type="containsText" dxfId="2504" priority="2830" operator="containsText" text="Off Target">
      <formula>NOT(ISERROR(SEARCH("Off Target",G74)))</formula>
    </cfRule>
    <cfRule type="containsText" dxfId="2503" priority="2831" operator="containsText" text="In Danger of Falling Behind Target">
      <formula>NOT(ISERROR(SEARCH("In Danger of Falling Behind Target",G74)))</formula>
    </cfRule>
    <cfRule type="containsText" dxfId="2502" priority="2832" operator="containsText" text="On Track to be Achieved">
      <formula>NOT(ISERROR(SEARCH("On Track to be Achieved",G74)))</formula>
    </cfRule>
    <cfRule type="containsText" dxfId="2501" priority="2833" operator="containsText" text="Fully Achieved">
      <formula>NOT(ISERROR(SEARCH("Fully Achieved",G74)))</formula>
    </cfRule>
    <cfRule type="containsText" dxfId="2500" priority="2834" operator="containsText" text="Update not Provided">
      <formula>NOT(ISERROR(SEARCH("Update not Provided",G74)))</formula>
    </cfRule>
    <cfRule type="containsText" dxfId="2499" priority="2835" operator="containsText" text="Not yet due">
      <formula>NOT(ISERROR(SEARCH("Not yet due",G74)))</formula>
    </cfRule>
    <cfRule type="containsText" dxfId="2498" priority="2836" operator="containsText" text="Completed Behind Schedule">
      <formula>NOT(ISERROR(SEARCH("Completed Behind Schedule",G74)))</formula>
    </cfRule>
    <cfRule type="containsText" dxfId="2497" priority="2837" operator="containsText" text="Off Target">
      <formula>NOT(ISERROR(SEARCH("Off Target",G74)))</formula>
    </cfRule>
    <cfRule type="containsText" dxfId="2496" priority="2838" operator="containsText" text="In Danger of Falling Behind Target">
      <formula>NOT(ISERROR(SEARCH("In Danger of Falling Behind Target",G74)))</formula>
    </cfRule>
    <cfRule type="containsText" dxfId="2495" priority="2839" operator="containsText" text="On Track to be Achieved">
      <formula>NOT(ISERROR(SEARCH("On Track to be Achieved",G74)))</formula>
    </cfRule>
    <cfRule type="containsText" dxfId="2494" priority="2840" operator="containsText" text="Fully Achieved">
      <formula>NOT(ISERROR(SEARCH("Fully Achieved",G74)))</formula>
    </cfRule>
    <cfRule type="containsText" dxfId="2493" priority="2841" operator="containsText" text="Fully Achieved">
      <formula>NOT(ISERROR(SEARCH("Fully Achieved",G74)))</formula>
    </cfRule>
    <cfRule type="containsText" dxfId="2492" priority="2842" operator="containsText" text="Fully Achieved">
      <formula>NOT(ISERROR(SEARCH("Fully Achieved",G74)))</formula>
    </cfRule>
    <cfRule type="containsText" dxfId="2491" priority="2843" operator="containsText" text="Deferred">
      <formula>NOT(ISERROR(SEARCH("Deferred",G74)))</formula>
    </cfRule>
    <cfRule type="containsText" dxfId="2490" priority="2844" operator="containsText" text="Deleted">
      <formula>NOT(ISERROR(SEARCH("Deleted",G74)))</formula>
    </cfRule>
    <cfRule type="containsText" dxfId="2489" priority="2845" operator="containsText" text="In Danger of Falling Behind Target">
      <formula>NOT(ISERROR(SEARCH("In Danger of Falling Behind Target",G74)))</formula>
    </cfRule>
    <cfRule type="containsText" dxfId="2488" priority="2846" operator="containsText" text="Not yet due">
      <formula>NOT(ISERROR(SEARCH("Not yet due",G74)))</formula>
    </cfRule>
    <cfRule type="containsText" dxfId="2487" priority="2847" operator="containsText" text="Update not Provided">
      <formula>NOT(ISERROR(SEARCH("Update not Provided",G74)))</formula>
    </cfRule>
  </conditionalFormatting>
  <conditionalFormatting sqref="G75:G77">
    <cfRule type="containsText" dxfId="2486" priority="2776" operator="containsText" text="On track to be achieved">
      <formula>NOT(ISERROR(SEARCH("On track to be achieved",G75)))</formula>
    </cfRule>
    <cfRule type="containsText" dxfId="2485" priority="2777" operator="containsText" text="Deferred">
      <formula>NOT(ISERROR(SEARCH("Deferred",G75)))</formula>
    </cfRule>
    <cfRule type="containsText" dxfId="2484" priority="2778" operator="containsText" text="Deleted">
      <formula>NOT(ISERROR(SEARCH("Deleted",G75)))</formula>
    </cfRule>
    <cfRule type="containsText" dxfId="2483" priority="2779" operator="containsText" text="In Danger of Falling Behind Target">
      <formula>NOT(ISERROR(SEARCH("In Danger of Falling Behind Target",G75)))</formula>
    </cfRule>
    <cfRule type="containsText" dxfId="2482" priority="2780" operator="containsText" text="Not yet due">
      <formula>NOT(ISERROR(SEARCH("Not yet due",G75)))</formula>
    </cfRule>
    <cfRule type="containsText" dxfId="2481" priority="2781" operator="containsText" text="Update not Provided">
      <formula>NOT(ISERROR(SEARCH("Update not Provided",G75)))</formula>
    </cfRule>
    <cfRule type="containsText" dxfId="2480" priority="2782" operator="containsText" text="Not yet due">
      <formula>NOT(ISERROR(SEARCH("Not yet due",G75)))</formula>
    </cfRule>
    <cfRule type="containsText" dxfId="2479" priority="2783" operator="containsText" text="Completed Behind Schedule">
      <formula>NOT(ISERROR(SEARCH("Completed Behind Schedule",G75)))</formula>
    </cfRule>
    <cfRule type="containsText" dxfId="2478" priority="2784" operator="containsText" text="Off Target">
      <formula>NOT(ISERROR(SEARCH("Off Target",G75)))</formula>
    </cfRule>
    <cfRule type="containsText" dxfId="2477" priority="2785" operator="containsText" text="On Track to be Achieved">
      <formula>NOT(ISERROR(SEARCH("On Track to be Achieved",G75)))</formula>
    </cfRule>
    <cfRule type="containsText" dxfId="2476" priority="2786" operator="containsText" text="Fully Achieved">
      <formula>NOT(ISERROR(SEARCH("Fully Achieved",G75)))</formula>
    </cfRule>
    <cfRule type="containsText" dxfId="2475" priority="2787" operator="containsText" text="Not yet due">
      <formula>NOT(ISERROR(SEARCH("Not yet due",G75)))</formula>
    </cfRule>
    <cfRule type="containsText" dxfId="2474" priority="2788" operator="containsText" text="Not Yet Due">
      <formula>NOT(ISERROR(SEARCH("Not Yet Due",G75)))</formula>
    </cfRule>
    <cfRule type="containsText" dxfId="2473" priority="2789" operator="containsText" text="Deferred">
      <formula>NOT(ISERROR(SEARCH("Deferred",G75)))</formula>
    </cfRule>
    <cfRule type="containsText" dxfId="2472" priority="2790" operator="containsText" text="Deleted">
      <formula>NOT(ISERROR(SEARCH("Deleted",G75)))</formula>
    </cfRule>
    <cfRule type="containsText" dxfId="2471" priority="2791" operator="containsText" text="In Danger of Falling Behind Target">
      <formula>NOT(ISERROR(SEARCH("In Danger of Falling Behind Target",G75)))</formula>
    </cfRule>
    <cfRule type="containsText" dxfId="2470" priority="2792" operator="containsText" text="Not yet due">
      <formula>NOT(ISERROR(SEARCH("Not yet due",G75)))</formula>
    </cfRule>
    <cfRule type="containsText" dxfId="2469" priority="2793" operator="containsText" text="Completed Behind Schedule">
      <formula>NOT(ISERROR(SEARCH("Completed Behind Schedule",G75)))</formula>
    </cfRule>
    <cfRule type="containsText" dxfId="2468" priority="2794" operator="containsText" text="Off Target">
      <formula>NOT(ISERROR(SEARCH("Off Target",G75)))</formula>
    </cfRule>
    <cfRule type="containsText" dxfId="2467" priority="2795" operator="containsText" text="In Danger of Falling Behind Target">
      <formula>NOT(ISERROR(SEARCH("In Danger of Falling Behind Target",G75)))</formula>
    </cfRule>
    <cfRule type="containsText" dxfId="2466" priority="2796" operator="containsText" text="On Track to be Achieved">
      <formula>NOT(ISERROR(SEARCH("On Track to be Achieved",G75)))</formula>
    </cfRule>
    <cfRule type="containsText" dxfId="2465" priority="2797" operator="containsText" text="Fully Achieved">
      <formula>NOT(ISERROR(SEARCH("Fully Achieved",G75)))</formula>
    </cfRule>
    <cfRule type="containsText" dxfId="2464" priority="2798" operator="containsText" text="Update not Provided">
      <formula>NOT(ISERROR(SEARCH("Update not Provided",G75)))</formula>
    </cfRule>
    <cfRule type="containsText" dxfId="2463" priority="2799" operator="containsText" text="Not yet due">
      <formula>NOT(ISERROR(SEARCH("Not yet due",G75)))</formula>
    </cfRule>
    <cfRule type="containsText" dxfId="2462" priority="2800" operator="containsText" text="Completed Behind Schedule">
      <formula>NOT(ISERROR(SEARCH("Completed Behind Schedule",G75)))</formula>
    </cfRule>
    <cfRule type="containsText" dxfId="2461" priority="2801" operator="containsText" text="Off Target">
      <formula>NOT(ISERROR(SEARCH("Off Target",G75)))</formula>
    </cfRule>
    <cfRule type="containsText" dxfId="2460" priority="2802" operator="containsText" text="In Danger of Falling Behind Target">
      <formula>NOT(ISERROR(SEARCH("In Danger of Falling Behind Target",G75)))</formula>
    </cfRule>
    <cfRule type="containsText" dxfId="2459" priority="2803" operator="containsText" text="On Track to be Achieved">
      <formula>NOT(ISERROR(SEARCH("On Track to be Achieved",G75)))</formula>
    </cfRule>
    <cfRule type="containsText" dxfId="2458" priority="2804" operator="containsText" text="Fully Achieved">
      <formula>NOT(ISERROR(SEARCH("Fully Achieved",G75)))</formula>
    </cfRule>
    <cfRule type="containsText" dxfId="2457" priority="2805" operator="containsText" text="Fully Achieved">
      <formula>NOT(ISERROR(SEARCH("Fully Achieved",G75)))</formula>
    </cfRule>
    <cfRule type="containsText" dxfId="2456" priority="2806" operator="containsText" text="Fully Achieved">
      <formula>NOT(ISERROR(SEARCH("Fully Achieved",G75)))</formula>
    </cfRule>
    <cfRule type="containsText" dxfId="2455" priority="2807" operator="containsText" text="Deferred">
      <formula>NOT(ISERROR(SEARCH("Deferred",G75)))</formula>
    </cfRule>
    <cfRule type="containsText" dxfId="2454" priority="2808" operator="containsText" text="Deleted">
      <formula>NOT(ISERROR(SEARCH("Deleted",G75)))</formula>
    </cfRule>
    <cfRule type="containsText" dxfId="2453" priority="2809" operator="containsText" text="In Danger of Falling Behind Target">
      <formula>NOT(ISERROR(SEARCH("In Danger of Falling Behind Target",G75)))</formula>
    </cfRule>
    <cfRule type="containsText" dxfId="2452" priority="2810" operator="containsText" text="Not yet due">
      <formula>NOT(ISERROR(SEARCH("Not yet due",G75)))</formula>
    </cfRule>
    <cfRule type="containsText" dxfId="2451" priority="2811" operator="containsText" text="Update not Provided">
      <formula>NOT(ISERROR(SEARCH("Update not Provided",G75)))</formula>
    </cfRule>
  </conditionalFormatting>
  <conditionalFormatting sqref="G79:G82">
    <cfRule type="containsText" dxfId="2450" priority="2740" operator="containsText" text="On track to be achieved">
      <formula>NOT(ISERROR(SEARCH("On track to be achieved",G79)))</formula>
    </cfRule>
    <cfRule type="containsText" dxfId="2449" priority="2741" operator="containsText" text="Deferred">
      <formula>NOT(ISERROR(SEARCH("Deferred",G79)))</formula>
    </cfRule>
    <cfRule type="containsText" dxfId="2448" priority="2742" operator="containsText" text="Deleted">
      <formula>NOT(ISERROR(SEARCH("Deleted",G79)))</formula>
    </cfRule>
    <cfRule type="containsText" dxfId="2447" priority="2743" operator="containsText" text="In Danger of Falling Behind Target">
      <formula>NOT(ISERROR(SEARCH("In Danger of Falling Behind Target",G79)))</formula>
    </cfRule>
    <cfRule type="containsText" dxfId="2446" priority="2744" operator="containsText" text="Not yet due">
      <formula>NOT(ISERROR(SEARCH("Not yet due",G79)))</formula>
    </cfRule>
    <cfRule type="containsText" dxfId="2445" priority="2745" operator="containsText" text="Update not Provided">
      <formula>NOT(ISERROR(SEARCH("Update not Provided",G79)))</formula>
    </cfRule>
    <cfRule type="containsText" dxfId="2444" priority="2746" operator="containsText" text="Not yet due">
      <formula>NOT(ISERROR(SEARCH("Not yet due",G79)))</formula>
    </cfRule>
    <cfRule type="containsText" dxfId="2443" priority="2747" operator="containsText" text="Completed Behind Schedule">
      <formula>NOT(ISERROR(SEARCH("Completed Behind Schedule",G79)))</formula>
    </cfRule>
    <cfRule type="containsText" dxfId="2442" priority="2748" operator="containsText" text="Off Target">
      <formula>NOT(ISERROR(SEARCH("Off Target",G79)))</formula>
    </cfRule>
    <cfRule type="containsText" dxfId="2441" priority="2749" operator="containsText" text="On Track to be Achieved">
      <formula>NOT(ISERROR(SEARCH("On Track to be Achieved",G79)))</formula>
    </cfRule>
    <cfRule type="containsText" dxfId="2440" priority="2750" operator="containsText" text="Fully Achieved">
      <formula>NOT(ISERROR(SEARCH("Fully Achieved",G79)))</formula>
    </cfRule>
    <cfRule type="containsText" dxfId="2439" priority="2751" operator="containsText" text="Not yet due">
      <formula>NOT(ISERROR(SEARCH("Not yet due",G79)))</formula>
    </cfRule>
    <cfRule type="containsText" dxfId="2438" priority="2752" operator="containsText" text="Not Yet Due">
      <formula>NOT(ISERROR(SEARCH("Not Yet Due",G79)))</formula>
    </cfRule>
    <cfRule type="containsText" dxfId="2437" priority="2753" operator="containsText" text="Deferred">
      <formula>NOT(ISERROR(SEARCH("Deferred",G79)))</formula>
    </cfRule>
    <cfRule type="containsText" dxfId="2436" priority="2754" operator="containsText" text="Deleted">
      <formula>NOT(ISERROR(SEARCH("Deleted",G79)))</formula>
    </cfRule>
    <cfRule type="containsText" dxfId="2435" priority="2755" operator="containsText" text="In Danger of Falling Behind Target">
      <formula>NOT(ISERROR(SEARCH("In Danger of Falling Behind Target",G79)))</formula>
    </cfRule>
    <cfRule type="containsText" dxfId="2434" priority="2756" operator="containsText" text="Not yet due">
      <formula>NOT(ISERROR(SEARCH("Not yet due",G79)))</formula>
    </cfRule>
    <cfRule type="containsText" dxfId="2433" priority="2757" operator="containsText" text="Completed Behind Schedule">
      <formula>NOT(ISERROR(SEARCH("Completed Behind Schedule",G79)))</formula>
    </cfRule>
    <cfRule type="containsText" dxfId="2432" priority="2758" operator="containsText" text="Off Target">
      <formula>NOT(ISERROR(SEARCH("Off Target",G79)))</formula>
    </cfRule>
    <cfRule type="containsText" dxfId="2431" priority="2759" operator="containsText" text="In Danger of Falling Behind Target">
      <formula>NOT(ISERROR(SEARCH("In Danger of Falling Behind Target",G79)))</formula>
    </cfRule>
    <cfRule type="containsText" dxfId="2430" priority="2760" operator="containsText" text="On Track to be Achieved">
      <formula>NOT(ISERROR(SEARCH("On Track to be Achieved",G79)))</formula>
    </cfRule>
    <cfRule type="containsText" dxfId="2429" priority="2761" operator="containsText" text="Fully Achieved">
      <formula>NOT(ISERROR(SEARCH("Fully Achieved",G79)))</formula>
    </cfRule>
    <cfRule type="containsText" dxfId="2428" priority="2762" operator="containsText" text="Update not Provided">
      <formula>NOT(ISERROR(SEARCH("Update not Provided",G79)))</formula>
    </cfRule>
    <cfRule type="containsText" dxfId="2427" priority="2763" operator="containsText" text="Not yet due">
      <formula>NOT(ISERROR(SEARCH("Not yet due",G79)))</formula>
    </cfRule>
    <cfRule type="containsText" dxfId="2426" priority="2764" operator="containsText" text="Completed Behind Schedule">
      <formula>NOT(ISERROR(SEARCH("Completed Behind Schedule",G79)))</formula>
    </cfRule>
    <cfRule type="containsText" dxfId="2425" priority="2765" operator="containsText" text="Off Target">
      <formula>NOT(ISERROR(SEARCH("Off Target",G79)))</formula>
    </cfRule>
    <cfRule type="containsText" dxfId="2424" priority="2766" operator="containsText" text="In Danger of Falling Behind Target">
      <formula>NOT(ISERROR(SEARCH("In Danger of Falling Behind Target",G79)))</formula>
    </cfRule>
    <cfRule type="containsText" dxfId="2423" priority="2767" operator="containsText" text="On Track to be Achieved">
      <formula>NOT(ISERROR(SEARCH("On Track to be Achieved",G79)))</formula>
    </cfRule>
    <cfRule type="containsText" dxfId="2422" priority="2768" operator="containsText" text="Fully Achieved">
      <formula>NOT(ISERROR(SEARCH("Fully Achieved",G79)))</formula>
    </cfRule>
    <cfRule type="containsText" dxfId="2421" priority="2769" operator="containsText" text="Fully Achieved">
      <formula>NOT(ISERROR(SEARCH("Fully Achieved",G79)))</formula>
    </cfRule>
    <cfRule type="containsText" dxfId="2420" priority="2770" operator="containsText" text="Fully Achieved">
      <formula>NOT(ISERROR(SEARCH("Fully Achieved",G79)))</formula>
    </cfRule>
    <cfRule type="containsText" dxfId="2419" priority="2771" operator="containsText" text="Deferred">
      <formula>NOT(ISERROR(SEARCH("Deferred",G79)))</formula>
    </cfRule>
    <cfRule type="containsText" dxfId="2418" priority="2772" operator="containsText" text="Deleted">
      <formula>NOT(ISERROR(SEARCH("Deleted",G79)))</formula>
    </cfRule>
    <cfRule type="containsText" dxfId="2417" priority="2773" operator="containsText" text="In Danger of Falling Behind Target">
      <formula>NOT(ISERROR(SEARCH("In Danger of Falling Behind Target",G79)))</formula>
    </cfRule>
    <cfRule type="containsText" dxfId="2416" priority="2774" operator="containsText" text="Not yet due">
      <formula>NOT(ISERROR(SEARCH("Not yet due",G79)))</formula>
    </cfRule>
    <cfRule type="containsText" dxfId="2415" priority="2775" operator="containsText" text="Update not Provided">
      <formula>NOT(ISERROR(SEARCH("Update not Provided",G79)))</formula>
    </cfRule>
  </conditionalFormatting>
  <conditionalFormatting sqref="G84:G85">
    <cfRule type="containsText" dxfId="2414" priority="2704" operator="containsText" text="On track to be achieved">
      <formula>NOT(ISERROR(SEARCH("On track to be achieved",G84)))</formula>
    </cfRule>
    <cfRule type="containsText" dxfId="2413" priority="2705" operator="containsText" text="Deferred">
      <formula>NOT(ISERROR(SEARCH("Deferred",G84)))</formula>
    </cfRule>
    <cfRule type="containsText" dxfId="2412" priority="2706" operator="containsText" text="Deleted">
      <formula>NOT(ISERROR(SEARCH("Deleted",G84)))</formula>
    </cfRule>
    <cfRule type="containsText" dxfId="2411" priority="2707" operator="containsText" text="In Danger of Falling Behind Target">
      <formula>NOT(ISERROR(SEARCH("In Danger of Falling Behind Target",G84)))</formula>
    </cfRule>
    <cfRule type="containsText" dxfId="2410" priority="2708" operator="containsText" text="Not yet due">
      <formula>NOT(ISERROR(SEARCH("Not yet due",G84)))</formula>
    </cfRule>
    <cfRule type="containsText" dxfId="2409" priority="2709" operator="containsText" text="Update not Provided">
      <formula>NOT(ISERROR(SEARCH("Update not Provided",G84)))</formula>
    </cfRule>
    <cfRule type="containsText" dxfId="2408" priority="2710" operator="containsText" text="Not yet due">
      <formula>NOT(ISERROR(SEARCH("Not yet due",G84)))</formula>
    </cfRule>
    <cfRule type="containsText" dxfId="2407" priority="2711" operator="containsText" text="Completed Behind Schedule">
      <formula>NOT(ISERROR(SEARCH("Completed Behind Schedule",G84)))</formula>
    </cfRule>
    <cfRule type="containsText" dxfId="2406" priority="2712" operator="containsText" text="Off Target">
      <formula>NOT(ISERROR(SEARCH("Off Target",G84)))</formula>
    </cfRule>
    <cfRule type="containsText" dxfId="2405" priority="2713" operator="containsText" text="On Track to be Achieved">
      <formula>NOT(ISERROR(SEARCH("On Track to be Achieved",G84)))</formula>
    </cfRule>
    <cfRule type="containsText" dxfId="2404" priority="2714" operator="containsText" text="Fully Achieved">
      <formula>NOT(ISERROR(SEARCH("Fully Achieved",G84)))</formula>
    </cfRule>
    <cfRule type="containsText" dxfId="2403" priority="2715" operator="containsText" text="Not yet due">
      <formula>NOT(ISERROR(SEARCH("Not yet due",G84)))</formula>
    </cfRule>
    <cfRule type="containsText" dxfId="2402" priority="2716" operator="containsText" text="Not Yet Due">
      <formula>NOT(ISERROR(SEARCH("Not Yet Due",G84)))</formula>
    </cfRule>
    <cfRule type="containsText" dxfId="2401" priority="2717" operator="containsText" text="Deferred">
      <formula>NOT(ISERROR(SEARCH("Deferred",G84)))</formula>
    </cfRule>
    <cfRule type="containsText" dxfId="2400" priority="2718" operator="containsText" text="Deleted">
      <formula>NOT(ISERROR(SEARCH("Deleted",G84)))</formula>
    </cfRule>
    <cfRule type="containsText" dxfId="2399" priority="2719" operator="containsText" text="In Danger of Falling Behind Target">
      <formula>NOT(ISERROR(SEARCH("In Danger of Falling Behind Target",G84)))</formula>
    </cfRule>
    <cfRule type="containsText" dxfId="2398" priority="2720" operator="containsText" text="Not yet due">
      <formula>NOT(ISERROR(SEARCH("Not yet due",G84)))</formula>
    </cfRule>
    <cfRule type="containsText" dxfId="2397" priority="2721" operator="containsText" text="Completed Behind Schedule">
      <formula>NOT(ISERROR(SEARCH("Completed Behind Schedule",G84)))</formula>
    </cfRule>
    <cfRule type="containsText" dxfId="2396" priority="2722" operator="containsText" text="Off Target">
      <formula>NOT(ISERROR(SEARCH("Off Target",G84)))</formula>
    </cfRule>
    <cfRule type="containsText" dxfId="2395" priority="2723" operator="containsText" text="In Danger of Falling Behind Target">
      <formula>NOT(ISERROR(SEARCH("In Danger of Falling Behind Target",G84)))</formula>
    </cfRule>
    <cfRule type="containsText" dxfId="2394" priority="2724" operator="containsText" text="On Track to be Achieved">
      <formula>NOT(ISERROR(SEARCH("On Track to be Achieved",G84)))</formula>
    </cfRule>
    <cfRule type="containsText" dxfId="2393" priority="2725" operator="containsText" text="Fully Achieved">
      <formula>NOT(ISERROR(SEARCH("Fully Achieved",G84)))</formula>
    </cfRule>
    <cfRule type="containsText" dxfId="2392" priority="2726" operator="containsText" text="Update not Provided">
      <formula>NOT(ISERROR(SEARCH("Update not Provided",G84)))</formula>
    </cfRule>
    <cfRule type="containsText" dxfId="2391" priority="2727" operator="containsText" text="Not yet due">
      <formula>NOT(ISERROR(SEARCH("Not yet due",G84)))</formula>
    </cfRule>
    <cfRule type="containsText" dxfId="2390" priority="2728" operator="containsText" text="Completed Behind Schedule">
      <formula>NOT(ISERROR(SEARCH("Completed Behind Schedule",G84)))</formula>
    </cfRule>
    <cfRule type="containsText" dxfId="2389" priority="2729" operator="containsText" text="Off Target">
      <formula>NOT(ISERROR(SEARCH("Off Target",G84)))</formula>
    </cfRule>
    <cfRule type="containsText" dxfId="2388" priority="2730" operator="containsText" text="In Danger of Falling Behind Target">
      <formula>NOT(ISERROR(SEARCH("In Danger of Falling Behind Target",G84)))</formula>
    </cfRule>
    <cfRule type="containsText" dxfId="2387" priority="2731" operator="containsText" text="On Track to be Achieved">
      <formula>NOT(ISERROR(SEARCH("On Track to be Achieved",G84)))</formula>
    </cfRule>
    <cfRule type="containsText" dxfId="2386" priority="2732" operator="containsText" text="Fully Achieved">
      <formula>NOT(ISERROR(SEARCH("Fully Achieved",G84)))</formula>
    </cfRule>
    <cfRule type="containsText" dxfId="2385" priority="2733" operator="containsText" text="Fully Achieved">
      <formula>NOT(ISERROR(SEARCH("Fully Achieved",G84)))</formula>
    </cfRule>
    <cfRule type="containsText" dxfId="2384" priority="2734" operator="containsText" text="Fully Achieved">
      <formula>NOT(ISERROR(SEARCH("Fully Achieved",G84)))</formula>
    </cfRule>
    <cfRule type="containsText" dxfId="2383" priority="2735" operator="containsText" text="Deferred">
      <formula>NOT(ISERROR(SEARCH("Deferred",G84)))</formula>
    </cfRule>
    <cfRule type="containsText" dxfId="2382" priority="2736" operator="containsText" text="Deleted">
      <formula>NOT(ISERROR(SEARCH("Deleted",G84)))</formula>
    </cfRule>
    <cfRule type="containsText" dxfId="2381" priority="2737" operator="containsText" text="In Danger of Falling Behind Target">
      <formula>NOT(ISERROR(SEARCH("In Danger of Falling Behind Target",G84)))</formula>
    </cfRule>
    <cfRule type="containsText" dxfId="2380" priority="2738" operator="containsText" text="Not yet due">
      <formula>NOT(ISERROR(SEARCH("Not yet due",G84)))</formula>
    </cfRule>
    <cfRule type="containsText" dxfId="2379" priority="2739" operator="containsText" text="Update not Provided">
      <formula>NOT(ISERROR(SEARCH("Update not Provided",G84)))</formula>
    </cfRule>
  </conditionalFormatting>
  <conditionalFormatting sqref="G86">
    <cfRule type="containsText" dxfId="2378" priority="2668" operator="containsText" text="On track to be achieved">
      <formula>NOT(ISERROR(SEARCH("On track to be achieved",G86)))</formula>
    </cfRule>
    <cfRule type="containsText" dxfId="2377" priority="2669" operator="containsText" text="Deferred">
      <formula>NOT(ISERROR(SEARCH("Deferred",G86)))</formula>
    </cfRule>
    <cfRule type="containsText" dxfId="2376" priority="2670" operator="containsText" text="Deleted">
      <formula>NOT(ISERROR(SEARCH("Deleted",G86)))</formula>
    </cfRule>
    <cfRule type="containsText" dxfId="2375" priority="2671" operator="containsText" text="In Danger of Falling Behind Target">
      <formula>NOT(ISERROR(SEARCH("In Danger of Falling Behind Target",G86)))</formula>
    </cfRule>
    <cfRule type="containsText" dxfId="2374" priority="2672" operator="containsText" text="Not yet due">
      <formula>NOT(ISERROR(SEARCH("Not yet due",G86)))</formula>
    </cfRule>
    <cfRule type="containsText" dxfId="2373" priority="2673" operator="containsText" text="Update not Provided">
      <formula>NOT(ISERROR(SEARCH("Update not Provided",G86)))</formula>
    </cfRule>
    <cfRule type="containsText" dxfId="2372" priority="2674" operator="containsText" text="Not yet due">
      <formula>NOT(ISERROR(SEARCH("Not yet due",G86)))</formula>
    </cfRule>
    <cfRule type="containsText" dxfId="2371" priority="2675" operator="containsText" text="Completed Behind Schedule">
      <formula>NOT(ISERROR(SEARCH("Completed Behind Schedule",G86)))</formula>
    </cfRule>
    <cfRule type="containsText" dxfId="2370" priority="2676" operator="containsText" text="Off Target">
      <formula>NOT(ISERROR(SEARCH("Off Target",G86)))</formula>
    </cfRule>
    <cfRule type="containsText" dxfId="2369" priority="2677" operator="containsText" text="On Track to be Achieved">
      <formula>NOT(ISERROR(SEARCH("On Track to be Achieved",G86)))</formula>
    </cfRule>
    <cfRule type="containsText" dxfId="2368" priority="2678" operator="containsText" text="Fully Achieved">
      <formula>NOT(ISERROR(SEARCH("Fully Achieved",G86)))</formula>
    </cfRule>
    <cfRule type="containsText" dxfId="2367" priority="2679" operator="containsText" text="Not yet due">
      <formula>NOT(ISERROR(SEARCH("Not yet due",G86)))</formula>
    </cfRule>
    <cfRule type="containsText" dxfId="2366" priority="2680" operator="containsText" text="Not Yet Due">
      <formula>NOT(ISERROR(SEARCH("Not Yet Due",G86)))</formula>
    </cfRule>
    <cfRule type="containsText" dxfId="2365" priority="2681" operator="containsText" text="Deferred">
      <formula>NOT(ISERROR(SEARCH("Deferred",G86)))</formula>
    </cfRule>
    <cfRule type="containsText" dxfId="2364" priority="2682" operator="containsText" text="Deleted">
      <formula>NOT(ISERROR(SEARCH("Deleted",G86)))</formula>
    </cfRule>
    <cfRule type="containsText" dxfId="2363" priority="2683" operator="containsText" text="In Danger of Falling Behind Target">
      <formula>NOT(ISERROR(SEARCH("In Danger of Falling Behind Target",G86)))</formula>
    </cfRule>
    <cfRule type="containsText" dxfId="2362" priority="2684" operator="containsText" text="Not yet due">
      <formula>NOT(ISERROR(SEARCH("Not yet due",G86)))</formula>
    </cfRule>
    <cfRule type="containsText" dxfId="2361" priority="2685" operator="containsText" text="Completed Behind Schedule">
      <formula>NOT(ISERROR(SEARCH("Completed Behind Schedule",G86)))</formula>
    </cfRule>
    <cfRule type="containsText" dxfId="2360" priority="2686" operator="containsText" text="Off Target">
      <formula>NOT(ISERROR(SEARCH("Off Target",G86)))</formula>
    </cfRule>
    <cfRule type="containsText" dxfId="2359" priority="2687" operator="containsText" text="In Danger of Falling Behind Target">
      <formula>NOT(ISERROR(SEARCH("In Danger of Falling Behind Target",G86)))</formula>
    </cfRule>
    <cfRule type="containsText" dxfId="2358" priority="2688" operator="containsText" text="On Track to be Achieved">
      <formula>NOT(ISERROR(SEARCH("On Track to be Achieved",G86)))</formula>
    </cfRule>
    <cfRule type="containsText" dxfId="2357" priority="2689" operator="containsText" text="Fully Achieved">
      <formula>NOT(ISERROR(SEARCH("Fully Achieved",G86)))</formula>
    </cfRule>
    <cfRule type="containsText" dxfId="2356" priority="2690" operator="containsText" text="Update not Provided">
      <formula>NOT(ISERROR(SEARCH("Update not Provided",G86)))</formula>
    </cfRule>
    <cfRule type="containsText" dxfId="2355" priority="2691" operator="containsText" text="Not yet due">
      <formula>NOT(ISERROR(SEARCH("Not yet due",G86)))</formula>
    </cfRule>
    <cfRule type="containsText" dxfId="2354" priority="2692" operator="containsText" text="Completed Behind Schedule">
      <formula>NOT(ISERROR(SEARCH("Completed Behind Schedule",G86)))</formula>
    </cfRule>
    <cfRule type="containsText" dxfId="2353" priority="2693" operator="containsText" text="Off Target">
      <formula>NOT(ISERROR(SEARCH("Off Target",G86)))</formula>
    </cfRule>
    <cfRule type="containsText" dxfId="2352" priority="2694" operator="containsText" text="In Danger of Falling Behind Target">
      <formula>NOT(ISERROR(SEARCH("In Danger of Falling Behind Target",G86)))</formula>
    </cfRule>
    <cfRule type="containsText" dxfId="2351" priority="2695" operator="containsText" text="On Track to be Achieved">
      <formula>NOT(ISERROR(SEARCH("On Track to be Achieved",G86)))</formula>
    </cfRule>
    <cfRule type="containsText" dxfId="2350" priority="2696" operator="containsText" text="Fully Achieved">
      <formula>NOT(ISERROR(SEARCH("Fully Achieved",G86)))</formula>
    </cfRule>
    <cfRule type="containsText" dxfId="2349" priority="2697" operator="containsText" text="Fully Achieved">
      <formula>NOT(ISERROR(SEARCH("Fully Achieved",G86)))</formula>
    </cfRule>
    <cfRule type="containsText" dxfId="2348" priority="2698" operator="containsText" text="Fully Achieved">
      <formula>NOT(ISERROR(SEARCH("Fully Achieved",G86)))</formula>
    </cfRule>
    <cfRule type="containsText" dxfId="2347" priority="2699" operator="containsText" text="Deferred">
      <formula>NOT(ISERROR(SEARCH("Deferred",G86)))</formula>
    </cfRule>
    <cfRule type="containsText" dxfId="2346" priority="2700" operator="containsText" text="Deleted">
      <formula>NOT(ISERROR(SEARCH("Deleted",G86)))</formula>
    </cfRule>
    <cfRule type="containsText" dxfId="2345" priority="2701" operator="containsText" text="In Danger of Falling Behind Target">
      <formula>NOT(ISERROR(SEARCH("In Danger of Falling Behind Target",G86)))</formula>
    </cfRule>
    <cfRule type="containsText" dxfId="2344" priority="2702" operator="containsText" text="Not yet due">
      <formula>NOT(ISERROR(SEARCH("Not yet due",G86)))</formula>
    </cfRule>
    <cfRule type="containsText" dxfId="2343" priority="2703" operator="containsText" text="Update not Provided">
      <formula>NOT(ISERROR(SEARCH("Update not Provided",G86)))</formula>
    </cfRule>
  </conditionalFormatting>
  <conditionalFormatting sqref="G86">
    <cfRule type="containsText" dxfId="2342" priority="2632" operator="containsText" text="On track to be achieved">
      <formula>NOT(ISERROR(SEARCH("On track to be achieved",G86)))</formula>
    </cfRule>
    <cfRule type="containsText" dxfId="2341" priority="2633" operator="containsText" text="Deferred">
      <formula>NOT(ISERROR(SEARCH("Deferred",G86)))</formula>
    </cfRule>
    <cfRule type="containsText" dxfId="2340" priority="2634" operator="containsText" text="Deleted">
      <formula>NOT(ISERROR(SEARCH("Deleted",G86)))</formula>
    </cfRule>
    <cfRule type="containsText" dxfId="2339" priority="2635" operator="containsText" text="In Danger of Falling Behind Target">
      <formula>NOT(ISERROR(SEARCH("In Danger of Falling Behind Target",G86)))</formula>
    </cfRule>
    <cfRule type="containsText" dxfId="2338" priority="2636" operator="containsText" text="Not yet due">
      <formula>NOT(ISERROR(SEARCH("Not yet due",G86)))</formula>
    </cfRule>
    <cfRule type="containsText" dxfId="2337" priority="2637" operator="containsText" text="Update not Provided">
      <formula>NOT(ISERROR(SEARCH("Update not Provided",G86)))</formula>
    </cfRule>
    <cfRule type="containsText" dxfId="2336" priority="2638" operator="containsText" text="Not yet due">
      <formula>NOT(ISERROR(SEARCH("Not yet due",G86)))</formula>
    </cfRule>
    <cfRule type="containsText" dxfId="2335" priority="2639" operator="containsText" text="Completed Behind Schedule">
      <formula>NOT(ISERROR(SEARCH("Completed Behind Schedule",G86)))</formula>
    </cfRule>
    <cfRule type="containsText" dxfId="2334" priority="2640" operator="containsText" text="Off Target">
      <formula>NOT(ISERROR(SEARCH("Off Target",G86)))</formula>
    </cfRule>
    <cfRule type="containsText" dxfId="2333" priority="2641" operator="containsText" text="On Track to be Achieved">
      <formula>NOT(ISERROR(SEARCH("On Track to be Achieved",G86)))</formula>
    </cfRule>
    <cfRule type="containsText" dxfId="2332" priority="2642" operator="containsText" text="Fully Achieved">
      <formula>NOT(ISERROR(SEARCH("Fully Achieved",G86)))</formula>
    </cfRule>
    <cfRule type="containsText" dxfId="2331" priority="2643" operator="containsText" text="Not yet due">
      <formula>NOT(ISERROR(SEARCH("Not yet due",G86)))</formula>
    </cfRule>
    <cfRule type="containsText" dxfId="2330" priority="2644" operator="containsText" text="Not Yet Due">
      <formula>NOT(ISERROR(SEARCH("Not Yet Due",G86)))</formula>
    </cfRule>
    <cfRule type="containsText" dxfId="2329" priority="2645" operator="containsText" text="Deferred">
      <formula>NOT(ISERROR(SEARCH("Deferred",G86)))</formula>
    </cfRule>
    <cfRule type="containsText" dxfId="2328" priority="2646" operator="containsText" text="Deleted">
      <formula>NOT(ISERROR(SEARCH("Deleted",G86)))</formula>
    </cfRule>
    <cfRule type="containsText" dxfId="2327" priority="2647" operator="containsText" text="In Danger of Falling Behind Target">
      <formula>NOT(ISERROR(SEARCH("In Danger of Falling Behind Target",G86)))</formula>
    </cfRule>
    <cfRule type="containsText" dxfId="2326" priority="2648" operator="containsText" text="Not yet due">
      <formula>NOT(ISERROR(SEARCH("Not yet due",G86)))</formula>
    </cfRule>
    <cfRule type="containsText" dxfId="2325" priority="2649" operator="containsText" text="Completed Behind Schedule">
      <formula>NOT(ISERROR(SEARCH("Completed Behind Schedule",G86)))</formula>
    </cfRule>
    <cfRule type="containsText" dxfId="2324" priority="2650" operator="containsText" text="Off Target">
      <formula>NOT(ISERROR(SEARCH("Off Target",G86)))</formula>
    </cfRule>
    <cfRule type="containsText" dxfId="2323" priority="2651" operator="containsText" text="In Danger of Falling Behind Target">
      <formula>NOT(ISERROR(SEARCH("In Danger of Falling Behind Target",G86)))</formula>
    </cfRule>
    <cfRule type="containsText" dxfId="2322" priority="2652" operator="containsText" text="On Track to be Achieved">
      <formula>NOT(ISERROR(SEARCH("On Track to be Achieved",G86)))</formula>
    </cfRule>
    <cfRule type="containsText" dxfId="2321" priority="2653" operator="containsText" text="Fully Achieved">
      <formula>NOT(ISERROR(SEARCH("Fully Achieved",G86)))</formula>
    </cfRule>
    <cfRule type="containsText" dxfId="2320" priority="2654" operator="containsText" text="Update not Provided">
      <formula>NOT(ISERROR(SEARCH("Update not Provided",G86)))</formula>
    </cfRule>
    <cfRule type="containsText" dxfId="2319" priority="2655" operator="containsText" text="Not yet due">
      <formula>NOT(ISERROR(SEARCH("Not yet due",G86)))</formula>
    </cfRule>
    <cfRule type="containsText" dxfId="2318" priority="2656" operator="containsText" text="Completed Behind Schedule">
      <formula>NOT(ISERROR(SEARCH("Completed Behind Schedule",G86)))</formula>
    </cfRule>
    <cfRule type="containsText" dxfId="2317" priority="2657" operator="containsText" text="Off Target">
      <formula>NOT(ISERROR(SEARCH("Off Target",G86)))</formula>
    </cfRule>
    <cfRule type="containsText" dxfId="2316" priority="2658" operator="containsText" text="In Danger of Falling Behind Target">
      <formula>NOT(ISERROR(SEARCH("In Danger of Falling Behind Target",G86)))</formula>
    </cfRule>
    <cfRule type="containsText" dxfId="2315" priority="2659" operator="containsText" text="On Track to be Achieved">
      <formula>NOT(ISERROR(SEARCH("On Track to be Achieved",G86)))</formula>
    </cfRule>
    <cfRule type="containsText" dxfId="2314" priority="2660" operator="containsText" text="Fully Achieved">
      <formula>NOT(ISERROR(SEARCH("Fully Achieved",G86)))</formula>
    </cfRule>
    <cfRule type="containsText" dxfId="2313" priority="2661" operator="containsText" text="Fully Achieved">
      <formula>NOT(ISERROR(SEARCH("Fully Achieved",G86)))</formula>
    </cfRule>
    <cfRule type="containsText" dxfId="2312" priority="2662" operator="containsText" text="Fully Achieved">
      <formula>NOT(ISERROR(SEARCH("Fully Achieved",G86)))</formula>
    </cfRule>
    <cfRule type="containsText" dxfId="2311" priority="2663" operator="containsText" text="Deferred">
      <formula>NOT(ISERROR(SEARCH("Deferred",G86)))</formula>
    </cfRule>
    <cfRule type="containsText" dxfId="2310" priority="2664" operator="containsText" text="Deleted">
      <formula>NOT(ISERROR(SEARCH("Deleted",G86)))</formula>
    </cfRule>
    <cfRule type="containsText" dxfId="2309" priority="2665" operator="containsText" text="In Danger of Falling Behind Target">
      <formula>NOT(ISERROR(SEARCH("In Danger of Falling Behind Target",G86)))</formula>
    </cfRule>
    <cfRule type="containsText" dxfId="2308" priority="2666" operator="containsText" text="Not yet due">
      <formula>NOT(ISERROR(SEARCH("Not yet due",G86)))</formula>
    </cfRule>
    <cfRule type="containsText" dxfId="2307" priority="2667" operator="containsText" text="Update not Provided">
      <formula>NOT(ISERROR(SEARCH("Update not Provided",G86)))</formula>
    </cfRule>
  </conditionalFormatting>
  <conditionalFormatting sqref="G87:G97">
    <cfRule type="containsText" dxfId="2306" priority="2596" operator="containsText" text="On track to be achieved">
      <formula>NOT(ISERROR(SEARCH("On track to be achieved",G87)))</formula>
    </cfRule>
    <cfRule type="containsText" dxfId="2305" priority="2597" operator="containsText" text="Deferred">
      <formula>NOT(ISERROR(SEARCH("Deferred",G87)))</formula>
    </cfRule>
    <cfRule type="containsText" dxfId="2304" priority="2598" operator="containsText" text="Deleted">
      <formula>NOT(ISERROR(SEARCH("Deleted",G87)))</formula>
    </cfRule>
    <cfRule type="containsText" dxfId="2303" priority="2599" operator="containsText" text="In Danger of Falling Behind Target">
      <formula>NOT(ISERROR(SEARCH("In Danger of Falling Behind Target",G87)))</formula>
    </cfRule>
    <cfRule type="containsText" dxfId="2302" priority="2600" operator="containsText" text="Not yet due">
      <formula>NOT(ISERROR(SEARCH("Not yet due",G87)))</formula>
    </cfRule>
    <cfRule type="containsText" dxfId="2301" priority="2601" operator="containsText" text="Update not Provided">
      <formula>NOT(ISERROR(SEARCH("Update not Provided",G87)))</formula>
    </cfRule>
    <cfRule type="containsText" dxfId="2300" priority="2602" operator="containsText" text="Not yet due">
      <formula>NOT(ISERROR(SEARCH("Not yet due",G87)))</formula>
    </cfRule>
    <cfRule type="containsText" dxfId="2299" priority="2603" operator="containsText" text="Completed Behind Schedule">
      <formula>NOT(ISERROR(SEARCH("Completed Behind Schedule",G87)))</formula>
    </cfRule>
    <cfRule type="containsText" dxfId="2298" priority="2604" operator="containsText" text="Off Target">
      <formula>NOT(ISERROR(SEARCH("Off Target",G87)))</formula>
    </cfRule>
    <cfRule type="containsText" dxfId="2297" priority="2605" operator="containsText" text="On Track to be Achieved">
      <formula>NOT(ISERROR(SEARCH("On Track to be Achieved",G87)))</formula>
    </cfRule>
    <cfRule type="containsText" dxfId="2296" priority="2606" operator="containsText" text="Fully Achieved">
      <formula>NOT(ISERROR(SEARCH("Fully Achieved",G87)))</formula>
    </cfRule>
    <cfRule type="containsText" dxfId="2295" priority="2607" operator="containsText" text="Not yet due">
      <formula>NOT(ISERROR(SEARCH("Not yet due",G87)))</formula>
    </cfRule>
    <cfRule type="containsText" dxfId="2294" priority="2608" operator="containsText" text="Not Yet Due">
      <formula>NOT(ISERROR(SEARCH("Not Yet Due",G87)))</formula>
    </cfRule>
    <cfRule type="containsText" dxfId="2293" priority="2609" operator="containsText" text="Deferred">
      <formula>NOT(ISERROR(SEARCH("Deferred",G87)))</formula>
    </cfRule>
    <cfRule type="containsText" dxfId="2292" priority="2610" operator="containsText" text="Deleted">
      <formula>NOT(ISERROR(SEARCH("Deleted",G87)))</formula>
    </cfRule>
    <cfRule type="containsText" dxfId="2291" priority="2611" operator="containsText" text="In Danger of Falling Behind Target">
      <formula>NOT(ISERROR(SEARCH("In Danger of Falling Behind Target",G87)))</formula>
    </cfRule>
    <cfRule type="containsText" dxfId="2290" priority="2612" operator="containsText" text="Not yet due">
      <formula>NOT(ISERROR(SEARCH("Not yet due",G87)))</formula>
    </cfRule>
    <cfRule type="containsText" dxfId="2289" priority="2613" operator="containsText" text="Completed Behind Schedule">
      <formula>NOT(ISERROR(SEARCH("Completed Behind Schedule",G87)))</formula>
    </cfRule>
    <cfRule type="containsText" dxfId="2288" priority="2614" operator="containsText" text="Off Target">
      <formula>NOT(ISERROR(SEARCH("Off Target",G87)))</formula>
    </cfRule>
    <cfRule type="containsText" dxfId="2287" priority="2615" operator="containsText" text="In Danger of Falling Behind Target">
      <formula>NOT(ISERROR(SEARCH("In Danger of Falling Behind Target",G87)))</formula>
    </cfRule>
    <cfRule type="containsText" dxfId="2286" priority="2616" operator="containsText" text="On Track to be Achieved">
      <formula>NOT(ISERROR(SEARCH("On Track to be Achieved",G87)))</formula>
    </cfRule>
    <cfRule type="containsText" dxfId="2285" priority="2617" operator="containsText" text="Fully Achieved">
      <formula>NOT(ISERROR(SEARCH("Fully Achieved",G87)))</formula>
    </cfRule>
    <cfRule type="containsText" dxfId="2284" priority="2618" operator="containsText" text="Update not Provided">
      <formula>NOT(ISERROR(SEARCH("Update not Provided",G87)))</formula>
    </cfRule>
    <cfRule type="containsText" dxfId="2283" priority="2619" operator="containsText" text="Not yet due">
      <formula>NOT(ISERROR(SEARCH("Not yet due",G87)))</formula>
    </cfRule>
    <cfRule type="containsText" dxfId="2282" priority="2620" operator="containsText" text="Completed Behind Schedule">
      <formula>NOT(ISERROR(SEARCH("Completed Behind Schedule",G87)))</formula>
    </cfRule>
    <cfRule type="containsText" dxfId="2281" priority="2621" operator="containsText" text="Off Target">
      <formula>NOT(ISERROR(SEARCH("Off Target",G87)))</formula>
    </cfRule>
    <cfRule type="containsText" dxfId="2280" priority="2622" operator="containsText" text="In Danger of Falling Behind Target">
      <formula>NOT(ISERROR(SEARCH("In Danger of Falling Behind Target",G87)))</formula>
    </cfRule>
    <cfRule type="containsText" dxfId="2279" priority="2623" operator="containsText" text="On Track to be Achieved">
      <formula>NOT(ISERROR(SEARCH("On Track to be Achieved",G87)))</formula>
    </cfRule>
    <cfRule type="containsText" dxfId="2278" priority="2624" operator="containsText" text="Fully Achieved">
      <formula>NOT(ISERROR(SEARCH("Fully Achieved",G87)))</formula>
    </cfRule>
    <cfRule type="containsText" dxfId="2277" priority="2625" operator="containsText" text="Fully Achieved">
      <formula>NOT(ISERROR(SEARCH("Fully Achieved",G87)))</formula>
    </cfRule>
    <cfRule type="containsText" dxfId="2276" priority="2626" operator="containsText" text="Fully Achieved">
      <formula>NOT(ISERROR(SEARCH("Fully Achieved",G87)))</formula>
    </cfRule>
    <cfRule type="containsText" dxfId="2275" priority="2627" operator="containsText" text="Deferred">
      <formula>NOT(ISERROR(SEARCH("Deferred",G87)))</formula>
    </cfRule>
    <cfRule type="containsText" dxfId="2274" priority="2628" operator="containsText" text="Deleted">
      <formula>NOT(ISERROR(SEARCH("Deleted",G87)))</formula>
    </cfRule>
    <cfRule type="containsText" dxfId="2273" priority="2629" operator="containsText" text="In Danger of Falling Behind Target">
      <formula>NOT(ISERROR(SEARCH("In Danger of Falling Behind Target",G87)))</formula>
    </cfRule>
    <cfRule type="containsText" dxfId="2272" priority="2630" operator="containsText" text="Not yet due">
      <formula>NOT(ISERROR(SEARCH("Not yet due",G87)))</formula>
    </cfRule>
    <cfRule type="containsText" dxfId="2271" priority="2631" operator="containsText" text="Update not Provided">
      <formula>NOT(ISERROR(SEARCH("Update not Provided",G87)))</formula>
    </cfRule>
  </conditionalFormatting>
  <conditionalFormatting sqref="G98">
    <cfRule type="containsText" dxfId="2270" priority="2560" operator="containsText" text="On track to be achieved">
      <formula>NOT(ISERROR(SEARCH("On track to be achieved",G98)))</formula>
    </cfRule>
    <cfRule type="containsText" dxfId="2269" priority="2561" operator="containsText" text="Deferred">
      <formula>NOT(ISERROR(SEARCH("Deferred",G98)))</formula>
    </cfRule>
    <cfRule type="containsText" dxfId="2268" priority="2562" operator="containsText" text="Deleted">
      <formula>NOT(ISERROR(SEARCH("Deleted",G98)))</formula>
    </cfRule>
    <cfRule type="containsText" dxfId="2267" priority="2563" operator="containsText" text="In Danger of Falling Behind Target">
      <formula>NOT(ISERROR(SEARCH("In Danger of Falling Behind Target",G98)))</formula>
    </cfRule>
    <cfRule type="containsText" dxfId="2266" priority="2564" operator="containsText" text="Not yet due">
      <formula>NOT(ISERROR(SEARCH("Not yet due",G98)))</formula>
    </cfRule>
    <cfRule type="containsText" dxfId="2265" priority="2565" operator="containsText" text="Update not Provided">
      <formula>NOT(ISERROR(SEARCH("Update not Provided",G98)))</formula>
    </cfRule>
    <cfRule type="containsText" dxfId="2264" priority="2566" operator="containsText" text="Not yet due">
      <formula>NOT(ISERROR(SEARCH("Not yet due",G98)))</formula>
    </cfRule>
    <cfRule type="containsText" dxfId="2263" priority="2567" operator="containsText" text="Completed Behind Schedule">
      <formula>NOT(ISERROR(SEARCH("Completed Behind Schedule",G98)))</formula>
    </cfRule>
    <cfRule type="containsText" dxfId="2262" priority="2568" operator="containsText" text="Off Target">
      <formula>NOT(ISERROR(SEARCH("Off Target",G98)))</formula>
    </cfRule>
    <cfRule type="containsText" dxfId="2261" priority="2569" operator="containsText" text="On Track to be Achieved">
      <formula>NOT(ISERROR(SEARCH("On Track to be Achieved",G98)))</formula>
    </cfRule>
    <cfRule type="containsText" dxfId="2260" priority="2570" operator="containsText" text="Fully Achieved">
      <formula>NOT(ISERROR(SEARCH("Fully Achieved",G98)))</formula>
    </cfRule>
    <cfRule type="containsText" dxfId="2259" priority="2571" operator="containsText" text="Not yet due">
      <formula>NOT(ISERROR(SEARCH("Not yet due",G98)))</formula>
    </cfRule>
    <cfRule type="containsText" dxfId="2258" priority="2572" operator="containsText" text="Not Yet Due">
      <formula>NOT(ISERROR(SEARCH("Not Yet Due",G98)))</formula>
    </cfRule>
    <cfRule type="containsText" dxfId="2257" priority="2573" operator="containsText" text="Deferred">
      <formula>NOT(ISERROR(SEARCH("Deferred",G98)))</formula>
    </cfRule>
    <cfRule type="containsText" dxfId="2256" priority="2574" operator="containsText" text="Deleted">
      <formula>NOT(ISERROR(SEARCH("Deleted",G98)))</formula>
    </cfRule>
    <cfRule type="containsText" dxfId="2255" priority="2575" operator="containsText" text="In Danger of Falling Behind Target">
      <formula>NOT(ISERROR(SEARCH("In Danger of Falling Behind Target",G98)))</formula>
    </cfRule>
    <cfRule type="containsText" dxfId="2254" priority="2576" operator="containsText" text="Not yet due">
      <formula>NOT(ISERROR(SEARCH("Not yet due",G98)))</formula>
    </cfRule>
    <cfRule type="containsText" dxfId="2253" priority="2577" operator="containsText" text="Completed Behind Schedule">
      <formula>NOT(ISERROR(SEARCH("Completed Behind Schedule",G98)))</formula>
    </cfRule>
    <cfRule type="containsText" dxfId="2252" priority="2578" operator="containsText" text="Off Target">
      <formula>NOT(ISERROR(SEARCH("Off Target",G98)))</formula>
    </cfRule>
    <cfRule type="containsText" dxfId="2251" priority="2579" operator="containsText" text="In Danger of Falling Behind Target">
      <formula>NOT(ISERROR(SEARCH("In Danger of Falling Behind Target",G98)))</formula>
    </cfRule>
    <cfRule type="containsText" dxfId="2250" priority="2580" operator="containsText" text="On Track to be Achieved">
      <formula>NOT(ISERROR(SEARCH("On Track to be Achieved",G98)))</formula>
    </cfRule>
    <cfRule type="containsText" dxfId="2249" priority="2581" operator="containsText" text="Fully Achieved">
      <formula>NOT(ISERROR(SEARCH("Fully Achieved",G98)))</formula>
    </cfRule>
    <cfRule type="containsText" dxfId="2248" priority="2582" operator="containsText" text="Update not Provided">
      <formula>NOT(ISERROR(SEARCH("Update not Provided",G98)))</formula>
    </cfRule>
    <cfRule type="containsText" dxfId="2247" priority="2583" operator="containsText" text="Not yet due">
      <formula>NOT(ISERROR(SEARCH("Not yet due",G98)))</formula>
    </cfRule>
    <cfRule type="containsText" dxfId="2246" priority="2584" operator="containsText" text="Completed Behind Schedule">
      <formula>NOT(ISERROR(SEARCH("Completed Behind Schedule",G98)))</formula>
    </cfRule>
    <cfRule type="containsText" dxfId="2245" priority="2585" operator="containsText" text="Off Target">
      <formula>NOT(ISERROR(SEARCH("Off Target",G98)))</formula>
    </cfRule>
    <cfRule type="containsText" dxfId="2244" priority="2586" operator="containsText" text="In Danger of Falling Behind Target">
      <formula>NOT(ISERROR(SEARCH("In Danger of Falling Behind Target",G98)))</formula>
    </cfRule>
    <cfRule type="containsText" dxfId="2243" priority="2587" operator="containsText" text="On Track to be Achieved">
      <formula>NOT(ISERROR(SEARCH("On Track to be Achieved",G98)))</formula>
    </cfRule>
    <cfRule type="containsText" dxfId="2242" priority="2588" operator="containsText" text="Fully Achieved">
      <formula>NOT(ISERROR(SEARCH("Fully Achieved",G98)))</formula>
    </cfRule>
    <cfRule type="containsText" dxfId="2241" priority="2589" operator="containsText" text="Fully Achieved">
      <formula>NOT(ISERROR(SEARCH("Fully Achieved",G98)))</formula>
    </cfRule>
    <cfRule type="containsText" dxfId="2240" priority="2590" operator="containsText" text="Fully Achieved">
      <formula>NOT(ISERROR(SEARCH("Fully Achieved",G98)))</formula>
    </cfRule>
    <cfRule type="containsText" dxfId="2239" priority="2591" operator="containsText" text="Deferred">
      <formula>NOT(ISERROR(SEARCH("Deferred",G98)))</formula>
    </cfRule>
    <cfRule type="containsText" dxfId="2238" priority="2592" operator="containsText" text="Deleted">
      <formula>NOT(ISERROR(SEARCH("Deleted",G98)))</formula>
    </cfRule>
    <cfRule type="containsText" dxfId="2237" priority="2593" operator="containsText" text="In Danger of Falling Behind Target">
      <formula>NOT(ISERROR(SEARCH("In Danger of Falling Behind Target",G98)))</formula>
    </cfRule>
    <cfRule type="containsText" dxfId="2236" priority="2594" operator="containsText" text="Not yet due">
      <formula>NOT(ISERROR(SEARCH("Not yet due",G98)))</formula>
    </cfRule>
    <cfRule type="containsText" dxfId="2235" priority="2595" operator="containsText" text="Update not Provided">
      <formula>NOT(ISERROR(SEARCH("Update not Provided",G98)))</formula>
    </cfRule>
  </conditionalFormatting>
  <conditionalFormatting sqref="G98">
    <cfRule type="containsText" dxfId="2234" priority="2524" operator="containsText" text="On track to be achieved">
      <formula>NOT(ISERROR(SEARCH("On track to be achieved",G98)))</formula>
    </cfRule>
    <cfRule type="containsText" dxfId="2233" priority="2525" operator="containsText" text="Deferred">
      <formula>NOT(ISERROR(SEARCH("Deferred",G98)))</formula>
    </cfRule>
    <cfRule type="containsText" dxfId="2232" priority="2526" operator="containsText" text="Deleted">
      <formula>NOT(ISERROR(SEARCH("Deleted",G98)))</formula>
    </cfRule>
    <cfRule type="containsText" dxfId="2231" priority="2527" operator="containsText" text="In Danger of Falling Behind Target">
      <formula>NOT(ISERROR(SEARCH("In Danger of Falling Behind Target",G98)))</formula>
    </cfRule>
    <cfRule type="containsText" dxfId="2230" priority="2528" operator="containsText" text="Not yet due">
      <formula>NOT(ISERROR(SEARCH("Not yet due",G98)))</formula>
    </cfRule>
    <cfRule type="containsText" dxfId="2229" priority="2529" operator="containsText" text="Update not Provided">
      <formula>NOT(ISERROR(SEARCH("Update not Provided",G98)))</formula>
    </cfRule>
    <cfRule type="containsText" dxfId="2228" priority="2530" operator="containsText" text="Not yet due">
      <formula>NOT(ISERROR(SEARCH("Not yet due",G98)))</formula>
    </cfRule>
    <cfRule type="containsText" dxfId="2227" priority="2531" operator="containsText" text="Completed Behind Schedule">
      <formula>NOT(ISERROR(SEARCH("Completed Behind Schedule",G98)))</formula>
    </cfRule>
    <cfRule type="containsText" dxfId="2226" priority="2532" operator="containsText" text="Off Target">
      <formula>NOT(ISERROR(SEARCH("Off Target",G98)))</formula>
    </cfRule>
    <cfRule type="containsText" dxfId="2225" priority="2533" operator="containsText" text="On Track to be Achieved">
      <formula>NOT(ISERROR(SEARCH("On Track to be Achieved",G98)))</formula>
    </cfRule>
    <cfRule type="containsText" dxfId="2224" priority="2534" operator="containsText" text="Fully Achieved">
      <formula>NOT(ISERROR(SEARCH("Fully Achieved",G98)))</formula>
    </cfRule>
    <cfRule type="containsText" dxfId="2223" priority="2535" operator="containsText" text="Not yet due">
      <formula>NOT(ISERROR(SEARCH("Not yet due",G98)))</formula>
    </cfRule>
    <cfRule type="containsText" dxfId="2222" priority="2536" operator="containsText" text="Not Yet Due">
      <formula>NOT(ISERROR(SEARCH("Not Yet Due",G98)))</formula>
    </cfRule>
    <cfRule type="containsText" dxfId="2221" priority="2537" operator="containsText" text="Deferred">
      <formula>NOT(ISERROR(SEARCH("Deferred",G98)))</formula>
    </cfRule>
    <cfRule type="containsText" dxfId="2220" priority="2538" operator="containsText" text="Deleted">
      <formula>NOT(ISERROR(SEARCH("Deleted",G98)))</formula>
    </cfRule>
    <cfRule type="containsText" dxfId="2219" priority="2539" operator="containsText" text="In Danger of Falling Behind Target">
      <formula>NOT(ISERROR(SEARCH("In Danger of Falling Behind Target",G98)))</formula>
    </cfRule>
    <cfRule type="containsText" dxfId="2218" priority="2540" operator="containsText" text="Not yet due">
      <formula>NOT(ISERROR(SEARCH("Not yet due",G98)))</formula>
    </cfRule>
    <cfRule type="containsText" dxfId="2217" priority="2541" operator="containsText" text="Completed Behind Schedule">
      <formula>NOT(ISERROR(SEARCH("Completed Behind Schedule",G98)))</formula>
    </cfRule>
    <cfRule type="containsText" dxfId="2216" priority="2542" operator="containsText" text="Off Target">
      <formula>NOT(ISERROR(SEARCH("Off Target",G98)))</formula>
    </cfRule>
    <cfRule type="containsText" dxfId="2215" priority="2543" operator="containsText" text="In Danger of Falling Behind Target">
      <formula>NOT(ISERROR(SEARCH("In Danger of Falling Behind Target",G98)))</formula>
    </cfRule>
    <cfRule type="containsText" dxfId="2214" priority="2544" operator="containsText" text="On Track to be Achieved">
      <formula>NOT(ISERROR(SEARCH("On Track to be Achieved",G98)))</formula>
    </cfRule>
    <cfRule type="containsText" dxfId="2213" priority="2545" operator="containsText" text="Fully Achieved">
      <formula>NOT(ISERROR(SEARCH("Fully Achieved",G98)))</formula>
    </cfRule>
    <cfRule type="containsText" dxfId="2212" priority="2546" operator="containsText" text="Update not Provided">
      <formula>NOT(ISERROR(SEARCH("Update not Provided",G98)))</formula>
    </cfRule>
    <cfRule type="containsText" dxfId="2211" priority="2547" operator="containsText" text="Not yet due">
      <formula>NOT(ISERROR(SEARCH("Not yet due",G98)))</formula>
    </cfRule>
    <cfRule type="containsText" dxfId="2210" priority="2548" operator="containsText" text="Completed Behind Schedule">
      <formula>NOT(ISERROR(SEARCH("Completed Behind Schedule",G98)))</formula>
    </cfRule>
    <cfRule type="containsText" dxfId="2209" priority="2549" operator="containsText" text="Off Target">
      <formula>NOT(ISERROR(SEARCH("Off Target",G98)))</formula>
    </cfRule>
    <cfRule type="containsText" dxfId="2208" priority="2550" operator="containsText" text="In Danger of Falling Behind Target">
      <formula>NOT(ISERROR(SEARCH("In Danger of Falling Behind Target",G98)))</formula>
    </cfRule>
    <cfRule type="containsText" dxfId="2207" priority="2551" operator="containsText" text="On Track to be Achieved">
      <formula>NOT(ISERROR(SEARCH("On Track to be Achieved",G98)))</formula>
    </cfRule>
    <cfRule type="containsText" dxfId="2206" priority="2552" operator="containsText" text="Fully Achieved">
      <formula>NOT(ISERROR(SEARCH("Fully Achieved",G98)))</formula>
    </cfRule>
    <cfRule type="containsText" dxfId="2205" priority="2553" operator="containsText" text="Fully Achieved">
      <formula>NOT(ISERROR(SEARCH("Fully Achieved",G98)))</formula>
    </cfRule>
    <cfRule type="containsText" dxfId="2204" priority="2554" operator="containsText" text="Fully Achieved">
      <formula>NOT(ISERROR(SEARCH("Fully Achieved",G98)))</formula>
    </cfRule>
    <cfRule type="containsText" dxfId="2203" priority="2555" operator="containsText" text="Deferred">
      <formula>NOT(ISERROR(SEARCH("Deferred",G98)))</formula>
    </cfRule>
    <cfRule type="containsText" dxfId="2202" priority="2556" operator="containsText" text="Deleted">
      <formula>NOT(ISERROR(SEARCH("Deleted",G98)))</formula>
    </cfRule>
    <cfRule type="containsText" dxfId="2201" priority="2557" operator="containsText" text="In Danger of Falling Behind Target">
      <formula>NOT(ISERROR(SEARCH("In Danger of Falling Behind Target",G98)))</formula>
    </cfRule>
    <cfRule type="containsText" dxfId="2200" priority="2558" operator="containsText" text="Not yet due">
      <formula>NOT(ISERROR(SEARCH("Not yet due",G98)))</formula>
    </cfRule>
    <cfRule type="containsText" dxfId="2199" priority="2559" operator="containsText" text="Update not Provided">
      <formula>NOT(ISERROR(SEARCH("Update not Provided",G98)))</formula>
    </cfRule>
  </conditionalFormatting>
  <conditionalFormatting sqref="G100:G110">
    <cfRule type="containsText" dxfId="2198" priority="2488" operator="containsText" text="On track to be achieved">
      <formula>NOT(ISERROR(SEARCH("On track to be achieved",G100)))</formula>
    </cfRule>
    <cfRule type="containsText" dxfId="2197" priority="2489" operator="containsText" text="Deferred">
      <formula>NOT(ISERROR(SEARCH("Deferred",G100)))</formula>
    </cfRule>
    <cfRule type="containsText" dxfId="2196" priority="2490" operator="containsText" text="Deleted">
      <formula>NOT(ISERROR(SEARCH("Deleted",G100)))</formula>
    </cfRule>
    <cfRule type="containsText" dxfId="2195" priority="2491" operator="containsText" text="In Danger of Falling Behind Target">
      <formula>NOT(ISERROR(SEARCH("In Danger of Falling Behind Target",G100)))</formula>
    </cfRule>
    <cfRule type="containsText" dxfId="2194" priority="2492" operator="containsText" text="Not yet due">
      <formula>NOT(ISERROR(SEARCH("Not yet due",G100)))</formula>
    </cfRule>
    <cfRule type="containsText" dxfId="2193" priority="2493" operator="containsText" text="Update not Provided">
      <formula>NOT(ISERROR(SEARCH("Update not Provided",G100)))</formula>
    </cfRule>
    <cfRule type="containsText" dxfId="2192" priority="2494" operator="containsText" text="Not yet due">
      <formula>NOT(ISERROR(SEARCH("Not yet due",G100)))</formula>
    </cfRule>
    <cfRule type="containsText" dxfId="2191" priority="2495" operator="containsText" text="Completed Behind Schedule">
      <formula>NOT(ISERROR(SEARCH("Completed Behind Schedule",G100)))</formula>
    </cfRule>
    <cfRule type="containsText" dxfId="2190" priority="2496" operator="containsText" text="Off Target">
      <formula>NOT(ISERROR(SEARCH("Off Target",G100)))</formula>
    </cfRule>
    <cfRule type="containsText" dxfId="2189" priority="2497" operator="containsText" text="On Track to be Achieved">
      <formula>NOT(ISERROR(SEARCH("On Track to be Achieved",G100)))</formula>
    </cfRule>
    <cfRule type="containsText" dxfId="2188" priority="2498" operator="containsText" text="Fully Achieved">
      <formula>NOT(ISERROR(SEARCH("Fully Achieved",G100)))</formula>
    </cfRule>
    <cfRule type="containsText" dxfId="2187" priority="2499" operator="containsText" text="Not yet due">
      <formula>NOT(ISERROR(SEARCH("Not yet due",G100)))</formula>
    </cfRule>
    <cfRule type="containsText" dxfId="2186" priority="2500" operator="containsText" text="Not Yet Due">
      <formula>NOT(ISERROR(SEARCH("Not Yet Due",G100)))</formula>
    </cfRule>
    <cfRule type="containsText" dxfId="2185" priority="2501" operator="containsText" text="Deferred">
      <formula>NOT(ISERROR(SEARCH("Deferred",G100)))</formula>
    </cfRule>
    <cfRule type="containsText" dxfId="2184" priority="2502" operator="containsText" text="Deleted">
      <formula>NOT(ISERROR(SEARCH("Deleted",G100)))</formula>
    </cfRule>
    <cfRule type="containsText" dxfId="2183" priority="2503" operator="containsText" text="In Danger of Falling Behind Target">
      <formula>NOT(ISERROR(SEARCH("In Danger of Falling Behind Target",G100)))</formula>
    </cfRule>
    <cfRule type="containsText" dxfId="2182" priority="2504" operator="containsText" text="Not yet due">
      <formula>NOT(ISERROR(SEARCH("Not yet due",G100)))</formula>
    </cfRule>
    <cfRule type="containsText" dxfId="2181" priority="2505" operator="containsText" text="Completed Behind Schedule">
      <formula>NOT(ISERROR(SEARCH("Completed Behind Schedule",G100)))</formula>
    </cfRule>
    <cfRule type="containsText" dxfId="2180" priority="2506" operator="containsText" text="Off Target">
      <formula>NOT(ISERROR(SEARCH("Off Target",G100)))</formula>
    </cfRule>
    <cfRule type="containsText" dxfId="2179" priority="2507" operator="containsText" text="In Danger of Falling Behind Target">
      <formula>NOT(ISERROR(SEARCH("In Danger of Falling Behind Target",G100)))</formula>
    </cfRule>
    <cfRule type="containsText" dxfId="2178" priority="2508" operator="containsText" text="On Track to be Achieved">
      <formula>NOT(ISERROR(SEARCH("On Track to be Achieved",G100)))</formula>
    </cfRule>
    <cfRule type="containsText" dxfId="2177" priority="2509" operator="containsText" text="Fully Achieved">
      <formula>NOT(ISERROR(SEARCH("Fully Achieved",G100)))</formula>
    </cfRule>
    <cfRule type="containsText" dxfId="2176" priority="2510" operator="containsText" text="Update not Provided">
      <formula>NOT(ISERROR(SEARCH("Update not Provided",G100)))</formula>
    </cfRule>
    <cfRule type="containsText" dxfId="2175" priority="2511" operator="containsText" text="Not yet due">
      <formula>NOT(ISERROR(SEARCH("Not yet due",G100)))</formula>
    </cfRule>
    <cfRule type="containsText" dxfId="2174" priority="2512" operator="containsText" text="Completed Behind Schedule">
      <formula>NOT(ISERROR(SEARCH("Completed Behind Schedule",G100)))</formula>
    </cfRule>
    <cfRule type="containsText" dxfId="2173" priority="2513" operator="containsText" text="Off Target">
      <formula>NOT(ISERROR(SEARCH("Off Target",G100)))</formula>
    </cfRule>
    <cfRule type="containsText" dxfId="2172" priority="2514" operator="containsText" text="In Danger of Falling Behind Target">
      <formula>NOT(ISERROR(SEARCH("In Danger of Falling Behind Target",G100)))</formula>
    </cfRule>
    <cfRule type="containsText" dxfId="2171" priority="2515" operator="containsText" text="On Track to be Achieved">
      <formula>NOT(ISERROR(SEARCH("On Track to be Achieved",G100)))</formula>
    </cfRule>
    <cfRule type="containsText" dxfId="2170" priority="2516" operator="containsText" text="Fully Achieved">
      <formula>NOT(ISERROR(SEARCH("Fully Achieved",G100)))</formula>
    </cfRule>
    <cfRule type="containsText" dxfId="2169" priority="2517" operator="containsText" text="Fully Achieved">
      <formula>NOT(ISERROR(SEARCH("Fully Achieved",G100)))</formula>
    </cfRule>
    <cfRule type="containsText" dxfId="2168" priority="2518" operator="containsText" text="Fully Achieved">
      <formula>NOT(ISERROR(SEARCH("Fully Achieved",G100)))</formula>
    </cfRule>
    <cfRule type="containsText" dxfId="2167" priority="2519" operator="containsText" text="Deferred">
      <formula>NOT(ISERROR(SEARCH("Deferred",G100)))</formula>
    </cfRule>
    <cfRule type="containsText" dxfId="2166" priority="2520" operator="containsText" text="Deleted">
      <formula>NOT(ISERROR(SEARCH("Deleted",G100)))</formula>
    </cfRule>
    <cfRule type="containsText" dxfId="2165" priority="2521" operator="containsText" text="In Danger of Falling Behind Target">
      <formula>NOT(ISERROR(SEARCH("In Danger of Falling Behind Target",G100)))</formula>
    </cfRule>
    <cfRule type="containsText" dxfId="2164" priority="2522" operator="containsText" text="Not yet due">
      <formula>NOT(ISERROR(SEARCH("Not yet due",G100)))</formula>
    </cfRule>
    <cfRule type="containsText" dxfId="2163" priority="2523" operator="containsText" text="Update not Provided">
      <formula>NOT(ISERROR(SEARCH("Update not Provided",G100)))</formula>
    </cfRule>
  </conditionalFormatting>
  <conditionalFormatting sqref="I3:I11">
    <cfRule type="containsText" dxfId="2162" priority="2380" operator="containsText" text="On track to be achieved">
      <formula>NOT(ISERROR(SEARCH("On track to be achieved",I3)))</formula>
    </cfRule>
    <cfRule type="containsText" dxfId="2161" priority="2381" operator="containsText" text="Deferred">
      <formula>NOT(ISERROR(SEARCH("Deferred",I3)))</formula>
    </cfRule>
    <cfRule type="containsText" dxfId="2160" priority="2382" operator="containsText" text="Deleted">
      <formula>NOT(ISERROR(SEARCH("Deleted",I3)))</formula>
    </cfRule>
    <cfRule type="containsText" dxfId="2159" priority="2383" operator="containsText" text="In Danger of Falling Behind Target">
      <formula>NOT(ISERROR(SEARCH("In Danger of Falling Behind Target",I3)))</formula>
    </cfRule>
    <cfRule type="containsText" dxfId="2158" priority="2384" operator="containsText" text="Not yet due">
      <formula>NOT(ISERROR(SEARCH("Not yet due",I3)))</formula>
    </cfRule>
    <cfRule type="containsText" dxfId="2157" priority="2385" operator="containsText" text="Update not Provided">
      <formula>NOT(ISERROR(SEARCH("Update not Provided",I3)))</formula>
    </cfRule>
    <cfRule type="containsText" dxfId="2156" priority="2386" operator="containsText" text="Not yet due">
      <formula>NOT(ISERROR(SEARCH("Not yet due",I3)))</formula>
    </cfRule>
    <cfRule type="containsText" dxfId="2155" priority="2387" operator="containsText" text="Completed Behind Schedule">
      <formula>NOT(ISERROR(SEARCH("Completed Behind Schedule",I3)))</formula>
    </cfRule>
    <cfRule type="containsText" dxfId="2154" priority="2388" operator="containsText" text="Off Target">
      <formula>NOT(ISERROR(SEARCH("Off Target",I3)))</formula>
    </cfRule>
    <cfRule type="containsText" dxfId="2153" priority="2389" operator="containsText" text="On Track to be Achieved">
      <formula>NOT(ISERROR(SEARCH("On Track to be Achieved",I3)))</formula>
    </cfRule>
    <cfRule type="containsText" dxfId="2152" priority="2390" operator="containsText" text="Fully Achieved">
      <formula>NOT(ISERROR(SEARCH("Fully Achieved",I3)))</formula>
    </cfRule>
    <cfRule type="containsText" dxfId="2151" priority="2391" operator="containsText" text="Not yet due">
      <formula>NOT(ISERROR(SEARCH("Not yet due",I3)))</formula>
    </cfRule>
    <cfRule type="containsText" dxfId="2150" priority="2392" operator="containsText" text="Not Yet Due">
      <formula>NOT(ISERROR(SEARCH("Not Yet Due",I3)))</formula>
    </cfRule>
    <cfRule type="containsText" dxfId="2149" priority="2393" operator="containsText" text="Deferred">
      <formula>NOT(ISERROR(SEARCH("Deferred",I3)))</formula>
    </cfRule>
    <cfRule type="containsText" dxfId="2148" priority="2394" operator="containsText" text="Deleted">
      <formula>NOT(ISERROR(SEARCH("Deleted",I3)))</formula>
    </cfRule>
    <cfRule type="containsText" dxfId="2147" priority="2395" operator="containsText" text="In Danger of Falling Behind Target">
      <formula>NOT(ISERROR(SEARCH("In Danger of Falling Behind Target",I3)))</formula>
    </cfRule>
    <cfRule type="containsText" dxfId="2146" priority="2396" operator="containsText" text="Not yet due">
      <formula>NOT(ISERROR(SEARCH("Not yet due",I3)))</formula>
    </cfRule>
    <cfRule type="containsText" dxfId="2145" priority="2397" operator="containsText" text="Completed Behind Schedule">
      <formula>NOT(ISERROR(SEARCH("Completed Behind Schedule",I3)))</formula>
    </cfRule>
    <cfRule type="containsText" dxfId="2144" priority="2398" operator="containsText" text="Off Target">
      <formula>NOT(ISERROR(SEARCH("Off Target",I3)))</formula>
    </cfRule>
    <cfRule type="containsText" dxfId="2143" priority="2399" operator="containsText" text="In Danger of Falling Behind Target">
      <formula>NOT(ISERROR(SEARCH("In Danger of Falling Behind Target",I3)))</formula>
    </cfRule>
    <cfRule type="containsText" dxfId="2142" priority="2400" operator="containsText" text="On Track to be Achieved">
      <formula>NOT(ISERROR(SEARCH("On Track to be Achieved",I3)))</formula>
    </cfRule>
    <cfRule type="containsText" dxfId="2141" priority="2401" operator="containsText" text="Fully Achieved">
      <formula>NOT(ISERROR(SEARCH("Fully Achieved",I3)))</formula>
    </cfRule>
    <cfRule type="containsText" dxfId="2140" priority="2402" operator="containsText" text="Update not Provided">
      <formula>NOT(ISERROR(SEARCH("Update not Provided",I3)))</formula>
    </cfRule>
    <cfRule type="containsText" dxfId="2139" priority="2403" operator="containsText" text="Not yet due">
      <formula>NOT(ISERROR(SEARCH("Not yet due",I3)))</formula>
    </cfRule>
    <cfRule type="containsText" dxfId="2138" priority="2404" operator="containsText" text="Completed Behind Schedule">
      <formula>NOT(ISERROR(SEARCH("Completed Behind Schedule",I3)))</formula>
    </cfRule>
    <cfRule type="containsText" dxfId="2137" priority="2405" operator="containsText" text="Off Target">
      <formula>NOT(ISERROR(SEARCH("Off Target",I3)))</formula>
    </cfRule>
    <cfRule type="containsText" dxfId="2136" priority="2406" operator="containsText" text="In Danger of Falling Behind Target">
      <formula>NOT(ISERROR(SEARCH("In Danger of Falling Behind Target",I3)))</formula>
    </cfRule>
    <cfRule type="containsText" dxfId="2135" priority="2407" operator="containsText" text="On Track to be Achieved">
      <formula>NOT(ISERROR(SEARCH("On Track to be Achieved",I3)))</formula>
    </cfRule>
    <cfRule type="containsText" dxfId="2134" priority="2408" operator="containsText" text="Fully Achieved">
      <formula>NOT(ISERROR(SEARCH("Fully Achieved",I3)))</formula>
    </cfRule>
    <cfRule type="containsText" dxfId="2133" priority="2409" operator="containsText" text="Fully Achieved">
      <formula>NOT(ISERROR(SEARCH("Fully Achieved",I3)))</formula>
    </cfRule>
    <cfRule type="containsText" dxfId="2132" priority="2410" operator="containsText" text="Fully Achieved">
      <formula>NOT(ISERROR(SEARCH("Fully Achieved",I3)))</formula>
    </cfRule>
    <cfRule type="containsText" dxfId="2131" priority="2411" operator="containsText" text="Deferred">
      <formula>NOT(ISERROR(SEARCH("Deferred",I3)))</formula>
    </cfRule>
    <cfRule type="containsText" dxfId="2130" priority="2412" operator="containsText" text="Deleted">
      <formula>NOT(ISERROR(SEARCH("Deleted",I3)))</formula>
    </cfRule>
    <cfRule type="containsText" dxfId="2129" priority="2413" operator="containsText" text="In Danger of Falling Behind Target">
      <formula>NOT(ISERROR(SEARCH("In Danger of Falling Behind Target",I3)))</formula>
    </cfRule>
    <cfRule type="containsText" dxfId="2128" priority="2414" operator="containsText" text="Not yet due">
      <formula>NOT(ISERROR(SEARCH("Not yet due",I3)))</formula>
    </cfRule>
    <cfRule type="containsText" dxfId="2127" priority="2415" operator="containsText" text="Update not Provided">
      <formula>NOT(ISERROR(SEARCH("Update not Provided",I3)))</formula>
    </cfRule>
  </conditionalFormatting>
  <conditionalFormatting sqref="I13:I30">
    <cfRule type="containsText" dxfId="2126" priority="2344" operator="containsText" text="On track to be achieved">
      <formula>NOT(ISERROR(SEARCH("On track to be achieved",I13)))</formula>
    </cfRule>
    <cfRule type="containsText" dxfId="2125" priority="2345" operator="containsText" text="Deferred">
      <formula>NOT(ISERROR(SEARCH("Deferred",I13)))</formula>
    </cfRule>
    <cfRule type="containsText" dxfId="2124" priority="2346" operator="containsText" text="Deleted">
      <formula>NOT(ISERROR(SEARCH("Deleted",I13)))</formula>
    </cfRule>
    <cfRule type="containsText" dxfId="2123" priority="2347" operator="containsText" text="In Danger of Falling Behind Target">
      <formula>NOT(ISERROR(SEARCH("In Danger of Falling Behind Target",I13)))</formula>
    </cfRule>
    <cfRule type="containsText" dxfId="2122" priority="2348" operator="containsText" text="Not yet due">
      <formula>NOT(ISERROR(SEARCH("Not yet due",I13)))</formula>
    </cfRule>
    <cfRule type="containsText" dxfId="2121" priority="2349" operator="containsText" text="Update not Provided">
      <formula>NOT(ISERROR(SEARCH("Update not Provided",I13)))</formula>
    </cfRule>
    <cfRule type="containsText" dxfId="2120" priority="2350" operator="containsText" text="Not yet due">
      <formula>NOT(ISERROR(SEARCH("Not yet due",I13)))</formula>
    </cfRule>
    <cfRule type="containsText" dxfId="2119" priority="2351" operator="containsText" text="Completed Behind Schedule">
      <formula>NOT(ISERROR(SEARCH("Completed Behind Schedule",I13)))</formula>
    </cfRule>
    <cfRule type="containsText" dxfId="2118" priority="2352" operator="containsText" text="Off Target">
      <formula>NOT(ISERROR(SEARCH("Off Target",I13)))</formula>
    </cfRule>
    <cfRule type="containsText" dxfId="2117" priority="2353" operator="containsText" text="On Track to be Achieved">
      <formula>NOT(ISERROR(SEARCH("On Track to be Achieved",I13)))</formula>
    </cfRule>
    <cfRule type="containsText" dxfId="2116" priority="2354" operator="containsText" text="Fully Achieved">
      <formula>NOT(ISERROR(SEARCH("Fully Achieved",I13)))</formula>
    </cfRule>
    <cfRule type="containsText" dxfId="2115" priority="2355" operator="containsText" text="Not yet due">
      <formula>NOT(ISERROR(SEARCH("Not yet due",I13)))</formula>
    </cfRule>
    <cfRule type="containsText" dxfId="2114" priority="2356" operator="containsText" text="Not Yet Due">
      <formula>NOT(ISERROR(SEARCH("Not Yet Due",I13)))</formula>
    </cfRule>
    <cfRule type="containsText" dxfId="2113" priority="2357" operator="containsText" text="Deferred">
      <formula>NOT(ISERROR(SEARCH("Deferred",I13)))</formula>
    </cfRule>
    <cfRule type="containsText" dxfId="2112" priority="2358" operator="containsText" text="Deleted">
      <formula>NOT(ISERROR(SEARCH("Deleted",I13)))</formula>
    </cfRule>
    <cfRule type="containsText" dxfId="2111" priority="2359" operator="containsText" text="In Danger of Falling Behind Target">
      <formula>NOT(ISERROR(SEARCH("In Danger of Falling Behind Target",I13)))</formula>
    </cfRule>
    <cfRule type="containsText" dxfId="2110" priority="2360" operator="containsText" text="Not yet due">
      <formula>NOT(ISERROR(SEARCH("Not yet due",I13)))</formula>
    </cfRule>
    <cfRule type="containsText" dxfId="2109" priority="2361" operator="containsText" text="Completed Behind Schedule">
      <formula>NOT(ISERROR(SEARCH("Completed Behind Schedule",I13)))</formula>
    </cfRule>
    <cfRule type="containsText" dxfId="2108" priority="2362" operator="containsText" text="Off Target">
      <formula>NOT(ISERROR(SEARCH("Off Target",I13)))</formula>
    </cfRule>
    <cfRule type="containsText" dxfId="2107" priority="2363" operator="containsText" text="In Danger of Falling Behind Target">
      <formula>NOT(ISERROR(SEARCH("In Danger of Falling Behind Target",I13)))</formula>
    </cfRule>
    <cfRule type="containsText" dxfId="2106" priority="2364" operator="containsText" text="On Track to be Achieved">
      <formula>NOT(ISERROR(SEARCH("On Track to be Achieved",I13)))</formula>
    </cfRule>
    <cfRule type="containsText" dxfId="2105" priority="2365" operator="containsText" text="Fully Achieved">
      <formula>NOT(ISERROR(SEARCH("Fully Achieved",I13)))</formula>
    </cfRule>
    <cfRule type="containsText" dxfId="2104" priority="2366" operator="containsText" text="Update not Provided">
      <formula>NOT(ISERROR(SEARCH("Update not Provided",I13)))</formula>
    </cfRule>
    <cfRule type="containsText" dxfId="2103" priority="2367" operator="containsText" text="Not yet due">
      <formula>NOT(ISERROR(SEARCH("Not yet due",I13)))</formula>
    </cfRule>
    <cfRule type="containsText" dxfId="2102" priority="2368" operator="containsText" text="Completed Behind Schedule">
      <formula>NOT(ISERROR(SEARCH("Completed Behind Schedule",I13)))</formula>
    </cfRule>
    <cfRule type="containsText" dxfId="2101" priority="2369" operator="containsText" text="Off Target">
      <formula>NOT(ISERROR(SEARCH("Off Target",I13)))</formula>
    </cfRule>
    <cfRule type="containsText" dxfId="2100" priority="2370" operator="containsText" text="In Danger of Falling Behind Target">
      <formula>NOT(ISERROR(SEARCH("In Danger of Falling Behind Target",I13)))</formula>
    </cfRule>
    <cfRule type="containsText" dxfId="2099" priority="2371" operator="containsText" text="On Track to be Achieved">
      <formula>NOT(ISERROR(SEARCH("On Track to be Achieved",I13)))</formula>
    </cfRule>
    <cfRule type="containsText" dxfId="2098" priority="2372" operator="containsText" text="Fully Achieved">
      <formula>NOT(ISERROR(SEARCH("Fully Achieved",I13)))</formula>
    </cfRule>
    <cfRule type="containsText" dxfId="2097" priority="2373" operator="containsText" text="Fully Achieved">
      <formula>NOT(ISERROR(SEARCH("Fully Achieved",I13)))</formula>
    </cfRule>
    <cfRule type="containsText" dxfId="2096" priority="2374" operator="containsText" text="Fully Achieved">
      <formula>NOT(ISERROR(SEARCH("Fully Achieved",I13)))</formula>
    </cfRule>
    <cfRule type="containsText" dxfId="2095" priority="2375" operator="containsText" text="Deferred">
      <formula>NOT(ISERROR(SEARCH("Deferred",I13)))</formula>
    </cfRule>
    <cfRule type="containsText" dxfId="2094" priority="2376" operator="containsText" text="Deleted">
      <formula>NOT(ISERROR(SEARCH("Deleted",I13)))</formula>
    </cfRule>
    <cfRule type="containsText" dxfId="2093" priority="2377" operator="containsText" text="In Danger of Falling Behind Target">
      <formula>NOT(ISERROR(SEARCH("In Danger of Falling Behind Target",I13)))</formula>
    </cfRule>
    <cfRule type="containsText" dxfId="2092" priority="2378" operator="containsText" text="Not yet due">
      <formula>NOT(ISERROR(SEARCH("Not yet due",I13)))</formula>
    </cfRule>
    <cfRule type="containsText" dxfId="2091" priority="2379" operator="containsText" text="Update not Provided">
      <formula>NOT(ISERROR(SEARCH("Update not Provided",I13)))</formula>
    </cfRule>
  </conditionalFormatting>
  <conditionalFormatting sqref="I31:I41">
    <cfRule type="containsText" dxfId="2090" priority="2308" operator="containsText" text="On track to be achieved">
      <formula>NOT(ISERROR(SEARCH("On track to be achieved",I31)))</formula>
    </cfRule>
    <cfRule type="containsText" dxfId="2089" priority="2309" operator="containsText" text="Deferred">
      <formula>NOT(ISERROR(SEARCH("Deferred",I31)))</formula>
    </cfRule>
    <cfRule type="containsText" dxfId="2088" priority="2310" operator="containsText" text="Deleted">
      <formula>NOT(ISERROR(SEARCH("Deleted",I31)))</formula>
    </cfRule>
    <cfRule type="containsText" dxfId="2087" priority="2311" operator="containsText" text="In Danger of Falling Behind Target">
      <formula>NOT(ISERROR(SEARCH("In Danger of Falling Behind Target",I31)))</formula>
    </cfRule>
    <cfRule type="containsText" dxfId="2086" priority="2312" operator="containsText" text="Not yet due">
      <formula>NOT(ISERROR(SEARCH("Not yet due",I31)))</formula>
    </cfRule>
    <cfRule type="containsText" dxfId="2085" priority="2313" operator="containsText" text="Update not Provided">
      <formula>NOT(ISERROR(SEARCH("Update not Provided",I31)))</formula>
    </cfRule>
    <cfRule type="containsText" dxfId="2084" priority="2314" operator="containsText" text="Not yet due">
      <formula>NOT(ISERROR(SEARCH("Not yet due",I31)))</formula>
    </cfRule>
    <cfRule type="containsText" dxfId="2083" priority="2315" operator="containsText" text="Completed Behind Schedule">
      <formula>NOT(ISERROR(SEARCH("Completed Behind Schedule",I31)))</formula>
    </cfRule>
    <cfRule type="containsText" dxfId="2082" priority="2316" operator="containsText" text="Off Target">
      <formula>NOT(ISERROR(SEARCH("Off Target",I31)))</formula>
    </cfRule>
    <cfRule type="containsText" dxfId="2081" priority="2317" operator="containsText" text="On Track to be Achieved">
      <formula>NOT(ISERROR(SEARCH("On Track to be Achieved",I31)))</formula>
    </cfRule>
    <cfRule type="containsText" dxfId="2080" priority="2318" operator="containsText" text="Fully Achieved">
      <formula>NOT(ISERROR(SEARCH("Fully Achieved",I31)))</formula>
    </cfRule>
    <cfRule type="containsText" dxfId="2079" priority="2319" operator="containsText" text="Not yet due">
      <formula>NOT(ISERROR(SEARCH("Not yet due",I31)))</formula>
    </cfRule>
    <cfRule type="containsText" dxfId="2078" priority="2320" operator="containsText" text="Not Yet Due">
      <formula>NOT(ISERROR(SEARCH("Not Yet Due",I31)))</formula>
    </cfRule>
    <cfRule type="containsText" dxfId="2077" priority="2321" operator="containsText" text="Deferred">
      <formula>NOT(ISERROR(SEARCH("Deferred",I31)))</formula>
    </cfRule>
    <cfRule type="containsText" dxfId="2076" priority="2322" operator="containsText" text="Deleted">
      <formula>NOT(ISERROR(SEARCH("Deleted",I31)))</formula>
    </cfRule>
    <cfRule type="containsText" dxfId="2075" priority="2323" operator="containsText" text="In Danger of Falling Behind Target">
      <formula>NOT(ISERROR(SEARCH("In Danger of Falling Behind Target",I31)))</formula>
    </cfRule>
    <cfRule type="containsText" dxfId="2074" priority="2324" operator="containsText" text="Not yet due">
      <formula>NOT(ISERROR(SEARCH("Not yet due",I31)))</formula>
    </cfRule>
    <cfRule type="containsText" dxfId="2073" priority="2325" operator="containsText" text="Completed Behind Schedule">
      <formula>NOT(ISERROR(SEARCH("Completed Behind Schedule",I31)))</formula>
    </cfRule>
    <cfRule type="containsText" dxfId="2072" priority="2326" operator="containsText" text="Off Target">
      <formula>NOT(ISERROR(SEARCH("Off Target",I31)))</formula>
    </cfRule>
    <cfRule type="containsText" dxfId="2071" priority="2327" operator="containsText" text="In Danger of Falling Behind Target">
      <formula>NOT(ISERROR(SEARCH("In Danger of Falling Behind Target",I31)))</formula>
    </cfRule>
    <cfRule type="containsText" dxfId="2070" priority="2328" operator="containsText" text="On Track to be Achieved">
      <formula>NOT(ISERROR(SEARCH("On Track to be Achieved",I31)))</formula>
    </cfRule>
    <cfRule type="containsText" dxfId="2069" priority="2329" operator="containsText" text="Fully Achieved">
      <formula>NOT(ISERROR(SEARCH("Fully Achieved",I31)))</formula>
    </cfRule>
    <cfRule type="containsText" dxfId="2068" priority="2330" operator="containsText" text="Update not Provided">
      <formula>NOT(ISERROR(SEARCH("Update not Provided",I31)))</formula>
    </cfRule>
    <cfRule type="containsText" dxfId="2067" priority="2331" operator="containsText" text="Not yet due">
      <formula>NOT(ISERROR(SEARCH("Not yet due",I31)))</formula>
    </cfRule>
    <cfRule type="containsText" dxfId="2066" priority="2332" operator="containsText" text="Completed Behind Schedule">
      <formula>NOT(ISERROR(SEARCH("Completed Behind Schedule",I31)))</formula>
    </cfRule>
    <cfRule type="containsText" dxfId="2065" priority="2333" operator="containsText" text="Off Target">
      <formula>NOT(ISERROR(SEARCH("Off Target",I31)))</formula>
    </cfRule>
    <cfRule type="containsText" dxfId="2064" priority="2334" operator="containsText" text="In Danger of Falling Behind Target">
      <formula>NOT(ISERROR(SEARCH("In Danger of Falling Behind Target",I31)))</formula>
    </cfRule>
    <cfRule type="containsText" dxfId="2063" priority="2335" operator="containsText" text="On Track to be Achieved">
      <formula>NOT(ISERROR(SEARCH("On Track to be Achieved",I31)))</formula>
    </cfRule>
    <cfRule type="containsText" dxfId="2062" priority="2336" operator="containsText" text="Fully Achieved">
      <formula>NOT(ISERROR(SEARCH("Fully Achieved",I31)))</formula>
    </cfRule>
    <cfRule type="containsText" dxfId="2061" priority="2337" operator="containsText" text="Fully Achieved">
      <formula>NOT(ISERROR(SEARCH("Fully Achieved",I31)))</formula>
    </cfRule>
    <cfRule type="containsText" dxfId="2060" priority="2338" operator="containsText" text="Fully Achieved">
      <formula>NOT(ISERROR(SEARCH("Fully Achieved",I31)))</formula>
    </cfRule>
    <cfRule type="containsText" dxfId="2059" priority="2339" operator="containsText" text="Deferred">
      <formula>NOT(ISERROR(SEARCH("Deferred",I31)))</formula>
    </cfRule>
    <cfRule type="containsText" dxfId="2058" priority="2340" operator="containsText" text="Deleted">
      <formula>NOT(ISERROR(SEARCH("Deleted",I31)))</formula>
    </cfRule>
    <cfRule type="containsText" dxfId="2057" priority="2341" operator="containsText" text="In Danger of Falling Behind Target">
      <formula>NOT(ISERROR(SEARCH("In Danger of Falling Behind Target",I31)))</formula>
    </cfRule>
    <cfRule type="containsText" dxfId="2056" priority="2342" operator="containsText" text="Not yet due">
      <formula>NOT(ISERROR(SEARCH("Not yet due",I31)))</formula>
    </cfRule>
    <cfRule type="containsText" dxfId="2055" priority="2343" operator="containsText" text="Update not Provided">
      <formula>NOT(ISERROR(SEARCH("Update not Provided",I31)))</formula>
    </cfRule>
  </conditionalFormatting>
  <conditionalFormatting sqref="I42">
    <cfRule type="containsText" dxfId="2054" priority="2272" operator="containsText" text="On track to be achieved">
      <formula>NOT(ISERROR(SEARCH("On track to be achieved",I42)))</formula>
    </cfRule>
    <cfRule type="containsText" dxfId="2053" priority="2273" operator="containsText" text="Deferred">
      <formula>NOT(ISERROR(SEARCH("Deferred",I42)))</formula>
    </cfRule>
    <cfRule type="containsText" dxfId="2052" priority="2274" operator="containsText" text="Deleted">
      <formula>NOT(ISERROR(SEARCH("Deleted",I42)))</formula>
    </cfRule>
    <cfRule type="containsText" dxfId="2051" priority="2275" operator="containsText" text="In Danger of Falling Behind Target">
      <formula>NOT(ISERROR(SEARCH("In Danger of Falling Behind Target",I42)))</formula>
    </cfRule>
    <cfRule type="containsText" dxfId="2050" priority="2276" operator="containsText" text="Not yet due">
      <formula>NOT(ISERROR(SEARCH("Not yet due",I42)))</formula>
    </cfRule>
    <cfRule type="containsText" dxfId="2049" priority="2277" operator="containsText" text="Update not Provided">
      <formula>NOT(ISERROR(SEARCH("Update not Provided",I42)))</formula>
    </cfRule>
    <cfRule type="containsText" dxfId="2048" priority="2278" operator="containsText" text="Not yet due">
      <formula>NOT(ISERROR(SEARCH("Not yet due",I42)))</formula>
    </cfRule>
    <cfRule type="containsText" dxfId="2047" priority="2279" operator="containsText" text="Completed Behind Schedule">
      <formula>NOT(ISERROR(SEARCH("Completed Behind Schedule",I42)))</formula>
    </cfRule>
    <cfRule type="containsText" dxfId="2046" priority="2280" operator="containsText" text="Off Target">
      <formula>NOT(ISERROR(SEARCH("Off Target",I42)))</formula>
    </cfRule>
    <cfRule type="containsText" dxfId="2045" priority="2281" operator="containsText" text="On Track to be Achieved">
      <formula>NOT(ISERROR(SEARCH("On Track to be Achieved",I42)))</formula>
    </cfRule>
    <cfRule type="containsText" dxfId="2044" priority="2282" operator="containsText" text="Fully Achieved">
      <formula>NOT(ISERROR(SEARCH("Fully Achieved",I42)))</formula>
    </cfRule>
    <cfRule type="containsText" dxfId="2043" priority="2283" operator="containsText" text="Not yet due">
      <formula>NOT(ISERROR(SEARCH("Not yet due",I42)))</formula>
    </cfRule>
    <cfRule type="containsText" dxfId="2042" priority="2284" operator="containsText" text="Not Yet Due">
      <formula>NOT(ISERROR(SEARCH("Not Yet Due",I42)))</formula>
    </cfRule>
    <cfRule type="containsText" dxfId="2041" priority="2285" operator="containsText" text="Deferred">
      <formula>NOT(ISERROR(SEARCH("Deferred",I42)))</formula>
    </cfRule>
    <cfRule type="containsText" dxfId="2040" priority="2286" operator="containsText" text="Deleted">
      <formula>NOT(ISERROR(SEARCH("Deleted",I42)))</formula>
    </cfRule>
    <cfRule type="containsText" dxfId="2039" priority="2287" operator="containsText" text="In Danger of Falling Behind Target">
      <formula>NOT(ISERROR(SEARCH("In Danger of Falling Behind Target",I42)))</formula>
    </cfRule>
    <cfRule type="containsText" dxfId="2038" priority="2288" operator="containsText" text="Not yet due">
      <formula>NOT(ISERROR(SEARCH("Not yet due",I42)))</formula>
    </cfRule>
    <cfRule type="containsText" dxfId="2037" priority="2289" operator="containsText" text="Completed Behind Schedule">
      <formula>NOT(ISERROR(SEARCH("Completed Behind Schedule",I42)))</formula>
    </cfRule>
    <cfRule type="containsText" dxfId="2036" priority="2290" operator="containsText" text="Off Target">
      <formula>NOT(ISERROR(SEARCH("Off Target",I42)))</formula>
    </cfRule>
    <cfRule type="containsText" dxfId="2035" priority="2291" operator="containsText" text="In Danger of Falling Behind Target">
      <formula>NOT(ISERROR(SEARCH("In Danger of Falling Behind Target",I42)))</formula>
    </cfRule>
    <cfRule type="containsText" dxfId="2034" priority="2292" operator="containsText" text="On Track to be Achieved">
      <formula>NOT(ISERROR(SEARCH("On Track to be Achieved",I42)))</formula>
    </cfRule>
    <cfRule type="containsText" dxfId="2033" priority="2293" operator="containsText" text="Fully Achieved">
      <formula>NOT(ISERROR(SEARCH("Fully Achieved",I42)))</formula>
    </cfRule>
    <cfRule type="containsText" dxfId="2032" priority="2294" operator="containsText" text="Update not Provided">
      <formula>NOT(ISERROR(SEARCH("Update not Provided",I42)))</formula>
    </cfRule>
    <cfRule type="containsText" dxfId="2031" priority="2295" operator="containsText" text="Not yet due">
      <formula>NOT(ISERROR(SEARCH("Not yet due",I42)))</formula>
    </cfRule>
    <cfRule type="containsText" dxfId="2030" priority="2296" operator="containsText" text="Completed Behind Schedule">
      <formula>NOT(ISERROR(SEARCH("Completed Behind Schedule",I42)))</formula>
    </cfRule>
    <cfRule type="containsText" dxfId="2029" priority="2297" operator="containsText" text="Off Target">
      <formula>NOT(ISERROR(SEARCH("Off Target",I42)))</formula>
    </cfRule>
    <cfRule type="containsText" dxfId="2028" priority="2298" operator="containsText" text="In Danger of Falling Behind Target">
      <formula>NOT(ISERROR(SEARCH("In Danger of Falling Behind Target",I42)))</formula>
    </cfRule>
    <cfRule type="containsText" dxfId="2027" priority="2299" operator="containsText" text="On Track to be Achieved">
      <formula>NOT(ISERROR(SEARCH("On Track to be Achieved",I42)))</formula>
    </cfRule>
    <cfRule type="containsText" dxfId="2026" priority="2300" operator="containsText" text="Fully Achieved">
      <formula>NOT(ISERROR(SEARCH("Fully Achieved",I42)))</formula>
    </cfRule>
    <cfRule type="containsText" dxfId="2025" priority="2301" operator="containsText" text="Fully Achieved">
      <formula>NOT(ISERROR(SEARCH("Fully Achieved",I42)))</formula>
    </cfRule>
    <cfRule type="containsText" dxfId="2024" priority="2302" operator="containsText" text="Fully Achieved">
      <formula>NOT(ISERROR(SEARCH("Fully Achieved",I42)))</formula>
    </cfRule>
    <cfRule type="containsText" dxfId="2023" priority="2303" operator="containsText" text="Deferred">
      <formula>NOT(ISERROR(SEARCH("Deferred",I42)))</formula>
    </cfRule>
    <cfRule type="containsText" dxfId="2022" priority="2304" operator="containsText" text="Deleted">
      <formula>NOT(ISERROR(SEARCH("Deleted",I42)))</formula>
    </cfRule>
    <cfRule type="containsText" dxfId="2021" priority="2305" operator="containsText" text="In Danger of Falling Behind Target">
      <formula>NOT(ISERROR(SEARCH("In Danger of Falling Behind Target",I42)))</formula>
    </cfRule>
    <cfRule type="containsText" dxfId="2020" priority="2306" operator="containsText" text="Not yet due">
      <formula>NOT(ISERROR(SEARCH("Not yet due",I42)))</formula>
    </cfRule>
    <cfRule type="containsText" dxfId="2019" priority="2307" operator="containsText" text="Update not Provided">
      <formula>NOT(ISERROR(SEARCH("Update not Provided",I42)))</formula>
    </cfRule>
  </conditionalFormatting>
  <conditionalFormatting sqref="I42">
    <cfRule type="containsText" dxfId="2018" priority="2236" operator="containsText" text="On track to be achieved">
      <formula>NOT(ISERROR(SEARCH("On track to be achieved",I42)))</formula>
    </cfRule>
    <cfRule type="containsText" dxfId="2017" priority="2237" operator="containsText" text="Deferred">
      <formula>NOT(ISERROR(SEARCH("Deferred",I42)))</formula>
    </cfRule>
    <cfRule type="containsText" dxfId="2016" priority="2238" operator="containsText" text="Deleted">
      <formula>NOT(ISERROR(SEARCH("Deleted",I42)))</formula>
    </cfRule>
    <cfRule type="containsText" dxfId="2015" priority="2239" operator="containsText" text="In Danger of Falling Behind Target">
      <formula>NOT(ISERROR(SEARCH("In Danger of Falling Behind Target",I42)))</formula>
    </cfRule>
    <cfRule type="containsText" dxfId="2014" priority="2240" operator="containsText" text="Not yet due">
      <formula>NOT(ISERROR(SEARCH("Not yet due",I42)))</formula>
    </cfRule>
    <cfRule type="containsText" dxfId="2013" priority="2241" operator="containsText" text="Update not Provided">
      <formula>NOT(ISERROR(SEARCH("Update not Provided",I42)))</formula>
    </cfRule>
    <cfRule type="containsText" dxfId="2012" priority="2242" operator="containsText" text="Not yet due">
      <formula>NOT(ISERROR(SEARCH("Not yet due",I42)))</formula>
    </cfRule>
    <cfRule type="containsText" dxfId="2011" priority="2243" operator="containsText" text="Completed Behind Schedule">
      <formula>NOT(ISERROR(SEARCH("Completed Behind Schedule",I42)))</formula>
    </cfRule>
    <cfRule type="containsText" dxfId="2010" priority="2244" operator="containsText" text="Off Target">
      <formula>NOT(ISERROR(SEARCH("Off Target",I42)))</formula>
    </cfRule>
    <cfRule type="containsText" dxfId="2009" priority="2245" operator="containsText" text="On Track to be Achieved">
      <formula>NOT(ISERROR(SEARCH("On Track to be Achieved",I42)))</formula>
    </cfRule>
    <cfRule type="containsText" dxfId="2008" priority="2246" operator="containsText" text="Fully Achieved">
      <formula>NOT(ISERROR(SEARCH("Fully Achieved",I42)))</formula>
    </cfRule>
    <cfRule type="containsText" dxfId="2007" priority="2247" operator="containsText" text="Not yet due">
      <formula>NOT(ISERROR(SEARCH("Not yet due",I42)))</formula>
    </cfRule>
    <cfRule type="containsText" dxfId="2006" priority="2248" operator="containsText" text="Not Yet Due">
      <formula>NOT(ISERROR(SEARCH("Not Yet Due",I42)))</formula>
    </cfRule>
    <cfRule type="containsText" dxfId="2005" priority="2249" operator="containsText" text="Deferred">
      <formula>NOT(ISERROR(SEARCH("Deferred",I42)))</formula>
    </cfRule>
    <cfRule type="containsText" dxfId="2004" priority="2250" operator="containsText" text="Deleted">
      <formula>NOT(ISERROR(SEARCH("Deleted",I42)))</formula>
    </cfRule>
    <cfRule type="containsText" dxfId="2003" priority="2251" operator="containsText" text="In Danger of Falling Behind Target">
      <formula>NOT(ISERROR(SEARCH("In Danger of Falling Behind Target",I42)))</formula>
    </cfRule>
    <cfRule type="containsText" dxfId="2002" priority="2252" operator="containsText" text="Not yet due">
      <formula>NOT(ISERROR(SEARCH("Not yet due",I42)))</formula>
    </cfRule>
    <cfRule type="containsText" dxfId="2001" priority="2253" operator="containsText" text="Completed Behind Schedule">
      <formula>NOT(ISERROR(SEARCH("Completed Behind Schedule",I42)))</formula>
    </cfRule>
    <cfRule type="containsText" dxfId="2000" priority="2254" operator="containsText" text="Off Target">
      <formula>NOT(ISERROR(SEARCH("Off Target",I42)))</formula>
    </cfRule>
    <cfRule type="containsText" dxfId="1999" priority="2255" operator="containsText" text="In Danger of Falling Behind Target">
      <formula>NOT(ISERROR(SEARCH("In Danger of Falling Behind Target",I42)))</formula>
    </cfRule>
    <cfRule type="containsText" dxfId="1998" priority="2256" operator="containsText" text="On Track to be Achieved">
      <formula>NOT(ISERROR(SEARCH("On Track to be Achieved",I42)))</formula>
    </cfRule>
    <cfRule type="containsText" dxfId="1997" priority="2257" operator="containsText" text="Fully Achieved">
      <formula>NOT(ISERROR(SEARCH("Fully Achieved",I42)))</formula>
    </cfRule>
    <cfRule type="containsText" dxfId="1996" priority="2258" operator="containsText" text="Update not Provided">
      <formula>NOT(ISERROR(SEARCH("Update not Provided",I42)))</formula>
    </cfRule>
    <cfRule type="containsText" dxfId="1995" priority="2259" operator="containsText" text="Not yet due">
      <formula>NOT(ISERROR(SEARCH("Not yet due",I42)))</formula>
    </cfRule>
    <cfRule type="containsText" dxfId="1994" priority="2260" operator="containsText" text="Completed Behind Schedule">
      <formula>NOT(ISERROR(SEARCH("Completed Behind Schedule",I42)))</formula>
    </cfRule>
    <cfRule type="containsText" dxfId="1993" priority="2261" operator="containsText" text="Off Target">
      <formula>NOT(ISERROR(SEARCH("Off Target",I42)))</formula>
    </cfRule>
    <cfRule type="containsText" dxfId="1992" priority="2262" operator="containsText" text="In Danger of Falling Behind Target">
      <formula>NOT(ISERROR(SEARCH("In Danger of Falling Behind Target",I42)))</formula>
    </cfRule>
    <cfRule type="containsText" dxfId="1991" priority="2263" operator="containsText" text="On Track to be Achieved">
      <formula>NOT(ISERROR(SEARCH("On Track to be Achieved",I42)))</formula>
    </cfRule>
    <cfRule type="containsText" dxfId="1990" priority="2264" operator="containsText" text="Fully Achieved">
      <formula>NOT(ISERROR(SEARCH("Fully Achieved",I42)))</formula>
    </cfRule>
    <cfRule type="containsText" dxfId="1989" priority="2265" operator="containsText" text="Fully Achieved">
      <formula>NOT(ISERROR(SEARCH("Fully Achieved",I42)))</formula>
    </cfRule>
    <cfRule type="containsText" dxfId="1988" priority="2266" operator="containsText" text="Fully Achieved">
      <formula>NOT(ISERROR(SEARCH("Fully Achieved",I42)))</formula>
    </cfRule>
    <cfRule type="containsText" dxfId="1987" priority="2267" operator="containsText" text="Deferred">
      <formula>NOT(ISERROR(SEARCH("Deferred",I42)))</formula>
    </cfRule>
    <cfRule type="containsText" dxfId="1986" priority="2268" operator="containsText" text="Deleted">
      <formula>NOT(ISERROR(SEARCH("Deleted",I42)))</formula>
    </cfRule>
    <cfRule type="containsText" dxfId="1985" priority="2269" operator="containsText" text="In Danger of Falling Behind Target">
      <formula>NOT(ISERROR(SEARCH("In Danger of Falling Behind Target",I42)))</formula>
    </cfRule>
    <cfRule type="containsText" dxfId="1984" priority="2270" operator="containsText" text="Not yet due">
      <formula>NOT(ISERROR(SEARCH("Not yet due",I42)))</formula>
    </cfRule>
    <cfRule type="containsText" dxfId="1983" priority="2271" operator="containsText" text="Update not Provided">
      <formula>NOT(ISERROR(SEARCH("Update not Provided",I42)))</formula>
    </cfRule>
  </conditionalFormatting>
  <conditionalFormatting sqref="I42">
    <cfRule type="containsText" dxfId="1982" priority="2200" operator="containsText" text="On track to be achieved">
      <formula>NOT(ISERROR(SEARCH("On track to be achieved",I42)))</formula>
    </cfRule>
    <cfRule type="containsText" dxfId="1981" priority="2201" operator="containsText" text="Deferred">
      <formula>NOT(ISERROR(SEARCH("Deferred",I42)))</formula>
    </cfRule>
    <cfRule type="containsText" dxfId="1980" priority="2202" operator="containsText" text="Deleted">
      <formula>NOT(ISERROR(SEARCH("Deleted",I42)))</formula>
    </cfRule>
    <cfRule type="containsText" dxfId="1979" priority="2203" operator="containsText" text="In Danger of Falling Behind Target">
      <formula>NOT(ISERROR(SEARCH("In Danger of Falling Behind Target",I42)))</formula>
    </cfRule>
    <cfRule type="containsText" dxfId="1978" priority="2204" operator="containsText" text="Not yet due">
      <formula>NOT(ISERROR(SEARCH("Not yet due",I42)))</formula>
    </cfRule>
    <cfRule type="containsText" dxfId="1977" priority="2205" operator="containsText" text="Update not Provided">
      <formula>NOT(ISERROR(SEARCH("Update not Provided",I42)))</formula>
    </cfRule>
    <cfRule type="containsText" dxfId="1976" priority="2206" operator="containsText" text="Not yet due">
      <formula>NOT(ISERROR(SEARCH("Not yet due",I42)))</formula>
    </cfRule>
    <cfRule type="containsText" dxfId="1975" priority="2207" operator="containsText" text="Completed Behind Schedule">
      <formula>NOT(ISERROR(SEARCH("Completed Behind Schedule",I42)))</formula>
    </cfRule>
    <cfRule type="containsText" dxfId="1974" priority="2208" operator="containsText" text="Off Target">
      <formula>NOT(ISERROR(SEARCH("Off Target",I42)))</formula>
    </cfRule>
    <cfRule type="containsText" dxfId="1973" priority="2209" operator="containsText" text="On Track to be Achieved">
      <formula>NOT(ISERROR(SEARCH("On Track to be Achieved",I42)))</formula>
    </cfRule>
    <cfRule type="containsText" dxfId="1972" priority="2210" operator="containsText" text="Fully Achieved">
      <formula>NOT(ISERROR(SEARCH("Fully Achieved",I42)))</formula>
    </cfRule>
    <cfRule type="containsText" dxfId="1971" priority="2211" operator="containsText" text="Not yet due">
      <formula>NOT(ISERROR(SEARCH("Not yet due",I42)))</formula>
    </cfRule>
    <cfRule type="containsText" dxfId="1970" priority="2212" operator="containsText" text="Not Yet Due">
      <formula>NOT(ISERROR(SEARCH("Not Yet Due",I42)))</formula>
    </cfRule>
    <cfRule type="containsText" dxfId="1969" priority="2213" operator="containsText" text="Deferred">
      <formula>NOT(ISERROR(SEARCH("Deferred",I42)))</formula>
    </cfRule>
    <cfRule type="containsText" dxfId="1968" priority="2214" operator="containsText" text="Deleted">
      <formula>NOT(ISERROR(SEARCH("Deleted",I42)))</formula>
    </cfRule>
    <cfRule type="containsText" dxfId="1967" priority="2215" operator="containsText" text="In Danger of Falling Behind Target">
      <formula>NOT(ISERROR(SEARCH("In Danger of Falling Behind Target",I42)))</formula>
    </cfRule>
    <cfRule type="containsText" dxfId="1966" priority="2216" operator="containsText" text="Not yet due">
      <formula>NOT(ISERROR(SEARCH("Not yet due",I42)))</formula>
    </cfRule>
    <cfRule type="containsText" dxfId="1965" priority="2217" operator="containsText" text="Completed Behind Schedule">
      <formula>NOT(ISERROR(SEARCH("Completed Behind Schedule",I42)))</formula>
    </cfRule>
    <cfRule type="containsText" dxfId="1964" priority="2218" operator="containsText" text="Off Target">
      <formula>NOT(ISERROR(SEARCH("Off Target",I42)))</formula>
    </cfRule>
    <cfRule type="containsText" dxfId="1963" priority="2219" operator="containsText" text="In Danger of Falling Behind Target">
      <formula>NOT(ISERROR(SEARCH("In Danger of Falling Behind Target",I42)))</formula>
    </cfRule>
    <cfRule type="containsText" dxfId="1962" priority="2220" operator="containsText" text="On Track to be Achieved">
      <formula>NOT(ISERROR(SEARCH("On Track to be Achieved",I42)))</formula>
    </cfRule>
    <cfRule type="containsText" dxfId="1961" priority="2221" operator="containsText" text="Fully Achieved">
      <formula>NOT(ISERROR(SEARCH("Fully Achieved",I42)))</formula>
    </cfRule>
    <cfRule type="containsText" dxfId="1960" priority="2222" operator="containsText" text="Update not Provided">
      <formula>NOT(ISERROR(SEARCH("Update not Provided",I42)))</formula>
    </cfRule>
    <cfRule type="containsText" dxfId="1959" priority="2223" operator="containsText" text="Not yet due">
      <formula>NOT(ISERROR(SEARCH("Not yet due",I42)))</formula>
    </cfRule>
    <cfRule type="containsText" dxfId="1958" priority="2224" operator="containsText" text="Completed Behind Schedule">
      <formula>NOT(ISERROR(SEARCH("Completed Behind Schedule",I42)))</formula>
    </cfRule>
    <cfRule type="containsText" dxfId="1957" priority="2225" operator="containsText" text="Off Target">
      <formula>NOT(ISERROR(SEARCH("Off Target",I42)))</formula>
    </cfRule>
    <cfRule type="containsText" dxfId="1956" priority="2226" operator="containsText" text="In Danger of Falling Behind Target">
      <formula>NOT(ISERROR(SEARCH("In Danger of Falling Behind Target",I42)))</formula>
    </cfRule>
    <cfRule type="containsText" dxfId="1955" priority="2227" operator="containsText" text="On Track to be Achieved">
      <formula>NOT(ISERROR(SEARCH("On Track to be Achieved",I42)))</formula>
    </cfRule>
    <cfRule type="containsText" dxfId="1954" priority="2228" operator="containsText" text="Fully Achieved">
      <formula>NOT(ISERROR(SEARCH("Fully Achieved",I42)))</formula>
    </cfRule>
    <cfRule type="containsText" dxfId="1953" priority="2229" operator="containsText" text="Fully Achieved">
      <formula>NOT(ISERROR(SEARCH("Fully Achieved",I42)))</formula>
    </cfRule>
    <cfRule type="containsText" dxfId="1952" priority="2230" operator="containsText" text="Fully Achieved">
      <formula>NOT(ISERROR(SEARCH("Fully Achieved",I42)))</formula>
    </cfRule>
    <cfRule type="containsText" dxfId="1951" priority="2231" operator="containsText" text="Deferred">
      <formula>NOT(ISERROR(SEARCH("Deferred",I42)))</formula>
    </cfRule>
    <cfRule type="containsText" dxfId="1950" priority="2232" operator="containsText" text="Deleted">
      <formula>NOT(ISERROR(SEARCH("Deleted",I42)))</formula>
    </cfRule>
    <cfRule type="containsText" dxfId="1949" priority="2233" operator="containsText" text="In Danger of Falling Behind Target">
      <formula>NOT(ISERROR(SEARCH("In Danger of Falling Behind Target",I42)))</formula>
    </cfRule>
    <cfRule type="containsText" dxfId="1948" priority="2234" operator="containsText" text="Not yet due">
      <formula>NOT(ISERROR(SEARCH("Not yet due",I42)))</formula>
    </cfRule>
    <cfRule type="containsText" dxfId="1947" priority="2235" operator="containsText" text="Update not Provided">
      <formula>NOT(ISERROR(SEARCH("Update not Provided",I42)))</formula>
    </cfRule>
  </conditionalFormatting>
  <conditionalFormatting sqref="I43:I49">
    <cfRule type="containsText" dxfId="1946" priority="2164" operator="containsText" text="On track to be achieved">
      <formula>NOT(ISERROR(SEARCH("On track to be achieved",I43)))</formula>
    </cfRule>
    <cfRule type="containsText" dxfId="1945" priority="2165" operator="containsText" text="Deferred">
      <formula>NOT(ISERROR(SEARCH("Deferred",I43)))</formula>
    </cfRule>
    <cfRule type="containsText" dxfId="1944" priority="2166" operator="containsText" text="Deleted">
      <formula>NOT(ISERROR(SEARCH("Deleted",I43)))</formula>
    </cfRule>
    <cfRule type="containsText" dxfId="1943" priority="2167" operator="containsText" text="In Danger of Falling Behind Target">
      <formula>NOT(ISERROR(SEARCH("In Danger of Falling Behind Target",I43)))</formula>
    </cfRule>
    <cfRule type="containsText" dxfId="1942" priority="2168" operator="containsText" text="Not yet due">
      <formula>NOT(ISERROR(SEARCH("Not yet due",I43)))</formula>
    </cfRule>
    <cfRule type="containsText" dxfId="1941" priority="2169" operator="containsText" text="Update not Provided">
      <formula>NOT(ISERROR(SEARCH("Update not Provided",I43)))</formula>
    </cfRule>
    <cfRule type="containsText" dxfId="1940" priority="2170" operator="containsText" text="Not yet due">
      <formula>NOT(ISERROR(SEARCH("Not yet due",I43)))</formula>
    </cfRule>
    <cfRule type="containsText" dxfId="1939" priority="2171" operator="containsText" text="Completed Behind Schedule">
      <formula>NOT(ISERROR(SEARCH("Completed Behind Schedule",I43)))</formula>
    </cfRule>
    <cfRule type="containsText" dxfId="1938" priority="2172" operator="containsText" text="Off Target">
      <formula>NOT(ISERROR(SEARCH("Off Target",I43)))</formula>
    </cfRule>
    <cfRule type="containsText" dxfId="1937" priority="2173" operator="containsText" text="On Track to be Achieved">
      <formula>NOT(ISERROR(SEARCH("On Track to be Achieved",I43)))</formula>
    </cfRule>
    <cfRule type="containsText" dxfId="1936" priority="2174" operator="containsText" text="Fully Achieved">
      <formula>NOT(ISERROR(SEARCH("Fully Achieved",I43)))</formula>
    </cfRule>
    <cfRule type="containsText" dxfId="1935" priority="2175" operator="containsText" text="Not yet due">
      <formula>NOT(ISERROR(SEARCH("Not yet due",I43)))</formula>
    </cfRule>
    <cfRule type="containsText" dxfId="1934" priority="2176" operator="containsText" text="Not Yet Due">
      <formula>NOT(ISERROR(SEARCH("Not Yet Due",I43)))</formula>
    </cfRule>
    <cfRule type="containsText" dxfId="1933" priority="2177" operator="containsText" text="Deferred">
      <formula>NOT(ISERROR(SEARCH("Deferred",I43)))</formula>
    </cfRule>
    <cfRule type="containsText" dxfId="1932" priority="2178" operator="containsText" text="Deleted">
      <formula>NOT(ISERROR(SEARCH("Deleted",I43)))</formula>
    </cfRule>
    <cfRule type="containsText" dxfId="1931" priority="2179" operator="containsText" text="In Danger of Falling Behind Target">
      <formula>NOT(ISERROR(SEARCH("In Danger of Falling Behind Target",I43)))</formula>
    </cfRule>
    <cfRule type="containsText" dxfId="1930" priority="2180" operator="containsText" text="Not yet due">
      <formula>NOT(ISERROR(SEARCH("Not yet due",I43)))</formula>
    </cfRule>
    <cfRule type="containsText" dxfId="1929" priority="2181" operator="containsText" text="Completed Behind Schedule">
      <formula>NOT(ISERROR(SEARCH("Completed Behind Schedule",I43)))</formula>
    </cfRule>
    <cfRule type="containsText" dxfId="1928" priority="2182" operator="containsText" text="Off Target">
      <formula>NOT(ISERROR(SEARCH("Off Target",I43)))</formula>
    </cfRule>
    <cfRule type="containsText" dxfId="1927" priority="2183" operator="containsText" text="In Danger of Falling Behind Target">
      <formula>NOT(ISERROR(SEARCH("In Danger of Falling Behind Target",I43)))</formula>
    </cfRule>
    <cfRule type="containsText" dxfId="1926" priority="2184" operator="containsText" text="On Track to be Achieved">
      <formula>NOT(ISERROR(SEARCH("On Track to be Achieved",I43)))</formula>
    </cfRule>
    <cfRule type="containsText" dxfId="1925" priority="2185" operator="containsText" text="Fully Achieved">
      <formula>NOT(ISERROR(SEARCH("Fully Achieved",I43)))</formula>
    </cfRule>
    <cfRule type="containsText" dxfId="1924" priority="2186" operator="containsText" text="Update not Provided">
      <formula>NOT(ISERROR(SEARCH("Update not Provided",I43)))</formula>
    </cfRule>
    <cfRule type="containsText" dxfId="1923" priority="2187" operator="containsText" text="Not yet due">
      <formula>NOT(ISERROR(SEARCH("Not yet due",I43)))</formula>
    </cfRule>
    <cfRule type="containsText" dxfId="1922" priority="2188" operator="containsText" text="Completed Behind Schedule">
      <formula>NOT(ISERROR(SEARCH("Completed Behind Schedule",I43)))</formula>
    </cfRule>
    <cfRule type="containsText" dxfId="1921" priority="2189" operator="containsText" text="Off Target">
      <formula>NOT(ISERROR(SEARCH("Off Target",I43)))</formula>
    </cfRule>
    <cfRule type="containsText" dxfId="1920" priority="2190" operator="containsText" text="In Danger of Falling Behind Target">
      <formula>NOT(ISERROR(SEARCH("In Danger of Falling Behind Target",I43)))</formula>
    </cfRule>
    <cfRule type="containsText" dxfId="1919" priority="2191" operator="containsText" text="On Track to be Achieved">
      <formula>NOT(ISERROR(SEARCH("On Track to be Achieved",I43)))</formula>
    </cfRule>
    <cfRule type="containsText" dxfId="1918" priority="2192" operator="containsText" text="Fully Achieved">
      <formula>NOT(ISERROR(SEARCH("Fully Achieved",I43)))</formula>
    </cfRule>
    <cfRule type="containsText" dxfId="1917" priority="2193" operator="containsText" text="Fully Achieved">
      <formula>NOT(ISERROR(SEARCH("Fully Achieved",I43)))</formula>
    </cfRule>
    <cfRule type="containsText" dxfId="1916" priority="2194" operator="containsText" text="Fully Achieved">
      <formula>NOT(ISERROR(SEARCH("Fully Achieved",I43)))</formula>
    </cfRule>
    <cfRule type="containsText" dxfId="1915" priority="2195" operator="containsText" text="Deferred">
      <formula>NOT(ISERROR(SEARCH("Deferred",I43)))</formula>
    </cfRule>
    <cfRule type="containsText" dxfId="1914" priority="2196" operator="containsText" text="Deleted">
      <formula>NOT(ISERROR(SEARCH("Deleted",I43)))</formula>
    </cfRule>
    <cfRule type="containsText" dxfId="1913" priority="2197" operator="containsText" text="In Danger of Falling Behind Target">
      <formula>NOT(ISERROR(SEARCH("In Danger of Falling Behind Target",I43)))</formula>
    </cfRule>
    <cfRule type="containsText" dxfId="1912" priority="2198" operator="containsText" text="Not yet due">
      <formula>NOT(ISERROR(SEARCH("Not yet due",I43)))</formula>
    </cfRule>
    <cfRule type="containsText" dxfId="1911" priority="2199" operator="containsText" text="Update not Provided">
      <formula>NOT(ISERROR(SEARCH("Update not Provided",I43)))</formula>
    </cfRule>
  </conditionalFormatting>
  <conditionalFormatting sqref="I50">
    <cfRule type="containsText" dxfId="1910" priority="2128" operator="containsText" text="On track to be achieved">
      <formula>NOT(ISERROR(SEARCH("On track to be achieved",I50)))</formula>
    </cfRule>
    <cfRule type="containsText" dxfId="1909" priority="2129" operator="containsText" text="Deferred">
      <formula>NOT(ISERROR(SEARCH("Deferred",I50)))</formula>
    </cfRule>
    <cfRule type="containsText" dxfId="1908" priority="2130" operator="containsText" text="Deleted">
      <formula>NOT(ISERROR(SEARCH("Deleted",I50)))</formula>
    </cfRule>
    <cfRule type="containsText" dxfId="1907" priority="2131" operator="containsText" text="In Danger of Falling Behind Target">
      <formula>NOT(ISERROR(SEARCH("In Danger of Falling Behind Target",I50)))</formula>
    </cfRule>
    <cfRule type="containsText" dxfId="1906" priority="2132" operator="containsText" text="Not yet due">
      <formula>NOT(ISERROR(SEARCH("Not yet due",I50)))</formula>
    </cfRule>
    <cfRule type="containsText" dxfId="1905" priority="2133" operator="containsText" text="Update not Provided">
      <formula>NOT(ISERROR(SEARCH("Update not Provided",I50)))</formula>
    </cfRule>
    <cfRule type="containsText" dxfId="1904" priority="2134" operator="containsText" text="Not yet due">
      <formula>NOT(ISERROR(SEARCH("Not yet due",I50)))</formula>
    </cfRule>
    <cfRule type="containsText" dxfId="1903" priority="2135" operator="containsText" text="Completed Behind Schedule">
      <formula>NOT(ISERROR(SEARCH("Completed Behind Schedule",I50)))</formula>
    </cfRule>
    <cfRule type="containsText" dxfId="1902" priority="2136" operator="containsText" text="Off Target">
      <formula>NOT(ISERROR(SEARCH("Off Target",I50)))</formula>
    </cfRule>
    <cfRule type="containsText" dxfId="1901" priority="2137" operator="containsText" text="On Track to be Achieved">
      <formula>NOT(ISERROR(SEARCH("On Track to be Achieved",I50)))</formula>
    </cfRule>
    <cfRule type="containsText" dxfId="1900" priority="2138" operator="containsText" text="Fully Achieved">
      <formula>NOT(ISERROR(SEARCH("Fully Achieved",I50)))</formula>
    </cfRule>
    <cfRule type="containsText" dxfId="1899" priority="2139" operator="containsText" text="Not yet due">
      <formula>NOT(ISERROR(SEARCH("Not yet due",I50)))</formula>
    </cfRule>
    <cfRule type="containsText" dxfId="1898" priority="2140" operator="containsText" text="Not Yet Due">
      <formula>NOT(ISERROR(SEARCH("Not Yet Due",I50)))</formula>
    </cfRule>
    <cfRule type="containsText" dxfId="1897" priority="2141" operator="containsText" text="Deferred">
      <formula>NOT(ISERROR(SEARCH("Deferred",I50)))</formula>
    </cfRule>
    <cfRule type="containsText" dxfId="1896" priority="2142" operator="containsText" text="Deleted">
      <formula>NOT(ISERROR(SEARCH("Deleted",I50)))</formula>
    </cfRule>
    <cfRule type="containsText" dxfId="1895" priority="2143" operator="containsText" text="In Danger of Falling Behind Target">
      <formula>NOT(ISERROR(SEARCH("In Danger of Falling Behind Target",I50)))</formula>
    </cfRule>
    <cfRule type="containsText" dxfId="1894" priority="2144" operator="containsText" text="Not yet due">
      <formula>NOT(ISERROR(SEARCH("Not yet due",I50)))</formula>
    </cfRule>
    <cfRule type="containsText" dxfId="1893" priority="2145" operator="containsText" text="Completed Behind Schedule">
      <formula>NOT(ISERROR(SEARCH("Completed Behind Schedule",I50)))</formula>
    </cfRule>
    <cfRule type="containsText" dxfId="1892" priority="2146" operator="containsText" text="Off Target">
      <formula>NOT(ISERROR(SEARCH("Off Target",I50)))</formula>
    </cfRule>
    <cfRule type="containsText" dxfId="1891" priority="2147" operator="containsText" text="In Danger of Falling Behind Target">
      <formula>NOT(ISERROR(SEARCH("In Danger of Falling Behind Target",I50)))</formula>
    </cfRule>
    <cfRule type="containsText" dxfId="1890" priority="2148" operator="containsText" text="On Track to be Achieved">
      <formula>NOT(ISERROR(SEARCH("On Track to be Achieved",I50)))</formula>
    </cfRule>
    <cfRule type="containsText" dxfId="1889" priority="2149" operator="containsText" text="Fully Achieved">
      <formula>NOT(ISERROR(SEARCH("Fully Achieved",I50)))</formula>
    </cfRule>
    <cfRule type="containsText" dxfId="1888" priority="2150" operator="containsText" text="Update not Provided">
      <formula>NOT(ISERROR(SEARCH("Update not Provided",I50)))</formula>
    </cfRule>
    <cfRule type="containsText" dxfId="1887" priority="2151" operator="containsText" text="Not yet due">
      <formula>NOT(ISERROR(SEARCH("Not yet due",I50)))</formula>
    </cfRule>
    <cfRule type="containsText" dxfId="1886" priority="2152" operator="containsText" text="Completed Behind Schedule">
      <formula>NOT(ISERROR(SEARCH("Completed Behind Schedule",I50)))</formula>
    </cfRule>
    <cfRule type="containsText" dxfId="1885" priority="2153" operator="containsText" text="Off Target">
      <formula>NOT(ISERROR(SEARCH("Off Target",I50)))</formula>
    </cfRule>
    <cfRule type="containsText" dxfId="1884" priority="2154" operator="containsText" text="In Danger of Falling Behind Target">
      <formula>NOT(ISERROR(SEARCH("In Danger of Falling Behind Target",I50)))</formula>
    </cfRule>
    <cfRule type="containsText" dxfId="1883" priority="2155" operator="containsText" text="On Track to be Achieved">
      <formula>NOT(ISERROR(SEARCH("On Track to be Achieved",I50)))</formula>
    </cfRule>
    <cfRule type="containsText" dxfId="1882" priority="2156" operator="containsText" text="Fully Achieved">
      <formula>NOT(ISERROR(SEARCH("Fully Achieved",I50)))</formula>
    </cfRule>
    <cfRule type="containsText" dxfId="1881" priority="2157" operator="containsText" text="Fully Achieved">
      <formula>NOT(ISERROR(SEARCH("Fully Achieved",I50)))</formula>
    </cfRule>
    <cfRule type="containsText" dxfId="1880" priority="2158" operator="containsText" text="Fully Achieved">
      <formula>NOT(ISERROR(SEARCH("Fully Achieved",I50)))</formula>
    </cfRule>
    <cfRule type="containsText" dxfId="1879" priority="2159" operator="containsText" text="Deferred">
      <formula>NOT(ISERROR(SEARCH("Deferred",I50)))</formula>
    </cfRule>
    <cfRule type="containsText" dxfId="1878" priority="2160" operator="containsText" text="Deleted">
      <formula>NOT(ISERROR(SEARCH("Deleted",I50)))</formula>
    </cfRule>
    <cfRule type="containsText" dxfId="1877" priority="2161" operator="containsText" text="In Danger of Falling Behind Target">
      <formula>NOT(ISERROR(SEARCH("In Danger of Falling Behind Target",I50)))</formula>
    </cfRule>
    <cfRule type="containsText" dxfId="1876" priority="2162" operator="containsText" text="Not yet due">
      <formula>NOT(ISERROR(SEARCH("Not yet due",I50)))</formula>
    </cfRule>
    <cfRule type="containsText" dxfId="1875" priority="2163" operator="containsText" text="Update not Provided">
      <formula>NOT(ISERROR(SEARCH("Update not Provided",I50)))</formula>
    </cfRule>
  </conditionalFormatting>
  <conditionalFormatting sqref="I50">
    <cfRule type="containsText" dxfId="1874" priority="2092" operator="containsText" text="On track to be achieved">
      <formula>NOT(ISERROR(SEARCH("On track to be achieved",I50)))</formula>
    </cfRule>
    <cfRule type="containsText" dxfId="1873" priority="2093" operator="containsText" text="Deferred">
      <formula>NOT(ISERROR(SEARCH("Deferred",I50)))</formula>
    </cfRule>
    <cfRule type="containsText" dxfId="1872" priority="2094" operator="containsText" text="Deleted">
      <formula>NOT(ISERROR(SEARCH("Deleted",I50)))</formula>
    </cfRule>
    <cfRule type="containsText" dxfId="1871" priority="2095" operator="containsText" text="In Danger of Falling Behind Target">
      <formula>NOT(ISERROR(SEARCH("In Danger of Falling Behind Target",I50)))</formula>
    </cfRule>
    <cfRule type="containsText" dxfId="1870" priority="2096" operator="containsText" text="Not yet due">
      <formula>NOT(ISERROR(SEARCH("Not yet due",I50)))</formula>
    </cfRule>
    <cfRule type="containsText" dxfId="1869" priority="2097" operator="containsText" text="Update not Provided">
      <formula>NOT(ISERROR(SEARCH("Update not Provided",I50)))</formula>
    </cfRule>
    <cfRule type="containsText" dxfId="1868" priority="2098" operator="containsText" text="Not yet due">
      <formula>NOT(ISERROR(SEARCH("Not yet due",I50)))</formula>
    </cfRule>
    <cfRule type="containsText" dxfId="1867" priority="2099" operator="containsText" text="Completed Behind Schedule">
      <formula>NOT(ISERROR(SEARCH("Completed Behind Schedule",I50)))</formula>
    </cfRule>
    <cfRule type="containsText" dxfId="1866" priority="2100" operator="containsText" text="Off Target">
      <formula>NOT(ISERROR(SEARCH("Off Target",I50)))</formula>
    </cfRule>
    <cfRule type="containsText" dxfId="1865" priority="2101" operator="containsText" text="On Track to be Achieved">
      <formula>NOT(ISERROR(SEARCH("On Track to be Achieved",I50)))</formula>
    </cfRule>
    <cfRule type="containsText" dxfId="1864" priority="2102" operator="containsText" text="Fully Achieved">
      <formula>NOT(ISERROR(SEARCH("Fully Achieved",I50)))</formula>
    </cfRule>
    <cfRule type="containsText" dxfId="1863" priority="2103" operator="containsText" text="Not yet due">
      <formula>NOT(ISERROR(SEARCH("Not yet due",I50)))</formula>
    </cfRule>
    <cfRule type="containsText" dxfId="1862" priority="2104" operator="containsText" text="Not Yet Due">
      <formula>NOT(ISERROR(SEARCH("Not Yet Due",I50)))</formula>
    </cfRule>
    <cfRule type="containsText" dxfId="1861" priority="2105" operator="containsText" text="Deferred">
      <formula>NOT(ISERROR(SEARCH("Deferred",I50)))</formula>
    </cfRule>
    <cfRule type="containsText" dxfId="1860" priority="2106" operator="containsText" text="Deleted">
      <formula>NOT(ISERROR(SEARCH("Deleted",I50)))</formula>
    </cfRule>
    <cfRule type="containsText" dxfId="1859" priority="2107" operator="containsText" text="In Danger of Falling Behind Target">
      <formula>NOT(ISERROR(SEARCH("In Danger of Falling Behind Target",I50)))</formula>
    </cfRule>
    <cfRule type="containsText" dxfId="1858" priority="2108" operator="containsText" text="Not yet due">
      <formula>NOT(ISERROR(SEARCH("Not yet due",I50)))</formula>
    </cfRule>
    <cfRule type="containsText" dxfId="1857" priority="2109" operator="containsText" text="Completed Behind Schedule">
      <formula>NOT(ISERROR(SEARCH("Completed Behind Schedule",I50)))</formula>
    </cfRule>
    <cfRule type="containsText" dxfId="1856" priority="2110" operator="containsText" text="Off Target">
      <formula>NOT(ISERROR(SEARCH("Off Target",I50)))</formula>
    </cfRule>
    <cfRule type="containsText" dxfId="1855" priority="2111" operator="containsText" text="In Danger of Falling Behind Target">
      <formula>NOT(ISERROR(SEARCH("In Danger of Falling Behind Target",I50)))</formula>
    </cfRule>
    <cfRule type="containsText" dxfId="1854" priority="2112" operator="containsText" text="On Track to be Achieved">
      <formula>NOT(ISERROR(SEARCH("On Track to be Achieved",I50)))</formula>
    </cfRule>
    <cfRule type="containsText" dxfId="1853" priority="2113" operator="containsText" text="Fully Achieved">
      <formula>NOT(ISERROR(SEARCH("Fully Achieved",I50)))</formula>
    </cfRule>
    <cfRule type="containsText" dxfId="1852" priority="2114" operator="containsText" text="Update not Provided">
      <formula>NOT(ISERROR(SEARCH("Update not Provided",I50)))</formula>
    </cfRule>
    <cfRule type="containsText" dxfId="1851" priority="2115" operator="containsText" text="Not yet due">
      <formula>NOT(ISERROR(SEARCH("Not yet due",I50)))</formula>
    </cfRule>
    <cfRule type="containsText" dxfId="1850" priority="2116" operator="containsText" text="Completed Behind Schedule">
      <formula>NOT(ISERROR(SEARCH("Completed Behind Schedule",I50)))</formula>
    </cfRule>
    <cfRule type="containsText" dxfId="1849" priority="2117" operator="containsText" text="Off Target">
      <formula>NOT(ISERROR(SEARCH("Off Target",I50)))</formula>
    </cfRule>
    <cfRule type="containsText" dxfId="1848" priority="2118" operator="containsText" text="In Danger of Falling Behind Target">
      <formula>NOT(ISERROR(SEARCH("In Danger of Falling Behind Target",I50)))</formula>
    </cfRule>
    <cfRule type="containsText" dxfId="1847" priority="2119" operator="containsText" text="On Track to be Achieved">
      <formula>NOT(ISERROR(SEARCH("On Track to be Achieved",I50)))</formula>
    </cfRule>
    <cfRule type="containsText" dxfId="1846" priority="2120" operator="containsText" text="Fully Achieved">
      <formula>NOT(ISERROR(SEARCH("Fully Achieved",I50)))</formula>
    </cfRule>
    <cfRule type="containsText" dxfId="1845" priority="2121" operator="containsText" text="Fully Achieved">
      <formula>NOT(ISERROR(SEARCH("Fully Achieved",I50)))</formula>
    </cfRule>
    <cfRule type="containsText" dxfId="1844" priority="2122" operator="containsText" text="Fully Achieved">
      <formula>NOT(ISERROR(SEARCH("Fully Achieved",I50)))</formula>
    </cfRule>
    <cfRule type="containsText" dxfId="1843" priority="2123" operator="containsText" text="Deferred">
      <formula>NOT(ISERROR(SEARCH("Deferred",I50)))</formula>
    </cfRule>
    <cfRule type="containsText" dxfId="1842" priority="2124" operator="containsText" text="Deleted">
      <formula>NOT(ISERROR(SEARCH("Deleted",I50)))</formula>
    </cfRule>
    <cfRule type="containsText" dxfId="1841" priority="2125" operator="containsText" text="In Danger of Falling Behind Target">
      <formula>NOT(ISERROR(SEARCH("In Danger of Falling Behind Target",I50)))</formula>
    </cfRule>
    <cfRule type="containsText" dxfId="1840" priority="2126" operator="containsText" text="Not yet due">
      <formula>NOT(ISERROR(SEARCH("Not yet due",I50)))</formula>
    </cfRule>
    <cfRule type="containsText" dxfId="1839" priority="2127" operator="containsText" text="Update not Provided">
      <formula>NOT(ISERROR(SEARCH("Update not Provided",I50)))</formula>
    </cfRule>
  </conditionalFormatting>
  <conditionalFormatting sqref="I50">
    <cfRule type="containsText" dxfId="1838" priority="2056" operator="containsText" text="On track to be achieved">
      <formula>NOT(ISERROR(SEARCH("On track to be achieved",I50)))</formula>
    </cfRule>
    <cfRule type="containsText" dxfId="1837" priority="2057" operator="containsText" text="Deferred">
      <formula>NOT(ISERROR(SEARCH("Deferred",I50)))</formula>
    </cfRule>
    <cfRule type="containsText" dxfId="1836" priority="2058" operator="containsText" text="Deleted">
      <formula>NOT(ISERROR(SEARCH("Deleted",I50)))</formula>
    </cfRule>
    <cfRule type="containsText" dxfId="1835" priority="2059" operator="containsText" text="In Danger of Falling Behind Target">
      <formula>NOT(ISERROR(SEARCH("In Danger of Falling Behind Target",I50)))</formula>
    </cfRule>
    <cfRule type="containsText" dxfId="1834" priority="2060" operator="containsText" text="Not yet due">
      <formula>NOT(ISERROR(SEARCH("Not yet due",I50)))</formula>
    </cfRule>
    <cfRule type="containsText" dxfId="1833" priority="2061" operator="containsText" text="Update not Provided">
      <formula>NOT(ISERROR(SEARCH("Update not Provided",I50)))</formula>
    </cfRule>
    <cfRule type="containsText" dxfId="1832" priority="2062" operator="containsText" text="Not yet due">
      <formula>NOT(ISERROR(SEARCH("Not yet due",I50)))</formula>
    </cfRule>
    <cfRule type="containsText" dxfId="1831" priority="2063" operator="containsText" text="Completed Behind Schedule">
      <formula>NOT(ISERROR(SEARCH("Completed Behind Schedule",I50)))</formula>
    </cfRule>
    <cfRule type="containsText" dxfId="1830" priority="2064" operator="containsText" text="Off Target">
      <formula>NOT(ISERROR(SEARCH("Off Target",I50)))</formula>
    </cfRule>
    <cfRule type="containsText" dxfId="1829" priority="2065" operator="containsText" text="On Track to be Achieved">
      <formula>NOT(ISERROR(SEARCH("On Track to be Achieved",I50)))</formula>
    </cfRule>
    <cfRule type="containsText" dxfId="1828" priority="2066" operator="containsText" text="Fully Achieved">
      <formula>NOT(ISERROR(SEARCH("Fully Achieved",I50)))</formula>
    </cfRule>
    <cfRule type="containsText" dxfId="1827" priority="2067" operator="containsText" text="Not yet due">
      <formula>NOT(ISERROR(SEARCH("Not yet due",I50)))</formula>
    </cfRule>
    <cfRule type="containsText" dxfId="1826" priority="2068" operator="containsText" text="Not Yet Due">
      <formula>NOT(ISERROR(SEARCH("Not Yet Due",I50)))</formula>
    </cfRule>
    <cfRule type="containsText" dxfId="1825" priority="2069" operator="containsText" text="Deferred">
      <formula>NOT(ISERROR(SEARCH("Deferred",I50)))</formula>
    </cfRule>
    <cfRule type="containsText" dxfId="1824" priority="2070" operator="containsText" text="Deleted">
      <formula>NOT(ISERROR(SEARCH("Deleted",I50)))</formula>
    </cfRule>
    <cfRule type="containsText" dxfId="1823" priority="2071" operator="containsText" text="In Danger of Falling Behind Target">
      <formula>NOT(ISERROR(SEARCH("In Danger of Falling Behind Target",I50)))</formula>
    </cfRule>
    <cfRule type="containsText" dxfId="1822" priority="2072" operator="containsText" text="Not yet due">
      <formula>NOT(ISERROR(SEARCH("Not yet due",I50)))</formula>
    </cfRule>
    <cfRule type="containsText" dxfId="1821" priority="2073" operator="containsText" text="Completed Behind Schedule">
      <formula>NOT(ISERROR(SEARCH("Completed Behind Schedule",I50)))</formula>
    </cfRule>
    <cfRule type="containsText" dxfId="1820" priority="2074" operator="containsText" text="Off Target">
      <formula>NOT(ISERROR(SEARCH("Off Target",I50)))</formula>
    </cfRule>
    <cfRule type="containsText" dxfId="1819" priority="2075" operator="containsText" text="In Danger of Falling Behind Target">
      <formula>NOT(ISERROR(SEARCH("In Danger of Falling Behind Target",I50)))</formula>
    </cfRule>
    <cfRule type="containsText" dxfId="1818" priority="2076" operator="containsText" text="On Track to be Achieved">
      <formula>NOT(ISERROR(SEARCH("On Track to be Achieved",I50)))</formula>
    </cfRule>
    <cfRule type="containsText" dxfId="1817" priority="2077" operator="containsText" text="Fully Achieved">
      <formula>NOT(ISERROR(SEARCH("Fully Achieved",I50)))</formula>
    </cfRule>
    <cfRule type="containsText" dxfId="1816" priority="2078" operator="containsText" text="Update not Provided">
      <formula>NOT(ISERROR(SEARCH("Update not Provided",I50)))</formula>
    </cfRule>
    <cfRule type="containsText" dxfId="1815" priority="2079" operator="containsText" text="Not yet due">
      <formula>NOT(ISERROR(SEARCH("Not yet due",I50)))</formula>
    </cfRule>
    <cfRule type="containsText" dxfId="1814" priority="2080" operator="containsText" text="Completed Behind Schedule">
      <formula>NOT(ISERROR(SEARCH("Completed Behind Schedule",I50)))</formula>
    </cfRule>
    <cfRule type="containsText" dxfId="1813" priority="2081" operator="containsText" text="Off Target">
      <formula>NOT(ISERROR(SEARCH("Off Target",I50)))</formula>
    </cfRule>
    <cfRule type="containsText" dxfId="1812" priority="2082" operator="containsText" text="In Danger of Falling Behind Target">
      <formula>NOT(ISERROR(SEARCH("In Danger of Falling Behind Target",I50)))</formula>
    </cfRule>
    <cfRule type="containsText" dxfId="1811" priority="2083" operator="containsText" text="On Track to be Achieved">
      <formula>NOT(ISERROR(SEARCH("On Track to be Achieved",I50)))</formula>
    </cfRule>
    <cfRule type="containsText" dxfId="1810" priority="2084" operator="containsText" text="Fully Achieved">
      <formula>NOT(ISERROR(SEARCH("Fully Achieved",I50)))</formula>
    </cfRule>
    <cfRule type="containsText" dxfId="1809" priority="2085" operator="containsText" text="Fully Achieved">
      <formula>NOT(ISERROR(SEARCH("Fully Achieved",I50)))</formula>
    </cfRule>
    <cfRule type="containsText" dxfId="1808" priority="2086" operator="containsText" text="Fully Achieved">
      <formula>NOT(ISERROR(SEARCH("Fully Achieved",I50)))</formula>
    </cfRule>
    <cfRule type="containsText" dxfId="1807" priority="2087" operator="containsText" text="Deferred">
      <formula>NOT(ISERROR(SEARCH("Deferred",I50)))</formula>
    </cfRule>
    <cfRule type="containsText" dxfId="1806" priority="2088" operator="containsText" text="Deleted">
      <formula>NOT(ISERROR(SEARCH("Deleted",I50)))</formula>
    </cfRule>
    <cfRule type="containsText" dxfId="1805" priority="2089" operator="containsText" text="In Danger of Falling Behind Target">
      <formula>NOT(ISERROR(SEARCH("In Danger of Falling Behind Target",I50)))</formula>
    </cfRule>
    <cfRule type="containsText" dxfId="1804" priority="2090" operator="containsText" text="Not yet due">
      <formula>NOT(ISERROR(SEARCH("Not yet due",I50)))</formula>
    </cfRule>
    <cfRule type="containsText" dxfId="1803" priority="2091" operator="containsText" text="Update not Provided">
      <formula>NOT(ISERROR(SEARCH("Update not Provided",I50)))</formula>
    </cfRule>
  </conditionalFormatting>
  <conditionalFormatting sqref="I51:I60">
    <cfRule type="containsText" dxfId="1802" priority="2020" operator="containsText" text="On track to be achieved">
      <formula>NOT(ISERROR(SEARCH("On track to be achieved",I51)))</formula>
    </cfRule>
    <cfRule type="containsText" dxfId="1801" priority="2021" operator="containsText" text="Deferred">
      <formula>NOT(ISERROR(SEARCH("Deferred",I51)))</formula>
    </cfRule>
    <cfRule type="containsText" dxfId="1800" priority="2022" operator="containsText" text="Deleted">
      <formula>NOT(ISERROR(SEARCH("Deleted",I51)))</formula>
    </cfRule>
    <cfRule type="containsText" dxfId="1799" priority="2023" operator="containsText" text="In Danger of Falling Behind Target">
      <formula>NOT(ISERROR(SEARCH("In Danger of Falling Behind Target",I51)))</formula>
    </cfRule>
    <cfRule type="containsText" dxfId="1798" priority="2024" operator="containsText" text="Not yet due">
      <formula>NOT(ISERROR(SEARCH("Not yet due",I51)))</formula>
    </cfRule>
    <cfRule type="containsText" dxfId="1797" priority="2025" operator="containsText" text="Update not Provided">
      <formula>NOT(ISERROR(SEARCH("Update not Provided",I51)))</formula>
    </cfRule>
    <cfRule type="containsText" dxfId="1796" priority="2026" operator="containsText" text="Not yet due">
      <formula>NOT(ISERROR(SEARCH("Not yet due",I51)))</formula>
    </cfRule>
    <cfRule type="containsText" dxfId="1795" priority="2027" operator="containsText" text="Completed Behind Schedule">
      <formula>NOT(ISERROR(SEARCH("Completed Behind Schedule",I51)))</formula>
    </cfRule>
    <cfRule type="containsText" dxfId="1794" priority="2028" operator="containsText" text="Off Target">
      <formula>NOT(ISERROR(SEARCH("Off Target",I51)))</formula>
    </cfRule>
    <cfRule type="containsText" dxfId="1793" priority="2029" operator="containsText" text="On Track to be Achieved">
      <formula>NOT(ISERROR(SEARCH("On Track to be Achieved",I51)))</formula>
    </cfRule>
    <cfRule type="containsText" dxfId="1792" priority="2030" operator="containsText" text="Fully Achieved">
      <formula>NOT(ISERROR(SEARCH("Fully Achieved",I51)))</formula>
    </cfRule>
    <cfRule type="containsText" dxfId="1791" priority="2031" operator="containsText" text="Not yet due">
      <formula>NOT(ISERROR(SEARCH("Not yet due",I51)))</formula>
    </cfRule>
    <cfRule type="containsText" dxfId="1790" priority="2032" operator="containsText" text="Not Yet Due">
      <formula>NOT(ISERROR(SEARCH("Not Yet Due",I51)))</formula>
    </cfRule>
    <cfRule type="containsText" dxfId="1789" priority="2033" operator="containsText" text="Deferred">
      <formula>NOT(ISERROR(SEARCH("Deferred",I51)))</formula>
    </cfRule>
    <cfRule type="containsText" dxfId="1788" priority="2034" operator="containsText" text="Deleted">
      <formula>NOT(ISERROR(SEARCH("Deleted",I51)))</formula>
    </cfRule>
    <cfRule type="containsText" dxfId="1787" priority="2035" operator="containsText" text="In Danger of Falling Behind Target">
      <formula>NOT(ISERROR(SEARCH("In Danger of Falling Behind Target",I51)))</formula>
    </cfRule>
    <cfRule type="containsText" dxfId="1786" priority="2036" operator="containsText" text="Not yet due">
      <formula>NOT(ISERROR(SEARCH("Not yet due",I51)))</formula>
    </cfRule>
    <cfRule type="containsText" dxfId="1785" priority="2037" operator="containsText" text="Completed Behind Schedule">
      <formula>NOT(ISERROR(SEARCH("Completed Behind Schedule",I51)))</formula>
    </cfRule>
    <cfRule type="containsText" dxfId="1784" priority="2038" operator="containsText" text="Off Target">
      <formula>NOT(ISERROR(SEARCH("Off Target",I51)))</formula>
    </cfRule>
    <cfRule type="containsText" dxfId="1783" priority="2039" operator="containsText" text="In Danger of Falling Behind Target">
      <formula>NOT(ISERROR(SEARCH("In Danger of Falling Behind Target",I51)))</formula>
    </cfRule>
    <cfRule type="containsText" dxfId="1782" priority="2040" operator="containsText" text="On Track to be Achieved">
      <formula>NOT(ISERROR(SEARCH("On Track to be Achieved",I51)))</formula>
    </cfRule>
    <cfRule type="containsText" dxfId="1781" priority="2041" operator="containsText" text="Fully Achieved">
      <formula>NOT(ISERROR(SEARCH("Fully Achieved",I51)))</formula>
    </cfRule>
    <cfRule type="containsText" dxfId="1780" priority="2042" operator="containsText" text="Update not Provided">
      <formula>NOT(ISERROR(SEARCH("Update not Provided",I51)))</formula>
    </cfRule>
    <cfRule type="containsText" dxfId="1779" priority="2043" operator="containsText" text="Not yet due">
      <formula>NOT(ISERROR(SEARCH("Not yet due",I51)))</formula>
    </cfRule>
    <cfRule type="containsText" dxfId="1778" priority="2044" operator="containsText" text="Completed Behind Schedule">
      <formula>NOT(ISERROR(SEARCH("Completed Behind Schedule",I51)))</formula>
    </cfRule>
    <cfRule type="containsText" dxfId="1777" priority="2045" operator="containsText" text="Off Target">
      <formula>NOT(ISERROR(SEARCH("Off Target",I51)))</formula>
    </cfRule>
    <cfRule type="containsText" dxfId="1776" priority="2046" operator="containsText" text="In Danger of Falling Behind Target">
      <formula>NOT(ISERROR(SEARCH("In Danger of Falling Behind Target",I51)))</formula>
    </cfRule>
    <cfRule type="containsText" dxfId="1775" priority="2047" operator="containsText" text="On Track to be Achieved">
      <formula>NOT(ISERROR(SEARCH("On Track to be Achieved",I51)))</formula>
    </cfRule>
    <cfRule type="containsText" dxfId="1774" priority="2048" operator="containsText" text="Fully Achieved">
      <formula>NOT(ISERROR(SEARCH("Fully Achieved",I51)))</formula>
    </cfRule>
    <cfRule type="containsText" dxfId="1773" priority="2049" operator="containsText" text="Fully Achieved">
      <formula>NOT(ISERROR(SEARCH("Fully Achieved",I51)))</formula>
    </cfRule>
    <cfRule type="containsText" dxfId="1772" priority="2050" operator="containsText" text="Fully Achieved">
      <formula>NOT(ISERROR(SEARCH("Fully Achieved",I51)))</formula>
    </cfRule>
    <cfRule type="containsText" dxfId="1771" priority="2051" operator="containsText" text="Deferred">
      <formula>NOT(ISERROR(SEARCH("Deferred",I51)))</formula>
    </cfRule>
    <cfRule type="containsText" dxfId="1770" priority="2052" operator="containsText" text="Deleted">
      <formula>NOT(ISERROR(SEARCH("Deleted",I51)))</formula>
    </cfRule>
    <cfRule type="containsText" dxfId="1769" priority="2053" operator="containsText" text="In Danger of Falling Behind Target">
      <formula>NOT(ISERROR(SEARCH("In Danger of Falling Behind Target",I51)))</formula>
    </cfRule>
    <cfRule type="containsText" dxfId="1768" priority="2054" operator="containsText" text="Not yet due">
      <formula>NOT(ISERROR(SEARCH("Not yet due",I51)))</formula>
    </cfRule>
    <cfRule type="containsText" dxfId="1767" priority="2055" operator="containsText" text="Update not Provided">
      <formula>NOT(ISERROR(SEARCH("Update not Provided",I51)))</formula>
    </cfRule>
  </conditionalFormatting>
  <conditionalFormatting sqref="I62:I68">
    <cfRule type="containsText" dxfId="1766" priority="1984" operator="containsText" text="On track to be achieved">
      <formula>NOT(ISERROR(SEARCH("On track to be achieved",I62)))</formula>
    </cfRule>
    <cfRule type="containsText" dxfId="1765" priority="1985" operator="containsText" text="Deferred">
      <formula>NOT(ISERROR(SEARCH("Deferred",I62)))</formula>
    </cfRule>
    <cfRule type="containsText" dxfId="1764" priority="1986" operator="containsText" text="Deleted">
      <formula>NOT(ISERROR(SEARCH("Deleted",I62)))</formula>
    </cfRule>
    <cfRule type="containsText" dxfId="1763" priority="1987" operator="containsText" text="In Danger of Falling Behind Target">
      <formula>NOT(ISERROR(SEARCH("In Danger of Falling Behind Target",I62)))</formula>
    </cfRule>
    <cfRule type="containsText" dxfId="1762" priority="1988" operator="containsText" text="Not yet due">
      <formula>NOT(ISERROR(SEARCH("Not yet due",I62)))</formula>
    </cfRule>
    <cfRule type="containsText" dxfId="1761" priority="1989" operator="containsText" text="Update not Provided">
      <formula>NOT(ISERROR(SEARCH("Update not Provided",I62)))</formula>
    </cfRule>
    <cfRule type="containsText" dxfId="1760" priority="1990" operator="containsText" text="Not yet due">
      <formula>NOT(ISERROR(SEARCH("Not yet due",I62)))</formula>
    </cfRule>
    <cfRule type="containsText" dxfId="1759" priority="1991" operator="containsText" text="Completed Behind Schedule">
      <formula>NOT(ISERROR(SEARCH("Completed Behind Schedule",I62)))</formula>
    </cfRule>
    <cfRule type="containsText" dxfId="1758" priority="1992" operator="containsText" text="Off Target">
      <formula>NOT(ISERROR(SEARCH("Off Target",I62)))</formula>
    </cfRule>
    <cfRule type="containsText" dxfId="1757" priority="1993" operator="containsText" text="On Track to be Achieved">
      <formula>NOT(ISERROR(SEARCH("On Track to be Achieved",I62)))</formula>
    </cfRule>
    <cfRule type="containsText" dxfId="1756" priority="1994" operator="containsText" text="Fully Achieved">
      <formula>NOT(ISERROR(SEARCH("Fully Achieved",I62)))</formula>
    </cfRule>
    <cfRule type="containsText" dxfId="1755" priority="1995" operator="containsText" text="Not yet due">
      <formula>NOT(ISERROR(SEARCH("Not yet due",I62)))</formula>
    </cfRule>
    <cfRule type="containsText" dxfId="1754" priority="1996" operator="containsText" text="Not Yet Due">
      <formula>NOT(ISERROR(SEARCH("Not Yet Due",I62)))</formula>
    </cfRule>
    <cfRule type="containsText" dxfId="1753" priority="1997" operator="containsText" text="Deferred">
      <formula>NOT(ISERROR(SEARCH("Deferred",I62)))</formula>
    </cfRule>
    <cfRule type="containsText" dxfId="1752" priority="1998" operator="containsText" text="Deleted">
      <formula>NOT(ISERROR(SEARCH("Deleted",I62)))</formula>
    </cfRule>
    <cfRule type="containsText" dxfId="1751" priority="1999" operator="containsText" text="In Danger of Falling Behind Target">
      <formula>NOT(ISERROR(SEARCH("In Danger of Falling Behind Target",I62)))</formula>
    </cfRule>
    <cfRule type="containsText" dxfId="1750" priority="2000" operator="containsText" text="Not yet due">
      <formula>NOT(ISERROR(SEARCH("Not yet due",I62)))</formula>
    </cfRule>
    <cfRule type="containsText" dxfId="1749" priority="2001" operator="containsText" text="Completed Behind Schedule">
      <formula>NOT(ISERROR(SEARCH("Completed Behind Schedule",I62)))</formula>
    </cfRule>
    <cfRule type="containsText" dxfId="1748" priority="2002" operator="containsText" text="Off Target">
      <formula>NOT(ISERROR(SEARCH("Off Target",I62)))</formula>
    </cfRule>
    <cfRule type="containsText" dxfId="1747" priority="2003" operator="containsText" text="In Danger of Falling Behind Target">
      <formula>NOT(ISERROR(SEARCH("In Danger of Falling Behind Target",I62)))</formula>
    </cfRule>
    <cfRule type="containsText" dxfId="1746" priority="2004" operator="containsText" text="On Track to be Achieved">
      <formula>NOT(ISERROR(SEARCH("On Track to be Achieved",I62)))</formula>
    </cfRule>
    <cfRule type="containsText" dxfId="1745" priority="2005" operator="containsText" text="Fully Achieved">
      <formula>NOT(ISERROR(SEARCH("Fully Achieved",I62)))</formula>
    </cfRule>
    <cfRule type="containsText" dxfId="1744" priority="2006" operator="containsText" text="Update not Provided">
      <formula>NOT(ISERROR(SEARCH("Update not Provided",I62)))</formula>
    </cfRule>
    <cfRule type="containsText" dxfId="1743" priority="2007" operator="containsText" text="Not yet due">
      <formula>NOT(ISERROR(SEARCH("Not yet due",I62)))</formula>
    </cfRule>
    <cfRule type="containsText" dxfId="1742" priority="2008" operator="containsText" text="Completed Behind Schedule">
      <formula>NOT(ISERROR(SEARCH("Completed Behind Schedule",I62)))</formula>
    </cfRule>
    <cfRule type="containsText" dxfId="1741" priority="2009" operator="containsText" text="Off Target">
      <formula>NOT(ISERROR(SEARCH("Off Target",I62)))</formula>
    </cfRule>
    <cfRule type="containsText" dxfId="1740" priority="2010" operator="containsText" text="In Danger of Falling Behind Target">
      <formula>NOT(ISERROR(SEARCH("In Danger of Falling Behind Target",I62)))</formula>
    </cfRule>
    <cfRule type="containsText" dxfId="1739" priority="2011" operator="containsText" text="On Track to be Achieved">
      <formula>NOT(ISERROR(SEARCH("On Track to be Achieved",I62)))</formula>
    </cfRule>
    <cfRule type="containsText" dxfId="1738" priority="2012" operator="containsText" text="Fully Achieved">
      <formula>NOT(ISERROR(SEARCH("Fully Achieved",I62)))</formula>
    </cfRule>
    <cfRule type="containsText" dxfId="1737" priority="2013" operator="containsText" text="Fully Achieved">
      <formula>NOT(ISERROR(SEARCH("Fully Achieved",I62)))</formula>
    </cfRule>
    <cfRule type="containsText" dxfId="1736" priority="2014" operator="containsText" text="Fully Achieved">
      <formula>NOT(ISERROR(SEARCH("Fully Achieved",I62)))</formula>
    </cfRule>
    <cfRule type="containsText" dxfId="1735" priority="2015" operator="containsText" text="Deferred">
      <formula>NOT(ISERROR(SEARCH("Deferred",I62)))</formula>
    </cfRule>
    <cfRule type="containsText" dxfId="1734" priority="2016" operator="containsText" text="Deleted">
      <formula>NOT(ISERROR(SEARCH("Deleted",I62)))</formula>
    </cfRule>
    <cfRule type="containsText" dxfId="1733" priority="2017" operator="containsText" text="In Danger of Falling Behind Target">
      <formula>NOT(ISERROR(SEARCH("In Danger of Falling Behind Target",I62)))</formula>
    </cfRule>
    <cfRule type="containsText" dxfId="1732" priority="2018" operator="containsText" text="Not yet due">
      <formula>NOT(ISERROR(SEARCH("Not yet due",I62)))</formula>
    </cfRule>
    <cfRule type="containsText" dxfId="1731" priority="2019" operator="containsText" text="Update not Provided">
      <formula>NOT(ISERROR(SEARCH("Update not Provided",I62)))</formula>
    </cfRule>
  </conditionalFormatting>
  <conditionalFormatting sqref="I69">
    <cfRule type="containsText" dxfId="1730" priority="1948" operator="containsText" text="On track to be achieved">
      <formula>NOT(ISERROR(SEARCH("On track to be achieved",I69)))</formula>
    </cfRule>
    <cfRule type="containsText" dxfId="1729" priority="1949" operator="containsText" text="Deferred">
      <formula>NOT(ISERROR(SEARCH("Deferred",I69)))</formula>
    </cfRule>
    <cfRule type="containsText" dxfId="1728" priority="1950" operator="containsText" text="Deleted">
      <formula>NOT(ISERROR(SEARCH("Deleted",I69)))</formula>
    </cfRule>
    <cfRule type="containsText" dxfId="1727" priority="1951" operator="containsText" text="In Danger of Falling Behind Target">
      <formula>NOT(ISERROR(SEARCH("In Danger of Falling Behind Target",I69)))</formula>
    </cfRule>
    <cfRule type="containsText" dxfId="1726" priority="1952" operator="containsText" text="Not yet due">
      <formula>NOT(ISERROR(SEARCH("Not yet due",I69)))</formula>
    </cfRule>
    <cfRule type="containsText" dxfId="1725" priority="1953" operator="containsText" text="Update not Provided">
      <formula>NOT(ISERROR(SEARCH("Update not Provided",I69)))</formula>
    </cfRule>
    <cfRule type="containsText" dxfId="1724" priority="1954" operator="containsText" text="Not yet due">
      <formula>NOT(ISERROR(SEARCH("Not yet due",I69)))</formula>
    </cfRule>
    <cfRule type="containsText" dxfId="1723" priority="1955" operator="containsText" text="Completed Behind Schedule">
      <formula>NOT(ISERROR(SEARCH("Completed Behind Schedule",I69)))</formula>
    </cfRule>
    <cfRule type="containsText" dxfId="1722" priority="1956" operator="containsText" text="Off Target">
      <formula>NOT(ISERROR(SEARCH("Off Target",I69)))</formula>
    </cfRule>
    <cfRule type="containsText" dxfId="1721" priority="1957" operator="containsText" text="On Track to be Achieved">
      <formula>NOT(ISERROR(SEARCH("On Track to be Achieved",I69)))</formula>
    </cfRule>
    <cfRule type="containsText" dxfId="1720" priority="1958" operator="containsText" text="Fully Achieved">
      <formula>NOT(ISERROR(SEARCH("Fully Achieved",I69)))</formula>
    </cfRule>
    <cfRule type="containsText" dxfId="1719" priority="1959" operator="containsText" text="Not yet due">
      <formula>NOT(ISERROR(SEARCH("Not yet due",I69)))</formula>
    </cfRule>
    <cfRule type="containsText" dxfId="1718" priority="1960" operator="containsText" text="Not Yet Due">
      <formula>NOT(ISERROR(SEARCH("Not Yet Due",I69)))</formula>
    </cfRule>
    <cfRule type="containsText" dxfId="1717" priority="1961" operator="containsText" text="Deferred">
      <formula>NOT(ISERROR(SEARCH("Deferred",I69)))</formula>
    </cfRule>
    <cfRule type="containsText" dxfId="1716" priority="1962" operator="containsText" text="Deleted">
      <formula>NOT(ISERROR(SEARCH("Deleted",I69)))</formula>
    </cfRule>
    <cfRule type="containsText" dxfId="1715" priority="1963" operator="containsText" text="In Danger of Falling Behind Target">
      <formula>NOT(ISERROR(SEARCH("In Danger of Falling Behind Target",I69)))</formula>
    </cfRule>
    <cfRule type="containsText" dxfId="1714" priority="1964" operator="containsText" text="Not yet due">
      <formula>NOT(ISERROR(SEARCH("Not yet due",I69)))</formula>
    </cfRule>
    <cfRule type="containsText" dxfId="1713" priority="1965" operator="containsText" text="Completed Behind Schedule">
      <formula>NOT(ISERROR(SEARCH("Completed Behind Schedule",I69)))</formula>
    </cfRule>
    <cfRule type="containsText" dxfId="1712" priority="1966" operator="containsText" text="Off Target">
      <formula>NOT(ISERROR(SEARCH("Off Target",I69)))</formula>
    </cfRule>
    <cfRule type="containsText" dxfId="1711" priority="1967" operator="containsText" text="In Danger of Falling Behind Target">
      <formula>NOT(ISERROR(SEARCH("In Danger of Falling Behind Target",I69)))</formula>
    </cfRule>
    <cfRule type="containsText" dxfId="1710" priority="1968" operator="containsText" text="On Track to be Achieved">
      <formula>NOT(ISERROR(SEARCH("On Track to be Achieved",I69)))</formula>
    </cfRule>
    <cfRule type="containsText" dxfId="1709" priority="1969" operator="containsText" text="Fully Achieved">
      <formula>NOT(ISERROR(SEARCH("Fully Achieved",I69)))</formula>
    </cfRule>
    <cfRule type="containsText" dxfId="1708" priority="1970" operator="containsText" text="Update not Provided">
      <formula>NOT(ISERROR(SEARCH("Update not Provided",I69)))</formula>
    </cfRule>
    <cfRule type="containsText" dxfId="1707" priority="1971" operator="containsText" text="Not yet due">
      <formula>NOT(ISERROR(SEARCH("Not yet due",I69)))</formula>
    </cfRule>
    <cfRule type="containsText" dxfId="1706" priority="1972" operator="containsText" text="Completed Behind Schedule">
      <formula>NOT(ISERROR(SEARCH("Completed Behind Schedule",I69)))</formula>
    </cfRule>
    <cfRule type="containsText" dxfId="1705" priority="1973" operator="containsText" text="Off Target">
      <formula>NOT(ISERROR(SEARCH("Off Target",I69)))</formula>
    </cfRule>
    <cfRule type="containsText" dxfId="1704" priority="1974" operator="containsText" text="In Danger of Falling Behind Target">
      <formula>NOT(ISERROR(SEARCH("In Danger of Falling Behind Target",I69)))</formula>
    </cfRule>
    <cfRule type="containsText" dxfId="1703" priority="1975" operator="containsText" text="On Track to be Achieved">
      <formula>NOT(ISERROR(SEARCH("On Track to be Achieved",I69)))</formula>
    </cfRule>
    <cfRule type="containsText" dxfId="1702" priority="1976" operator="containsText" text="Fully Achieved">
      <formula>NOT(ISERROR(SEARCH("Fully Achieved",I69)))</formula>
    </cfRule>
    <cfRule type="containsText" dxfId="1701" priority="1977" operator="containsText" text="Fully Achieved">
      <formula>NOT(ISERROR(SEARCH("Fully Achieved",I69)))</formula>
    </cfRule>
    <cfRule type="containsText" dxfId="1700" priority="1978" operator="containsText" text="Fully Achieved">
      <formula>NOT(ISERROR(SEARCH("Fully Achieved",I69)))</formula>
    </cfRule>
    <cfRule type="containsText" dxfId="1699" priority="1979" operator="containsText" text="Deferred">
      <formula>NOT(ISERROR(SEARCH("Deferred",I69)))</formula>
    </cfRule>
    <cfRule type="containsText" dxfId="1698" priority="1980" operator="containsText" text="Deleted">
      <formula>NOT(ISERROR(SEARCH("Deleted",I69)))</formula>
    </cfRule>
    <cfRule type="containsText" dxfId="1697" priority="1981" operator="containsText" text="In Danger of Falling Behind Target">
      <formula>NOT(ISERROR(SEARCH("In Danger of Falling Behind Target",I69)))</formula>
    </cfRule>
    <cfRule type="containsText" dxfId="1696" priority="1982" operator="containsText" text="Not yet due">
      <formula>NOT(ISERROR(SEARCH("Not yet due",I69)))</formula>
    </cfRule>
    <cfRule type="containsText" dxfId="1695" priority="1983" operator="containsText" text="Update not Provided">
      <formula>NOT(ISERROR(SEARCH("Update not Provided",I69)))</formula>
    </cfRule>
  </conditionalFormatting>
  <conditionalFormatting sqref="I69">
    <cfRule type="containsText" dxfId="1694" priority="1912" operator="containsText" text="On track to be achieved">
      <formula>NOT(ISERROR(SEARCH("On track to be achieved",I69)))</formula>
    </cfRule>
    <cfRule type="containsText" dxfId="1693" priority="1913" operator="containsText" text="Deferred">
      <formula>NOT(ISERROR(SEARCH("Deferred",I69)))</formula>
    </cfRule>
    <cfRule type="containsText" dxfId="1692" priority="1914" operator="containsText" text="Deleted">
      <formula>NOT(ISERROR(SEARCH("Deleted",I69)))</formula>
    </cfRule>
    <cfRule type="containsText" dxfId="1691" priority="1915" operator="containsText" text="In Danger of Falling Behind Target">
      <formula>NOT(ISERROR(SEARCH("In Danger of Falling Behind Target",I69)))</formula>
    </cfRule>
    <cfRule type="containsText" dxfId="1690" priority="1916" operator="containsText" text="Not yet due">
      <formula>NOT(ISERROR(SEARCH("Not yet due",I69)))</formula>
    </cfRule>
    <cfRule type="containsText" dxfId="1689" priority="1917" operator="containsText" text="Update not Provided">
      <formula>NOT(ISERROR(SEARCH("Update not Provided",I69)))</formula>
    </cfRule>
    <cfRule type="containsText" dxfId="1688" priority="1918" operator="containsText" text="Not yet due">
      <formula>NOT(ISERROR(SEARCH("Not yet due",I69)))</formula>
    </cfRule>
    <cfRule type="containsText" dxfId="1687" priority="1919" operator="containsText" text="Completed Behind Schedule">
      <formula>NOT(ISERROR(SEARCH("Completed Behind Schedule",I69)))</formula>
    </cfRule>
    <cfRule type="containsText" dxfId="1686" priority="1920" operator="containsText" text="Off Target">
      <formula>NOT(ISERROR(SEARCH("Off Target",I69)))</formula>
    </cfRule>
    <cfRule type="containsText" dxfId="1685" priority="1921" operator="containsText" text="On Track to be Achieved">
      <formula>NOT(ISERROR(SEARCH("On Track to be Achieved",I69)))</formula>
    </cfRule>
    <cfRule type="containsText" dxfId="1684" priority="1922" operator="containsText" text="Fully Achieved">
      <formula>NOT(ISERROR(SEARCH("Fully Achieved",I69)))</formula>
    </cfRule>
    <cfRule type="containsText" dxfId="1683" priority="1923" operator="containsText" text="Not yet due">
      <formula>NOT(ISERROR(SEARCH("Not yet due",I69)))</formula>
    </cfRule>
    <cfRule type="containsText" dxfId="1682" priority="1924" operator="containsText" text="Not Yet Due">
      <formula>NOT(ISERROR(SEARCH("Not Yet Due",I69)))</formula>
    </cfRule>
    <cfRule type="containsText" dxfId="1681" priority="1925" operator="containsText" text="Deferred">
      <formula>NOT(ISERROR(SEARCH("Deferred",I69)))</formula>
    </cfRule>
    <cfRule type="containsText" dxfId="1680" priority="1926" operator="containsText" text="Deleted">
      <formula>NOT(ISERROR(SEARCH("Deleted",I69)))</formula>
    </cfRule>
    <cfRule type="containsText" dxfId="1679" priority="1927" operator="containsText" text="In Danger of Falling Behind Target">
      <formula>NOT(ISERROR(SEARCH("In Danger of Falling Behind Target",I69)))</formula>
    </cfRule>
    <cfRule type="containsText" dxfId="1678" priority="1928" operator="containsText" text="Not yet due">
      <formula>NOT(ISERROR(SEARCH("Not yet due",I69)))</formula>
    </cfRule>
    <cfRule type="containsText" dxfId="1677" priority="1929" operator="containsText" text="Completed Behind Schedule">
      <formula>NOT(ISERROR(SEARCH("Completed Behind Schedule",I69)))</formula>
    </cfRule>
    <cfRule type="containsText" dxfId="1676" priority="1930" operator="containsText" text="Off Target">
      <formula>NOT(ISERROR(SEARCH("Off Target",I69)))</formula>
    </cfRule>
    <cfRule type="containsText" dxfId="1675" priority="1931" operator="containsText" text="In Danger of Falling Behind Target">
      <formula>NOT(ISERROR(SEARCH("In Danger of Falling Behind Target",I69)))</formula>
    </cfRule>
    <cfRule type="containsText" dxfId="1674" priority="1932" operator="containsText" text="On Track to be Achieved">
      <formula>NOT(ISERROR(SEARCH("On Track to be Achieved",I69)))</formula>
    </cfRule>
    <cfRule type="containsText" dxfId="1673" priority="1933" operator="containsText" text="Fully Achieved">
      <formula>NOT(ISERROR(SEARCH("Fully Achieved",I69)))</formula>
    </cfRule>
    <cfRule type="containsText" dxfId="1672" priority="1934" operator="containsText" text="Update not Provided">
      <formula>NOT(ISERROR(SEARCH("Update not Provided",I69)))</formula>
    </cfRule>
    <cfRule type="containsText" dxfId="1671" priority="1935" operator="containsText" text="Not yet due">
      <formula>NOT(ISERROR(SEARCH("Not yet due",I69)))</formula>
    </cfRule>
    <cfRule type="containsText" dxfId="1670" priority="1936" operator="containsText" text="Completed Behind Schedule">
      <formula>NOT(ISERROR(SEARCH("Completed Behind Schedule",I69)))</formula>
    </cfRule>
    <cfRule type="containsText" dxfId="1669" priority="1937" operator="containsText" text="Off Target">
      <formula>NOT(ISERROR(SEARCH("Off Target",I69)))</formula>
    </cfRule>
    <cfRule type="containsText" dxfId="1668" priority="1938" operator="containsText" text="In Danger of Falling Behind Target">
      <formula>NOT(ISERROR(SEARCH("In Danger of Falling Behind Target",I69)))</formula>
    </cfRule>
    <cfRule type="containsText" dxfId="1667" priority="1939" operator="containsText" text="On Track to be Achieved">
      <formula>NOT(ISERROR(SEARCH("On Track to be Achieved",I69)))</formula>
    </cfRule>
    <cfRule type="containsText" dxfId="1666" priority="1940" operator="containsText" text="Fully Achieved">
      <formula>NOT(ISERROR(SEARCH("Fully Achieved",I69)))</formula>
    </cfRule>
    <cfRule type="containsText" dxfId="1665" priority="1941" operator="containsText" text="Fully Achieved">
      <formula>NOT(ISERROR(SEARCH("Fully Achieved",I69)))</formula>
    </cfRule>
    <cfRule type="containsText" dxfId="1664" priority="1942" operator="containsText" text="Fully Achieved">
      <formula>NOT(ISERROR(SEARCH("Fully Achieved",I69)))</formula>
    </cfRule>
    <cfRule type="containsText" dxfId="1663" priority="1943" operator="containsText" text="Deferred">
      <formula>NOT(ISERROR(SEARCH("Deferred",I69)))</formula>
    </cfRule>
    <cfRule type="containsText" dxfId="1662" priority="1944" operator="containsText" text="Deleted">
      <formula>NOT(ISERROR(SEARCH("Deleted",I69)))</formula>
    </cfRule>
    <cfRule type="containsText" dxfId="1661" priority="1945" operator="containsText" text="In Danger of Falling Behind Target">
      <formula>NOT(ISERROR(SEARCH("In Danger of Falling Behind Target",I69)))</formula>
    </cfRule>
    <cfRule type="containsText" dxfId="1660" priority="1946" operator="containsText" text="Not yet due">
      <formula>NOT(ISERROR(SEARCH("Not yet due",I69)))</formula>
    </cfRule>
    <cfRule type="containsText" dxfId="1659" priority="1947" operator="containsText" text="Update not Provided">
      <formula>NOT(ISERROR(SEARCH("Update not Provided",I69)))</formula>
    </cfRule>
  </conditionalFormatting>
  <conditionalFormatting sqref="I69">
    <cfRule type="containsText" dxfId="1658" priority="1876" operator="containsText" text="On track to be achieved">
      <formula>NOT(ISERROR(SEARCH("On track to be achieved",I69)))</formula>
    </cfRule>
    <cfRule type="containsText" dxfId="1657" priority="1877" operator="containsText" text="Deferred">
      <formula>NOT(ISERROR(SEARCH("Deferred",I69)))</formula>
    </cfRule>
    <cfRule type="containsText" dxfId="1656" priority="1878" operator="containsText" text="Deleted">
      <formula>NOT(ISERROR(SEARCH("Deleted",I69)))</formula>
    </cfRule>
    <cfRule type="containsText" dxfId="1655" priority="1879" operator="containsText" text="In Danger of Falling Behind Target">
      <formula>NOT(ISERROR(SEARCH("In Danger of Falling Behind Target",I69)))</formula>
    </cfRule>
    <cfRule type="containsText" dxfId="1654" priority="1880" operator="containsText" text="Not yet due">
      <formula>NOT(ISERROR(SEARCH("Not yet due",I69)))</formula>
    </cfRule>
    <cfRule type="containsText" dxfId="1653" priority="1881" operator="containsText" text="Update not Provided">
      <formula>NOT(ISERROR(SEARCH("Update not Provided",I69)))</formula>
    </cfRule>
    <cfRule type="containsText" dxfId="1652" priority="1882" operator="containsText" text="Not yet due">
      <formula>NOT(ISERROR(SEARCH("Not yet due",I69)))</formula>
    </cfRule>
    <cfRule type="containsText" dxfId="1651" priority="1883" operator="containsText" text="Completed Behind Schedule">
      <formula>NOT(ISERROR(SEARCH("Completed Behind Schedule",I69)))</formula>
    </cfRule>
    <cfRule type="containsText" dxfId="1650" priority="1884" operator="containsText" text="Off Target">
      <formula>NOT(ISERROR(SEARCH("Off Target",I69)))</formula>
    </cfRule>
    <cfRule type="containsText" dxfId="1649" priority="1885" operator="containsText" text="On Track to be Achieved">
      <formula>NOT(ISERROR(SEARCH("On Track to be Achieved",I69)))</formula>
    </cfRule>
    <cfRule type="containsText" dxfId="1648" priority="1886" operator="containsText" text="Fully Achieved">
      <formula>NOT(ISERROR(SEARCH("Fully Achieved",I69)))</formula>
    </cfRule>
    <cfRule type="containsText" dxfId="1647" priority="1887" operator="containsText" text="Not yet due">
      <formula>NOT(ISERROR(SEARCH("Not yet due",I69)))</formula>
    </cfRule>
    <cfRule type="containsText" dxfId="1646" priority="1888" operator="containsText" text="Not Yet Due">
      <formula>NOT(ISERROR(SEARCH("Not Yet Due",I69)))</formula>
    </cfRule>
    <cfRule type="containsText" dxfId="1645" priority="1889" operator="containsText" text="Deferred">
      <formula>NOT(ISERROR(SEARCH("Deferred",I69)))</formula>
    </cfRule>
    <cfRule type="containsText" dxfId="1644" priority="1890" operator="containsText" text="Deleted">
      <formula>NOT(ISERROR(SEARCH("Deleted",I69)))</formula>
    </cfRule>
    <cfRule type="containsText" dxfId="1643" priority="1891" operator="containsText" text="In Danger of Falling Behind Target">
      <formula>NOT(ISERROR(SEARCH("In Danger of Falling Behind Target",I69)))</formula>
    </cfRule>
    <cfRule type="containsText" dxfId="1642" priority="1892" operator="containsText" text="Not yet due">
      <formula>NOT(ISERROR(SEARCH("Not yet due",I69)))</formula>
    </cfRule>
    <cfRule type="containsText" dxfId="1641" priority="1893" operator="containsText" text="Completed Behind Schedule">
      <formula>NOT(ISERROR(SEARCH("Completed Behind Schedule",I69)))</formula>
    </cfRule>
    <cfRule type="containsText" dxfId="1640" priority="1894" operator="containsText" text="Off Target">
      <formula>NOT(ISERROR(SEARCH("Off Target",I69)))</formula>
    </cfRule>
    <cfRule type="containsText" dxfId="1639" priority="1895" operator="containsText" text="In Danger of Falling Behind Target">
      <formula>NOT(ISERROR(SEARCH("In Danger of Falling Behind Target",I69)))</formula>
    </cfRule>
    <cfRule type="containsText" dxfId="1638" priority="1896" operator="containsText" text="On Track to be Achieved">
      <formula>NOT(ISERROR(SEARCH("On Track to be Achieved",I69)))</formula>
    </cfRule>
    <cfRule type="containsText" dxfId="1637" priority="1897" operator="containsText" text="Fully Achieved">
      <formula>NOT(ISERROR(SEARCH("Fully Achieved",I69)))</formula>
    </cfRule>
    <cfRule type="containsText" dxfId="1636" priority="1898" operator="containsText" text="Update not Provided">
      <formula>NOT(ISERROR(SEARCH("Update not Provided",I69)))</formula>
    </cfRule>
    <cfRule type="containsText" dxfId="1635" priority="1899" operator="containsText" text="Not yet due">
      <formula>NOT(ISERROR(SEARCH("Not yet due",I69)))</formula>
    </cfRule>
    <cfRule type="containsText" dxfId="1634" priority="1900" operator="containsText" text="Completed Behind Schedule">
      <formula>NOT(ISERROR(SEARCH("Completed Behind Schedule",I69)))</formula>
    </cfRule>
    <cfRule type="containsText" dxfId="1633" priority="1901" operator="containsText" text="Off Target">
      <formula>NOT(ISERROR(SEARCH("Off Target",I69)))</formula>
    </cfRule>
    <cfRule type="containsText" dxfId="1632" priority="1902" operator="containsText" text="In Danger of Falling Behind Target">
      <formula>NOT(ISERROR(SEARCH("In Danger of Falling Behind Target",I69)))</formula>
    </cfRule>
    <cfRule type="containsText" dxfId="1631" priority="1903" operator="containsText" text="On Track to be Achieved">
      <formula>NOT(ISERROR(SEARCH("On Track to be Achieved",I69)))</formula>
    </cfRule>
    <cfRule type="containsText" dxfId="1630" priority="1904" operator="containsText" text="Fully Achieved">
      <formula>NOT(ISERROR(SEARCH("Fully Achieved",I69)))</formula>
    </cfRule>
    <cfRule type="containsText" dxfId="1629" priority="1905" operator="containsText" text="Fully Achieved">
      <formula>NOT(ISERROR(SEARCH("Fully Achieved",I69)))</formula>
    </cfRule>
    <cfRule type="containsText" dxfId="1628" priority="1906" operator="containsText" text="Fully Achieved">
      <formula>NOT(ISERROR(SEARCH("Fully Achieved",I69)))</formula>
    </cfRule>
    <cfRule type="containsText" dxfId="1627" priority="1907" operator="containsText" text="Deferred">
      <formula>NOT(ISERROR(SEARCH("Deferred",I69)))</formula>
    </cfRule>
    <cfRule type="containsText" dxfId="1626" priority="1908" operator="containsText" text="Deleted">
      <formula>NOT(ISERROR(SEARCH("Deleted",I69)))</formula>
    </cfRule>
    <cfRule type="containsText" dxfId="1625" priority="1909" operator="containsText" text="In Danger of Falling Behind Target">
      <formula>NOT(ISERROR(SEARCH("In Danger of Falling Behind Target",I69)))</formula>
    </cfRule>
    <cfRule type="containsText" dxfId="1624" priority="1910" operator="containsText" text="Not yet due">
      <formula>NOT(ISERROR(SEARCH("Not yet due",I69)))</formula>
    </cfRule>
    <cfRule type="containsText" dxfId="1623" priority="1911" operator="containsText" text="Update not Provided">
      <formula>NOT(ISERROR(SEARCH("Update not Provided",I69)))</formula>
    </cfRule>
  </conditionalFormatting>
  <conditionalFormatting sqref="I69">
    <cfRule type="containsText" dxfId="1622" priority="1840" operator="containsText" text="On track to be achieved">
      <formula>NOT(ISERROR(SEARCH("On track to be achieved",I69)))</formula>
    </cfRule>
    <cfRule type="containsText" dxfId="1621" priority="1841" operator="containsText" text="Deferred">
      <formula>NOT(ISERROR(SEARCH("Deferred",I69)))</formula>
    </cfRule>
    <cfRule type="containsText" dxfId="1620" priority="1842" operator="containsText" text="Deleted">
      <formula>NOT(ISERROR(SEARCH("Deleted",I69)))</formula>
    </cfRule>
    <cfRule type="containsText" dxfId="1619" priority="1843" operator="containsText" text="In Danger of Falling Behind Target">
      <formula>NOT(ISERROR(SEARCH("In Danger of Falling Behind Target",I69)))</formula>
    </cfRule>
    <cfRule type="containsText" dxfId="1618" priority="1844" operator="containsText" text="Not yet due">
      <formula>NOT(ISERROR(SEARCH("Not yet due",I69)))</formula>
    </cfRule>
    <cfRule type="containsText" dxfId="1617" priority="1845" operator="containsText" text="Update not Provided">
      <formula>NOT(ISERROR(SEARCH("Update not Provided",I69)))</formula>
    </cfRule>
    <cfRule type="containsText" dxfId="1616" priority="1846" operator="containsText" text="Not yet due">
      <formula>NOT(ISERROR(SEARCH("Not yet due",I69)))</formula>
    </cfRule>
    <cfRule type="containsText" dxfId="1615" priority="1847" operator="containsText" text="Completed Behind Schedule">
      <formula>NOT(ISERROR(SEARCH("Completed Behind Schedule",I69)))</formula>
    </cfRule>
    <cfRule type="containsText" dxfId="1614" priority="1848" operator="containsText" text="Off Target">
      <formula>NOT(ISERROR(SEARCH("Off Target",I69)))</formula>
    </cfRule>
    <cfRule type="containsText" dxfId="1613" priority="1849" operator="containsText" text="On Track to be Achieved">
      <formula>NOT(ISERROR(SEARCH("On Track to be Achieved",I69)))</formula>
    </cfRule>
    <cfRule type="containsText" dxfId="1612" priority="1850" operator="containsText" text="Fully Achieved">
      <formula>NOT(ISERROR(SEARCH("Fully Achieved",I69)))</formula>
    </cfRule>
    <cfRule type="containsText" dxfId="1611" priority="1851" operator="containsText" text="Not yet due">
      <formula>NOT(ISERROR(SEARCH("Not yet due",I69)))</formula>
    </cfRule>
    <cfRule type="containsText" dxfId="1610" priority="1852" operator="containsText" text="Not Yet Due">
      <formula>NOT(ISERROR(SEARCH("Not Yet Due",I69)))</formula>
    </cfRule>
    <cfRule type="containsText" dxfId="1609" priority="1853" operator="containsText" text="Deferred">
      <formula>NOT(ISERROR(SEARCH("Deferred",I69)))</formula>
    </cfRule>
    <cfRule type="containsText" dxfId="1608" priority="1854" operator="containsText" text="Deleted">
      <formula>NOT(ISERROR(SEARCH("Deleted",I69)))</formula>
    </cfRule>
    <cfRule type="containsText" dxfId="1607" priority="1855" operator="containsText" text="In Danger of Falling Behind Target">
      <formula>NOT(ISERROR(SEARCH("In Danger of Falling Behind Target",I69)))</formula>
    </cfRule>
    <cfRule type="containsText" dxfId="1606" priority="1856" operator="containsText" text="Not yet due">
      <formula>NOT(ISERROR(SEARCH("Not yet due",I69)))</formula>
    </cfRule>
    <cfRule type="containsText" dxfId="1605" priority="1857" operator="containsText" text="Completed Behind Schedule">
      <formula>NOT(ISERROR(SEARCH("Completed Behind Schedule",I69)))</formula>
    </cfRule>
    <cfRule type="containsText" dxfId="1604" priority="1858" operator="containsText" text="Off Target">
      <formula>NOT(ISERROR(SEARCH("Off Target",I69)))</formula>
    </cfRule>
    <cfRule type="containsText" dxfId="1603" priority="1859" operator="containsText" text="In Danger of Falling Behind Target">
      <formula>NOT(ISERROR(SEARCH("In Danger of Falling Behind Target",I69)))</formula>
    </cfRule>
    <cfRule type="containsText" dxfId="1602" priority="1860" operator="containsText" text="On Track to be Achieved">
      <formula>NOT(ISERROR(SEARCH("On Track to be Achieved",I69)))</formula>
    </cfRule>
    <cfRule type="containsText" dxfId="1601" priority="1861" operator="containsText" text="Fully Achieved">
      <formula>NOT(ISERROR(SEARCH("Fully Achieved",I69)))</formula>
    </cfRule>
    <cfRule type="containsText" dxfId="1600" priority="1862" operator="containsText" text="Update not Provided">
      <formula>NOT(ISERROR(SEARCH("Update not Provided",I69)))</formula>
    </cfRule>
    <cfRule type="containsText" dxfId="1599" priority="1863" operator="containsText" text="Not yet due">
      <formula>NOT(ISERROR(SEARCH("Not yet due",I69)))</formula>
    </cfRule>
    <cfRule type="containsText" dxfId="1598" priority="1864" operator="containsText" text="Completed Behind Schedule">
      <formula>NOT(ISERROR(SEARCH("Completed Behind Schedule",I69)))</formula>
    </cfRule>
    <cfRule type="containsText" dxfId="1597" priority="1865" operator="containsText" text="Off Target">
      <formula>NOT(ISERROR(SEARCH("Off Target",I69)))</formula>
    </cfRule>
    <cfRule type="containsText" dxfId="1596" priority="1866" operator="containsText" text="In Danger of Falling Behind Target">
      <formula>NOT(ISERROR(SEARCH("In Danger of Falling Behind Target",I69)))</formula>
    </cfRule>
    <cfRule type="containsText" dxfId="1595" priority="1867" operator="containsText" text="On Track to be Achieved">
      <formula>NOT(ISERROR(SEARCH("On Track to be Achieved",I69)))</formula>
    </cfRule>
    <cfRule type="containsText" dxfId="1594" priority="1868" operator="containsText" text="Fully Achieved">
      <formula>NOT(ISERROR(SEARCH("Fully Achieved",I69)))</formula>
    </cfRule>
    <cfRule type="containsText" dxfId="1593" priority="1869" operator="containsText" text="Fully Achieved">
      <formula>NOT(ISERROR(SEARCH("Fully Achieved",I69)))</formula>
    </cfRule>
    <cfRule type="containsText" dxfId="1592" priority="1870" operator="containsText" text="Fully Achieved">
      <formula>NOT(ISERROR(SEARCH("Fully Achieved",I69)))</formula>
    </cfRule>
    <cfRule type="containsText" dxfId="1591" priority="1871" operator="containsText" text="Deferred">
      <formula>NOT(ISERROR(SEARCH("Deferred",I69)))</formula>
    </cfRule>
    <cfRule type="containsText" dxfId="1590" priority="1872" operator="containsText" text="Deleted">
      <formula>NOT(ISERROR(SEARCH("Deleted",I69)))</formula>
    </cfRule>
    <cfRule type="containsText" dxfId="1589" priority="1873" operator="containsText" text="In Danger of Falling Behind Target">
      <formula>NOT(ISERROR(SEARCH("In Danger of Falling Behind Target",I69)))</formula>
    </cfRule>
    <cfRule type="containsText" dxfId="1588" priority="1874" operator="containsText" text="Not yet due">
      <formula>NOT(ISERROR(SEARCH("Not yet due",I69)))</formula>
    </cfRule>
    <cfRule type="containsText" dxfId="1587" priority="1875" operator="containsText" text="Update not Provided">
      <formula>NOT(ISERROR(SEARCH("Update not Provided",I69)))</formula>
    </cfRule>
  </conditionalFormatting>
  <conditionalFormatting sqref="I70">
    <cfRule type="containsText" dxfId="1586" priority="1804" operator="containsText" text="On track to be achieved">
      <formula>NOT(ISERROR(SEARCH("On track to be achieved",I70)))</formula>
    </cfRule>
    <cfRule type="containsText" dxfId="1585" priority="1805" operator="containsText" text="Deferred">
      <formula>NOT(ISERROR(SEARCH("Deferred",I70)))</formula>
    </cfRule>
    <cfRule type="containsText" dxfId="1584" priority="1806" operator="containsText" text="Deleted">
      <formula>NOT(ISERROR(SEARCH("Deleted",I70)))</formula>
    </cfRule>
    <cfRule type="containsText" dxfId="1583" priority="1807" operator="containsText" text="In Danger of Falling Behind Target">
      <formula>NOT(ISERROR(SEARCH("In Danger of Falling Behind Target",I70)))</formula>
    </cfRule>
    <cfRule type="containsText" dxfId="1582" priority="1808" operator="containsText" text="Not yet due">
      <formula>NOT(ISERROR(SEARCH("Not yet due",I70)))</formula>
    </cfRule>
    <cfRule type="containsText" dxfId="1581" priority="1809" operator="containsText" text="Update not Provided">
      <formula>NOT(ISERROR(SEARCH("Update not Provided",I70)))</formula>
    </cfRule>
    <cfRule type="containsText" dxfId="1580" priority="1810" operator="containsText" text="Not yet due">
      <formula>NOT(ISERROR(SEARCH("Not yet due",I70)))</formula>
    </cfRule>
    <cfRule type="containsText" dxfId="1579" priority="1811" operator="containsText" text="Completed Behind Schedule">
      <formula>NOT(ISERROR(SEARCH("Completed Behind Schedule",I70)))</formula>
    </cfRule>
    <cfRule type="containsText" dxfId="1578" priority="1812" operator="containsText" text="Off Target">
      <formula>NOT(ISERROR(SEARCH("Off Target",I70)))</formula>
    </cfRule>
    <cfRule type="containsText" dxfId="1577" priority="1813" operator="containsText" text="On Track to be Achieved">
      <formula>NOT(ISERROR(SEARCH("On Track to be Achieved",I70)))</formula>
    </cfRule>
    <cfRule type="containsText" dxfId="1576" priority="1814" operator="containsText" text="Fully Achieved">
      <formula>NOT(ISERROR(SEARCH("Fully Achieved",I70)))</formula>
    </cfRule>
    <cfRule type="containsText" dxfId="1575" priority="1815" operator="containsText" text="Not yet due">
      <formula>NOT(ISERROR(SEARCH("Not yet due",I70)))</formula>
    </cfRule>
    <cfRule type="containsText" dxfId="1574" priority="1816" operator="containsText" text="Not Yet Due">
      <formula>NOT(ISERROR(SEARCH("Not Yet Due",I70)))</formula>
    </cfRule>
    <cfRule type="containsText" dxfId="1573" priority="1817" operator="containsText" text="Deferred">
      <formula>NOT(ISERROR(SEARCH("Deferred",I70)))</formula>
    </cfRule>
    <cfRule type="containsText" dxfId="1572" priority="1818" operator="containsText" text="Deleted">
      <formula>NOT(ISERROR(SEARCH("Deleted",I70)))</formula>
    </cfRule>
    <cfRule type="containsText" dxfId="1571" priority="1819" operator="containsText" text="In Danger of Falling Behind Target">
      <formula>NOT(ISERROR(SEARCH("In Danger of Falling Behind Target",I70)))</formula>
    </cfRule>
    <cfRule type="containsText" dxfId="1570" priority="1820" operator="containsText" text="Not yet due">
      <formula>NOT(ISERROR(SEARCH("Not yet due",I70)))</formula>
    </cfRule>
    <cfRule type="containsText" dxfId="1569" priority="1821" operator="containsText" text="Completed Behind Schedule">
      <formula>NOT(ISERROR(SEARCH("Completed Behind Schedule",I70)))</formula>
    </cfRule>
    <cfRule type="containsText" dxfId="1568" priority="1822" operator="containsText" text="Off Target">
      <formula>NOT(ISERROR(SEARCH("Off Target",I70)))</formula>
    </cfRule>
    <cfRule type="containsText" dxfId="1567" priority="1823" operator="containsText" text="In Danger of Falling Behind Target">
      <formula>NOT(ISERROR(SEARCH("In Danger of Falling Behind Target",I70)))</formula>
    </cfRule>
    <cfRule type="containsText" dxfId="1566" priority="1824" operator="containsText" text="On Track to be Achieved">
      <formula>NOT(ISERROR(SEARCH("On Track to be Achieved",I70)))</formula>
    </cfRule>
    <cfRule type="containsText" dxfId="1565" priority="1825" operator="containsText" text="Fully Achieved">
      <formula>NOT(ISERROR(SEARCH("Fully Achieved",I70)))</formula>
    </cfRule>
    <cfRule type="containsText" dxfId="1564" priority="1826" operator="containsText" text="Update not Provided">
      <formula>NOT(ISERROR(SEARCH("Update not Provided",I70)))</formula>
    </cfRule>
    <cfRule type="containsText" dxfId="1563" priority="1827" operator="containsText" text="Not yet due">
      <formula>NOT(ISERROR(SEARCH("Not yet due",I70)))</formula>
    </cfRule>
    <cfRule type="containsText" dxfId="1562" priority="1828" operator="containsText" text="Completed Behind Schedule">
      <formula>NOT(ISERROR(SEARCH("Completed Behind Schedule",I70)))</formula>
    </cfRule>
    <cfRule type="containsText" dxfId="1561" priority="1829" operator="containsText" text="Off Target">
      <formula>NOT(ISERROR(SEARCH("Off Target",I70)))</formula>
    </cfRule>
    <cfRule type="containsText" dxfId="1560" priority="1830" operator="containsText" text="In Danger of Falling Behind Target">
      <formula>NOT(ISERROR(SEARCH("In Danger of Falling Behind Target",I70)))</formula>
    </cfRule>
    <cfRule type="containsText" dxfId="1559" priority="1831" operator="containsText" text="On Track to be Achieved">
      <formula>NOT(ISERROR(SEARCH("On Track to be Achieved",I70)))</formula>
    </cfRule>
    <cfRule type="containsText" dxfId="1558" priority="1832" operator="containsText" text="Fully Achieved">
      <formula>NOT(ISERROR(SEARCH("Fully Achieved",I70)))</formula>
    </cfRule>
    <cfRule type="containsText" dxfId="1557" priority="1833" operator="containsText" text="Fully Achieved">
      <formula>NOT(ISERROR(SEARCH("Fully Achieved",I70)))</formula>
    </cfRule>
    <cfRule type="containsText" dxfId="1556" priority="1834" operator="containsText" text="Fully Achieved">
      <formula>NOT(ISERROR(SEARCH("Fully Achieved",I70)))</formula>
    </cfRule>
    <cfRule type="containsText" dxfId="1555" priority="1835" operator="containsText" text="Deferred">
      <formula>NOT(ISERROR(SEARCH("Deferred",I70)))</formula>
    </cfRule>
    <cfRule type="containsText" dxfId="1554" priority="1836" operator="containsText" text="Deleted">
      <formula>NOT(ISERROR(SEARCH("Deleted",I70)))</formula>
    </cfRule>
    <cfRule type="containsText" dxfId="1553" priority="1837" operator="containsText" text="In Danger of Falling Behind Target">
      <formula>NOT(ISERROR(SEARCH("In Danger of Falling Behind Target",I70)))</formula>
    </cfRule>
    <cfRule type="containsText" dxfId="1552" priority="1838" operator="containsText" text="Not yet due">
      <formula>NOT(ISERROR(SEARCH("Not yet due",I70)))</formula>
    </cfRule>
    <cfRule type="containsText" dxfId="1551" priority="1839" operator="containsText" text="Update not Provided">
      <formula>NOT(ISERROR(SEARCH("Update not Provided",I70)))</formula>
    </cfRule>
  </conditionalFormatting>
  <conditionalFormatting sqref="I70">
    <cfRule type="containsText" dxfId="1550" priority="1768" operator="containsText" text="On track to be achieved">
      <formula>NOT(ISERROR(SEARCH("On track to be achieved",I70)))</formula>
    </cfRule>
    <cfRule type="containsText" dxfId="1549" priority="1769" operator="containsText" text="Deferred">
      <formula>NOT(ISERROR(SEARCH("Deferred",I70)))</formula>
    </cfRule>
    <cfRule type="containsText" dxfId="1548" priority="1770" operator="containsText" text="Deleted">
      <formula>NOT(ISERROR(SEARCH("Deleted",I70)))</formula>
    </cfRule>
    <cfRule type="containsText" dxfId="1547" priority="1771" operator="containsText" text="In Danger of Falling Behind Target">
      <formula>NOT(ISERROR(SEARCH("In Danger of Falling Behind Target",I70)))</formula>
    </cfRule>
    <cfRule type="containsText" dxfId="1546" priority="1772" operator="containsText" text="Not yet due">
      <formula>NOT(ISERROR(SEARCH("Not yet due",I70)))</formula>
    </cfRule>
    <cfRule type="containsText" dxfId="1545" priority="1773" operator="containsText" text="Update not Provided">
      <formula>NOT(ISERROR(SEARCH("Update not Provided",I70)))</formula>
    </cfRule>
    <cfRule type="containsText" dxfId="1544" priority="1774" operator="containsText" text="Not yet due">
      <formula>NOT(ISERROR(SEARCH("Not yet due",I70)))</formula>
    </cfRule>
    <cfRule type="containsText" dxfId="1543" priority="1775" operator="containsText" text="Completed Behind Schedule">
      <formula>NOT(ISERROR(SEARCH("Completed Behind Schedule",I70)))</formula>
    </cfRule>
    <cfRule type="containsText" dxfId="1542" priority="1776" operator="containsText" text="Off Target">
      <formula>NOT(ISERROR(SEARCH("Off Target",I70)))</formula>
    </cfRule>
    <cfRule type="containsText" dxfId="1541" priority="1777" operator="containsText" text="On Track to be Achieved">
      <formula>NOT(ISERROR(SEARCH("On Track to be Achieved",I70)))</formula>
    </cfRule>
    <cfRule type="containsText" dxfId="1540" priority="1778" operator="containsText" text="Fully Achieved">
      <formula>NOT(ISERROR(SEARCH("Fully Achieved",I70)))</formula>
    </cfRule>
    <cfRule type="containsText" dxfId="1539" priority="1779" operator="containsText" text="Not yet due">
      <formula>NOT(ISERROR(SEARCH("Not yet due",I70)))</formula>
    </cfRule>
    <cfRule type="containsText" dxfId="1538" priority="1780" operator="containsText" text="Not Yet Due">
      <formula>NOT(ISERROR(SEARCH("Not Yet Due",I70)))</formula>
    </cfRule>
    <cfRule type="containsText" dxfId="1537" priority="1781" operator="containsText" text="Deferred">
      <formula>NOT(ISERROR(SEARCH("Deferred",I70)))</formula>
    </cfRule>
    <cfRule type="containsText" dxfId="1536" priority="1782" operator="containsText" text="Deleted">
      <formula>NOT(ISERROR(SEARCH("Deleted",I70)))</formula>
    </cfRule>
    <cfRule type="containsText" dxfId="1535" priority="1783" operator="containsText" text="In Danger of Falling Behind Target">
      <formula>NOT(ISERROR(SEARCH("In Danger of Falling Behind Target",I70)))</formula>
    </cfRule>
    <cfRule type="containsText" dxfId="1534" priority="1784" operator="containsText" text="Not yet due">
      <formula>NOT(ISERROR(SEARCH("Not yet due",I70)))</formula>
    </cfRule>
    <cfRule type="containsText" dxfId="1533" priority="1785" operator="containsText" text="Completed Behind Schedule">
      <formula>NOT(ISERROR(SEARCH("Completed Behind Schedule",I70)))</formula>
    </cfRule>
    <cfRule type="containsText" dxfId="1532" priority="1786" operator="containsText" text="Off Target">
      <formula>NOT(ISERROR(SEARCH("Off Target",I70)))</formula>
    </cfRule>
    <cfRule type="containsText" dxfId="1531" priority="1787" operator="containsText" text="In Danger of Falling Behind Target">
      <formula>NOT(ISERROR(SEARCH("In Danger of Falling Behind Target",I70)))</formula>
    </cfRule>
    <cfRule type="containsText" dxfId="1530" priority="1788" operator="containsText" text="On Track to be Achieved">
      <formula>NOT(ISERROR(SEARCH("On Track to be Achieved",I70)))</formula>
    </cfRule>
    <cfRule type="containsText" dxfId="1529" priority="1789" operator="containsText" text="Fully Achieved">
      <formula>NOT(ISERROR(SEARCH("Fully Achieved",I70)))</formula>
    </cfRule>
    <cfRule type="containsText" dxfId="1528" priority="1790" operator="containsText" text="Update not Provided">
      <formula>NOT(ISERROR(SEARCH("Update not Provided",I70)))</formula>
    </cfRule>
    <cfRule type="containsText" dxfId="1527" priority="1791" operator="containsText" text="Not yet due">
      <formula>NOT(ISERROR(SEARCH("Not yet due",I70)))</formula>
    </cfRule>
    <cfRule type="containsText" dxfId="1526" priority="1792" operator="containsText" text="Completed Behind Schedule">
      <formula>NOT(ISERROR(SEARCH("Completed Behind Schedule",I70)))</formula>
    </cfRule>
    <cfRule type="containsText" dxfId="1525" priority="1793" operator="containsText" text="Off Target">
      <formula>NOT(ISERROR(SEARCH("Off Target",I70)))</formula>
    </cfRule>
    <cfRule type="containsText" dxfId="1524" priority="1794" operator="containsText" text="In Danger of Falling Behind Target">
      <formula>NOT(ISERROR(SEARCH("In Danger of Falling Behind Target",I70)))</formula>
    </cfRule>
    <cfRule type="containsText" dxfId="1523" priority="1795" operator="containsText" text="On Track to be Achieved">
      <formula>NOT(ISERROR(SEARCH("On Track to be Achieved",I70)))</formula>
    </cfRule>
    <cfRule type="containsText" dxfId="1522" priority="1796" operator="containsText" text="Fully Achieved">
      <formula>NOT(ISERROR(SEARCH("Fully Achieved",I70)))</formula>
    </cfRule>
    <cfRule type="containsText" dxfId="1521" priority="1797" operator="containsText" text="Fully Achieved">
      <formula>NOT(ISERROR(SEARCH("Fully Achieved",I70)))</formula>
    </cfRule>
    <cfRule type="containsText" dxfId="1520" priority="1798" operator="containsText" text="Fully Achieved">
      <formula>NOT(ISERROR(SEARCH("Fully Achieved",I70)))</formula>
    </cfRule>
    <cfRule type="containsText" dxfId="1519" priority="1799" operator="containsText" text="Deferred">
      <formula>NOT(ISERROR(SEARCH("Deferred",I70)))</formula>
    </cfRule>
    <cfRule type="containsText" dxfId="1518" priority="1800" operator="containsText" text="Deleted">
      <formula>NOT(ISERROR(SEARCH("Deleted",I70)))</formula>
    </cfRule>
    <cfRule type="containsText" dxfId="1517" priority="1801" operator="containsText" text="In Danger of Falling Behind Target">
      <formula>NOT(ISERROR(SEARCH("In Danger of Falling Behind Target",I70)))</formula>
    </cfRule>
    <cfRule type="containsText" dxfId="1516" priority="1802" operator="containsText" text="Not yet due">
      <formula>NOT(ISERROR(SEARCH("Not yet due",I70)))</formula>
    </cfRule>
    <cfRule type="containsText" dxfId="1515" priority="1803" operator="containsText" text="Update not Provided">
      <formula>NOT(ISERROR(SEARCH("Update not Provided",I70)))</formula>
    </cfRule>
  </conditionalFormatting>
  <conditionalFormatting sqref="I70">
    <cfRule type="containsText" dxfId="1514" priority="1732" operator="containsText" text="On track to be achieved">
      <formula>NOT(ISERROR(SEARCH("On track to be achieved",I70)))</formula>
    </cfRule>
    <cfRule type="containsText" dxfId="1513" priority="1733" operator="containsText" text="Deferred">
      <formula>NOT(ISERROR(SEARCH("Deferred",I70)))</formula>
    </cfRule>
    <cfRule type="containsText" dxfId="1512" priority="1734" operator="containsText" text="Deleted">
      <formula>NOT(ISERROR(SEARCH("Deleted",I70)))</formula>
    </cfRule>
    <cfRule type="containsText" dxfId="1511" priority="1735" operator="containsText" text="In Danger of Falling Behind Target">
      <formula>NOT(ISERROR(SEARCH("In Danger of Falling Behind Target",I70)))</formula>
    </cfRule>
    <cfRule type="containsText" dxfId="1510" priority="1736" operator="containsText" text="Not yet due">
      <formula>NOT(ISERROR(SEARCH("Not yet due",I70)))</formula>
    </cfRule>
    <cfRule type="containsText" dxfId="1509" priority="1737" operator="containsText" text="Update not Provided">
      <formula>NOT(ISERROR(SEARCH("Update not Provided",I70)))</formula>
    </cfRule>
    <cfRule type="containsText" dxfId="1508" priority="1738" operator="containsText" text="Not yet due">
      <formula>NOT(ISERROR(SEARCH("Not yet due",I70)))</formula>
    </cfRule>
    <cfRule type="containsText" dxfId="1507" priority="1739" operator="containsText" text="Completed Behind Schedule">
      <formula>NOT(ISERROR(SEARCH("Completed Behind Schedule",I70)))</formula>
    </cfRule>
    <cfRule type="containsText" dxfId="1506" priority="1740" operator="containsText" text="Off Target">
      <formula>NOT(ISERROR(SEARCH("Off Target",I70)))</formula>
    </cfRule>
    <cfRule type="containsText" dxfId="1505" priority="1741" operator="containsText" text="On Track to be Achieved">
      <formula>NOT(ISERROR(SEARCH("On Track to be Achieved",I70)))</formula>
    </cfRule>
    <cfRule type="containsText" dxfId="1504" priority="1742" operator="containsText" text="Fully Achieved">
      <formula>NOT(ISERROR(SEARCH("Fully Achieved",I70)))</formula>
    </cfRule>
    <cfRule type="containsText" dxfId="1503" priority="1743" operator="containsText" text="Not yet due">
      <formula>NOT(ISERROR(SEARCH("Not yet due",I70)))</formula>
    </cfRule>
    <cfRule type="containsText" dxfId="1502" priority="1744" operator="containsText" text="Not Yet Due">
      <formula>NOT(ISERROR(SEARCH("Not Yet Due",I70)))</formula>
    </cfRule>
    <cfRule type="containsText" dxfId="1501" priority="1745" operator="containsText" text="Deferred">
      <formula>NOT(ISERROR(SEARCH("Deferred",I70)))</formula>
    </cfRule>
    <cfRule type="containsText" dxfId="1500" priority="1746" operator="containsText" text="Deleted">
      <formula>NOT(ISERROR(SEARCH("Deleted",I70)))</formula>
    </cfRule>
    <cfRule type="containsText" dxfId="1499" priority="1747" operator="containsText" text="In Danger of Falling Behind Target">
      <formula>NOT(ISERROR(SEARCH("In Danger of Falling Behind Target",I70)))</formula>
    </cfRule>
    <cfRule type="containsText" dxfId="1498" priority="1748" operator="containsText" text="Not yet due">
      <formula>NOT(ISERROR(SEARCH("Not yet due",I70)))</formula>
    </cfRule>
    <cfRule type="containsText" dxfId="1497" priority="1749" operator="containsText" text="Completed Behind Schedule">
      <formula>NOT(ISERROR(SEARCH("Completed Behind Schedule",I70)))</formula>
    </cfRule>
    <cfRule type="containsText" dxfId="1496" priority="1750" operator="containsText" text="Off Target">
      <formula>NOT(ISERROR(SEARCH("Off Target",I70)))</formula>
    </cfRule>
    <cfRule type="containsText" dxfId="1495" priority="1751" operator="containsText" text="In Danger of Falling Behind Target">
      <formula>NOT(ISERROR(SEARCH("In Danger of Falling Behind Target",I70)))</formula>
    </cfRule>
    <cfRule type="containsText" dxfId="1494" priority="1752" operator="containsText" text="On Track to be Achieved">
      <formula>NOT(ISERROR(SEARCH("On Track to be Achieved",I70)))</formula>
    </cfRule>
    <cfRule type="containsText" dxfId="1493" priority="1753" operator="containsText" text="Fully Achieved">
      <formula>NOT(ISERROR(SEARCH("Fully Achieved",I70)))</formula>
    </cfRule>
    <cfRule type="containsText" dxfId="1492" priority="1754" operator="containsText" text="Update not Provided">
      <formula>NOT(ISERROR(SEARCH("Update not Provided",I70)))</formula>
    </cfRule>
    <cfRule type="containsText" dxfId="1491" priority="1755" operator="containsText" text="Not yet due">
      <formula>NOT(ISERROR(SEARCH("Not yet due",I70)))</formula>
    </cfRule>
    <cfRule type="containsText" dxfId="1490" priority="1756" operator="containsText" text="Completed Behind Schedule">
      <formula>NOT(ISERROR(SEARCH("Completed Behind Schedule",I70)))</formula>
    </cfRule>
    <cfRule type="containsText" dxfId="1489" priority="1757" operator="containsText" text="Off Target">
      <formula>NOT(ISERROR(SEARCH("Off Target",I70)))</formula>
    </cfRule>
    <cfRule type="containsText" dxfId="1488" priority="1758" operator="containsText" text="In Danger of Falling Behind Target">
      <formula>NOT(ISERROR(SEARCH("In Danger of Falling Behind Target",I70)))</formula>
    </cfRule>
    <cfRule type="containsText" dxfId="1487" priority="1759" operator="containsText" text="On Track to be Achieved">
      <formula>NOT(ISERROR(SEARCH("On Track to be Achieved",I70)))</formula>
    </cfRule>
    <cfRule type="containsText" dxfId="1486" priority="1760" operator="containsText" text="Fully Achieved">
      <formula>NOT(ISERROR(SEARCH("Fully Achieved",I70)))</formula>
    </cfRule>
    <cfRule type="containsText" dxfId="1485" priority="1761" operator="containsText" text="Fully Achieved">
      <formula>NOT(ISERROR(SEARCH("Fully Achieved",I70)))</formula>
    </cfRule>
    <cfRule type="containsText" dxfId="1484" priority="1762" operator="containsText" text="Fully Achieved">
      <formula>NOT(ISERROR(SEARCH("Fully Achieved",I70)))</formula>
    </cfRule>
    <cfRule type="containsText" dxfId="1483" priority="1763" operator="containsText" text="Deferred">
      <formula>NOT(ISERROR(SEARCH("Deferred",I70)))</formula>
    </cfRule>
    <cfRule type="containsText" dxfId="1482" priority="1764" operator="containsText" text="Deleted">
      <formula>NOT(ISERROR(SEARCH("Deleted",I70)))</formula>
    </cfRule>
    <cfRule type="containsText" dxfId="1481" priority="1765" operator="containsText" text="In Danger of Falling Behind Target">
      <formula>NOT(ISERROR(SEARCH("In Danger of Falling Behind Target",I70)))</formula>
    </cfRule>
    <cfRule type="containsText" dxfId="1480" priority="1766" operator="containsText" text="Not yet due">
      <formula>NOT(ISERROR(SEARCH("Not yet due",I70)))</formula>
    </cfRule>
    <cfRule type="containsText" dxfId="1479" priority="1767" operator="containsText" text="Update not Provided">
      <formula>NOT(ISERROR(SEARCH("Update not Provided",I70)))</formula>
    </cfRule>
  </conditionalFormatting>
  <conditionalFormatting sqref="I70">
    <cfRule type="containsText" dxfId="1478" priority="1696" operator="containsText" text="On track to be achieved">
      <formula>NOT(ISERROR(SEARCH("On track to be achieved",I70)))</formula>
    </cfRule>
    <cfRule type="containsText" dxfId="1477" priority="1697" operator="containsText" text="Deferred">
      <formula>NOT(ISERROR(SEARCH("Deferred",I70)))</formula>
    </cfRule>
    <cfRule type="containsText" dxfId="1476" priority="1698" operator="containsText" text="Deleted">
      <formula>NOT(ISERROR(SEARCH("Deleted",I70)))</formula>
    </cfRule>
    <cfRule type="containsText" dxfId="1475" priority="1699" operator="containsText" text="In Danger of Falling Behind Target">
      <formula>NOT(ISERROR(SEARCH("In Danger of Falling Behind Target",I70)))</formula>
    </cfRule>
    <cfRule type="containsText" dxfId="1474" priority="1700" operator="containsText" text="Not yet due">
      <formula>NOT(ISERROR(SEARCH("Not yet due",I70)))</formula>
    </cfRule>
    <cfRule type="containsText" dxfId="1473" priority="1701" operator="containsText" text="Update not Provided">
      <formula>NOT(ISERROR(SEARCH("Update not Provided",I70)))</formula>
    </cfRule>
    <cfRule type="containsText" dxfId="1472" priority="1702" operator="containsText" text="Not yet due">
      <formula>NOT(ISERROR(SEARCH("Not yet due",I70)))</formula>
    </cfRule>
    <cfRule type="containsText" dxfId="1471" priority="1703" operator="containsText" text="Completed Behind Schedule">
      <formula>NOT(ISERROR(SEARCH("Completed Behind Schedule",I70)))</formula>
    </cfRule>
    <cfRule type="containsText" dxfId="1470" priority="1704" operator="containsText" text="Off Target">
      <formula>NOT(ISERROR(SEARCH("Off Target",I70)))</formula>
    </cfRule>
    <cfRule type="containsText" dxfId="1469" priority="1705" operator="containsText" text="On Track to be Achieved">
      <formula>NOT(ISERROR(SEARCH("On Track to be Achieved",I70)))</formula>
    </cfRule>
    <cfRule type="containsText" dxfId="1468" priority="1706" operator="containsText" text="Fully Achieved">
      <formula>NOT(ISERROR(SEARCH("Fully Achieved",I70)))</formula>
    </cfRule>
    <cfRule type="containsText" dxfId="1467" priority="1707" operator="containsText" text="Not yet due">
      <formula>NOT(ISERROR(SEARCH("Not yet due",I70)))</formula>
    </cfRule>
    <cfRule type="containsText" dxfId="1466" priority="1708" operator="containsText" text="Not Yet Due">
      <formula>NOT(ISERROR(SEARCH("Not Yet Due",I70)))</formula>
    </cfRule>
    <cfRule type="containsText" dxfId="1465" priority="1709" operator="containsText" text="Deferred">
      <formula>NOT(ISERROR(SEARCH("Deferred",I70)))</formula>
    </cfRule>
    <cfRule type="containsText" dxfId="1464" priority="1710" operator="containsText" text="Deleted">
      <formula>NOT(ISERROR(SEARCH("Deleted",I70)))</formula>
    </cfRule>
    <cfRule type="containsText" dxfId="1463" priority="1711" operator="containsText" text="In Danger of Falling Behind Target">
      <formula>NOT(ISERROR(SEARCH("In Danger of Falling Behind Target",I70)))</formula>
    </cfRule>
    <cfRule type="containsText" dxfId="1462" priority="1712" operator="containsText" text="Not yet due">
      <formula>NOT(ISERROR(SEARCH("Not yet due",I70)))</formula>
    </cfRule>
    <cfRule type="containsText" dxfId="1461" priority="1713" operator="containsText" text="Completed Behind Schedule">
      <formula>NOT(ISERROR(SEARCH("Completed Behind Schedule",I70)))</formula>
    </cfRule>
    <cfRule type="containsText" dxfId="1460" priority="1714" operator="containsText" text="Off Target">
      <formula>NOT(ISERROR(SEARCH("Off Target",I70)))</formula>
    </cfRule>
    <cfRule type="containsText" dxfId="1459" priority="1715" operator="containsText" text="In Danger of Falling Behind Target">
      <formula>NOT(ISERROR(SEARCH("In Danger of Falling Behind Target",I70)))</formula>
    </cfRule>
    <cfRule type="containsText" dxfId="1458" priority="1716" operator="containsText" text="On Track to be Achieved">
      <formula>NOT(ISERROR(SEARCH("On Track to be Achieved",I70)))</formula>
    </cfRule>
    <cfRule type="containsText" dxfId="1457" priority="1717" operator="containsText" text="Fully Achieved">
      <formula>NOT(ISERROR(SEARCH("Fully Achieved",I70)))</formula>
    </cfRule>
    <cfRule type="containsText" dxfId="1456" priority="1718" operator="containsText" text="Update not Provided">
      <formula>NOT(ISERROR(SEARCH("Update not Provided",I70)))</formula>
    </cfRule>
    <cfRule type="containsText" dxfId="1455" priority="1719" operator="containsText" text="Not yet due">
      <formula>NOT(ISERROR(SEARCH("Not yet due",I70)))</formula>
    </cfRule>
    <cfRule type="containsText" dxfId="1454" priority="1720" operator="containsText" text="Completed Behind Schedule">
      <formula>NOT(ISERROR(SEARCH("Completed Behind Schedule",I70)))</formula>
    </cfRule>
    <cfRule type="containsText" dxfId="1453" priority="1721" operator="containsText" text="Off Target">
      <formula>NOT(ISERROR(SEARCH("Off Target",I70)))</formula>
    </cfRule>
    <cfRule type="containsText" dxfId="1452" priority="1722" operator="containsText" text="In Danger of Falling Behind Target">
      <formula>NOT(ISERROR(SEARCH("In Danger of Falling Behind Target",I70)))</formula>
    </cfRule>
    <cfRule type="containsText" dxfId="1451" priority="1723" operator="containsText" text="On Track to be Achieved">
      <formula>NOT(ISERROR(SEARCH("On Track to be Achieved",I70)))</formula>
    </cfRule>
    <cfRule type="containsText" dxfId="1450" priority="1724" operator="containsText" text="Fully Achieved">
      <formula>NOT(ISERROR(SEARCH("Fully Achieved",I70)))</formula>
    </cfRule>
    <cfRule type="containsText" dxfId="1449" priority="1725" operator="containsText" text="Fully Achieved">
      <formula>NOT(ISERROR(SEARCH("Fully Achieved",I70)))</formula>
    </cfRule>
    <cfRule type="containsText" dxfId="1448" priority="1726" operator="containsText" text="Fully Achieved">
      <formula>NOT(ISERROR(SEARCH("Fully Achieved",I70)))</formula>
    </cfRule>
    <cfRule type="containsText" dxfId="1447" priority="1727" operator="containsText" text="Deferred">
      <formula>NOT(ISERROR(SEARCH("Deferred",I70)))</formula>
    </cfRule>
    <cfRule type="containsText" dxfId="1446" priority="1728" operator="containsText" text="Deleted">
      <formula>NOT(ISERROR(SEARCH("Deleted",I70)))</formula>
    </cfRule>
    <cfRule type="containsText" dxfId="1445" priority="1729" operator="containsText" text="In Danger of Falling Behind Target">
      <formula>NOT(ISERROR(SEARCH("In Danger of Falling Behind Target",I70)))</formula>
    </cfRule>
    <cfRule type="containsText" dxfId="1444" priority="1730" operator="containsText" text="Not yet due">
      <formula>NOT(ISERROR(SEARCH("Not yet due",I70)))</formula>
    </cfRule>
    <cfRule type="containsText" dxfId="1443" priority="1731" operator="containsText" text="Update not Provided">
      <formula>NOT(ISERROR(SEARCH("Update not Provided",I70)))</formula>
    </cfRule>
  </conditionalFormatting>
  <conditionalFormatting sqref="I71">
    <cfRule type="containsText" dxfId="1442" priority="1660" operator="containsText" text="On track to be achieved">
      <formula>NOT(ISERROR(SEARCH("On track to be achieved",I71)))</formula>
    </cfRule>
    <cfRule type="containsText" dxfId="1441" priority="1661" operator="containsText" text="Deferred">
      <formula>NOT(ISERROR(SEARCH("Deferred",I71)))</formula>
    </cfRule>
    <cfRule type="containsText" dxfId="1440" priority="1662" operator="containsText" text="Deleted">
      <formula>NOT(ISERROR(SEARCH("Deleted",I71)))</formula>
    </cfRule>
    <cfRule type="containsText" dxfId="1439" priority="1663" operator="containsText" text="In Danger of Falling Behind Target">
      <formula>NOT(ISERROR(SEARCH("In Danger of Falling Behind Target",I71)))</formula>
    </cfRule>
    <cfRule type="containsText" dxfId="1438" priority="1664" operator="containsText" text="Not yet due">
      <formula>NOT(ISERROR(SEARCH("Not yet due",I71)))</formula>
    </cfRule>
    <cfRule type="containsText" dxfId="1437" priority="1665" operator="containsText" text="Update not Provided">
      <formula>NOT(ISERROR(SEARCH("Update not Provided",I71)))</formula>
    </cfRule>
    <cfRule type="containsText" dxfId="1436" priority="1666" operator="containsText" text="Not yet due">
      <formula>NOT(ISERROR(SEARCH("Not yet due",I71)))</formula>
    </cfRule>
    <cfRule type="containsText" dxfId="1435" priority="1667" operator="containsText" text="Completed Behind Schedule">
      <formula>NOT(ISERROR(SEARCH("Completed Behind Schedule",I71)))</formula>
    </cfRule>
    <cfRule type="containsText" dxfId="1434" priority="1668" operator="containsText" text="Off Target">
      <formula>NOT(ISERROR(SEARCH("Off Target",I71)))</formula>
    </cfRule>
    <cfRule type="containsText" dxfId="1433" priority="1669" operator="containsText" text="On Track to be Achieved">
      <formula>NOT(ISERROR(SEARCH("On Track to be Achieved",I71)))</formula>
    </cfRule>
    <cfRule type="containsText" dxfId="1432" priority="1670" operator="containsText" text="Fully Achieved">
      <formula>NOT(ISERROR(SEARCH("Fully Achieved",I71)))</formula>
    </cfRule>
    <cfRule type="containsText" dxfId="1431" priority="1671" operator="containsText" text="Not yet due">
      <formula>NOT(ISERROR(SEARCH("Not yet due",I71)))</formula>
    </cfRule>
    <cfRule type="containsText" dxfId="1430" priority="1672" operator="containsText" text="Not Yet Due">
      <formula>NOT(ISERROR(SEARCH("Not Yet Due",I71)))</formula>
    </cfRule>
    <cfRule type="containsText" dxfId="1429" priority="1673" operator="containsText" text="Deferred">
      <formula>NOT(ISERROR(SEARCH("Deferred",I71)))</formula>
    </cfRule>
    <cfRule type="containsText" dxfId="1428" priority="1674" operator="containsText" text="Deleted">
      <formula>NOT(ISERROR(SEARCH("Deleted",I71)))</formula>
    </cfRule>
    <cfRule type="containsText" dxfId="1427" priority="1675" operator="containsText" text="In Danger of Falling Behind Target">
      <formula>NOT(ISERROR(SEARCH("In Danger of Falling Behind Target",I71)))</formula>
    </cfRule>
    <cfRule type="containsText" dxfId="1426" priority="1676" operator="containsText" text="Not yet due">
      <formula>NOT(ISERROR(SEARCH("Not yet due",I71)))</formula>
    </cfRule>
    <cfRule type="containsText" dxfId="1425" priority="1677" operator="containsText" text="Completed Behind Schedule">
      <formula>NOT(ISERROR(SEARCH("Completed Behind Schedule",I71)))</formula>
    </cfRule>
    <cfRule type="containsText" dxfId="1424" priority="1678" operator="containsText" text="Off Target">
      <formula>NOT(ISERROR(SEARCH("Off Target",I71)))</formula>
    </cfRule>
    <cfRule type="containsText" dxfId="1423" priority="1679" operator="containsText" text="In Danger of Falling Behind Target">
      <formula>NOT(ISERROR(SEARCH("In Danger of Falling Behind Target",I71)))</formula>
    </cfRule>
    <cfRule type="containsText" dxfId="1422" priority="1680" operator="containsText" text="On Track to be Achieved">
      <formula>NOT(ISERROR(SEARCH("On Track to be Achieved",I71)))</formula>
    </cfRule>
    <cfRule type="containsText" dxfId="1421" priority="1681" operator="containsText" text="Fully Achieved">
      <formula>NOT(ISERROR(SEARCH("Fully Achieved",I71)))</formula>
    </cfRule>
    <cfRule type="containsText" dxfId="1420" priority="1682" operator="containsText" text="Update not Provided">
      <formula>NOT(ISERROR(SEARCH("Update not Provided",I71)))</formula>
    </cfRule>
    <cfRule type="containsText" dxfId="1419" priority="1683" operator="containsText" text="Not yet due">
      <formula>NOT(ISERROR(SEARCH("Not yet due",I71)))</formula>
    </cfRule>
    <cfRule type="containsText" dxfId="1418" priority="1684" operator="containsText" text="Completed Behind Schedule">
      <formula>NOT(ISERROR(SEARCH("Completed Behind Schedule",I71)))</formula>
    </cfRule>
    <cfRule type="containsText" dxfId="1417" priority="1685" operator="containsText" text="Off Target">
      <formula>NOT(ISERROR(SEARCH("Off Target",I71)))</formula>
    </cfRule>
    <cfRule type="containsText" dxfId="1416" priority="1686" operator="containsText" text="In Danger of Falling Behind Target">
      <formula>NOT(ISERROR(SEARCH("In Danger of Falling Behind Target",I71)))</formula>
    </cfRule>
    <cfRule type="containsText" dxfId="1415" priority="1687" operator="containsText" text="On Track to be Achieved">
      <formula>NOT(ISERROR(SEARCH("On Track to be Achieved",I71)))</formula>
    </cfRule>
    <cfRule type="containsText" dxfId="1414" priority="1688" operator="containsText" text="Fully Achieved">
      <formula>NOT(ISERROR(SEARCH("Fully Achieved",I71)))</formula>
    </cfRule>
    <cfRule type="containsText" dxfId="1413" priority="1689" operator="containsText" text="Fully Achieved">
      <formula>NOT(ISERROR(SEARCH("Fully Achieved",I71)))</formula>
    </cfRule>
    <cfRule type="containsText" dxfId="1412" priority="1690" operator="containsText" text="Fully Achieved">
      <formula>NOT(ISERROR(SEARCH("Fully Achieved",I71)))</formula>
    </cfRule>
    <cfRule type="containsText" dxfId="1411" priority="1691" operator="containsText" text="Deferred">
      <formula>NOT(ISERROR(SEARCH("Deferred",I71)))</formula>
    </cfRule>
    <cfRule type="containsText" dxfId="1410" priority="1692" operator="containsText" text="Deleted">
      <formula>NOT(ISERROR(SEARCH("Deleted",I71)))</formula>
    </cfRule>
    <cfRule type="containsText" dxfId="1409" priority="1693" operator="containsText" text="In Danger of Falling Behind Target">
      <formula>NOT(ISERROR(SEARCH("In Danger of Falling Behind Target",I71)))</formula>
    </cfRule>
    <cfRule type="containsText" dxfId="1408" priority="1694" operator="containsText" text="Not yet due">
      <formula>NOT(ISERROR(SEARCH("Not yet due",I71)))</formula>
    </cfRule>
    <cfRule type="containsText" dxfId="1407" priority="1695" operator="containsText" text="Update not Provided">
      <formula>NOT(ISERROR(SEARCH("Update not Provided",I71)))</formula>
    </cfRule>
  </conditionalFormatting>
  <conditionalFormatting sqref="I71">
    <cfRule type="containsText" dxfId="1406" priority="1624" operator="containsText" text="On track to be achieved">
      <formula>NOT(ISERROR(SEARCH("On track to be achieved",I71)))</formula>
    </cfRule>
    <cfRule type="containsText" dxfId="1405" priority="1625" operator="containsText" text="Deferred">
      <formula>NOT(ISERROR(SEARCH("Deferred",I71)))</formula>
    </cfRule>
    <cfRule type="containsText" dxfId="1404" priority="1626" operator="containsText" text="Deleted">
      <formula>NOT(ISERROR(SEARCH("Deleted",I71)))</formula>
    </cfRule>
    <cfRule type="containsText" dxfId="1403" priority="1627" operator="containsText" text="In Danger of Falling Behind Target">
      <formula>NOT(ISERROR(SEARCH("In Danger of Falling Behind Target",I71)))</formula>
    </cfRule>
    <cfRule type="containsText" dxfId="1402" priority="1628" operator="containsText" text="Not yet due">
      <formula>NOT(ISERROR(SEARCH("Not yet due",I71)))</formula>
    </cfRule>
    <cfRule type="containsText" dxfId="1401" priority="1629" operator="containsText" text="Update not Provided">
      <formula>NOT(ISERROR(SEARCH("Update not Provided",I71)))</formula>
    </cfRule>
    <cfRule type="containsText" dxfId="1400" priority="1630" operator="containsText" text="Not yet due">
      <formula>NOT(ISERROR(SEARCH("Not yet due",I71)))</formula>
    </cfRule>
    <cfRule type="containsText" dxfId="1399" priority="1631" operator="containsText" text="Completed Behind Schedule">
      <formula>NOT(ISERROR(SEARCH("Completed Behind Schedule",I71)))</formula>
    </cfRule>
    <cfRule type="containsText" dxfId="1398" priority="1632" operator="containsText" text="Off Target">
      <formula>NOT(ISERROR(SEARCH("Off Target",I71)))</formula>
    </cfRule>
    <cfRule type="containsText" dxfId="1397" priority="1633" operator="containsText" text="On Track to be Achieved">
      <formula>NOT(ISERROR(SEARCH("On Track to be Achieved",I71)))</formula>
    </cfRule>
    <cfRule type="containsText" dxfId="1396" priority="1634" operator="containsText" text="Fully Achieved">
      <formula>NOT(ISERROR(SEARCH("Fully Achieved",I71)))</formula>
    </cfRule>
    <cfRule type="containsText" dxfId="1395" priority="1635" operator="containsText" text="Not yet due">
      <formula>NOT(ISERROR(SEARCH("Not yet due",I71)))</formula>
    </cfRule>
    <cfRule type="containsText" dxfId="1394" priority="1636" operator="containsText" text="Not Yet Due">
      <formula>NOT(ISERROR(SEARCH("Not Yet Due",I71)))</formula>
    </cfRule>
    <cfRule type="containsText" dxfId="1393" priority="1637" operator="containsText" text="Deferred">
      <formula>NOT(ISERROR(SEARCH("Deferred",I71)))</formula>
    </cfRule>
    <cfRule type="containsText" dxfId="1392" priority="1638" operator="containsText" text="Deleted">
      <formula>NOT(ISERROR(SEARCH("Deleted",I71)))</formula>
    </cfRule>
    <cfRule type="containsText" dxfId="1391" priority="1639" operator="containsText" text="In Danger of Falling Behind Target">
      <formula>NOT(ISERROR(SEARCH("In Danger of Falling Behind Target",I71)))</formula>
    </cfRule>
    <cfRule type="containsText" dxfId="1390" priority="1640" operator="containsText" text="Not yet due">
      <formula>NOT(ISERROR(SEARCH("Not yet due",I71)))</formula>
    </cfRule>
    <cfRule type="containsText" dxfId="1389" priority="1641" operator="containsText" text="Completed Behind Schedule">
      <formula>NOT(ISERROR(SEARCH("Completed Behind Schedule",I71)))</formula>
    </cfRule>
    <cfRule type="containsText" dxfId="1388" priority="1642" operator="containsText" text="Off Target">
      <formula>NOT(ISERROR(SEARCH("Off Target",I71)))</formula>
    </cfRule>
    <cfRule type="containsText" dxfId="1387" priority="1643" operator="containsText" text="In Danger of Falling Behind Target">
      <formula>NOT(ISERROR(SEARCH("In Danger of Falling Behind Target",I71)))</formula>
    </cfRule>
    <cfRule type="containsText" dxfId="1386" priority="1644" operator="containsText" text="On Track to be Achieved">
      <formula>NOT(ISERROR(SEARCH("On Track to be Achieved",I71)))</formula>
    </cfRule>
    <cfRule type="containsText" dxfId="1385" priority="1645" operator="containsText" text="Fully Achieved">
      <formula>NOT(ISERROR(SEARCH("Fully Achieved",I71)))</formula>
    </cfRule>
    <cfRule type="containsText" dxfId="1384" priority="1646" operator="containsText" text="Update not Provided">
      <formula>NOT(ISERROR(SEARCH("Update not Provided",I71)))</formula>
    </cfRule>
    <cfRule type="containsText" dxfId="1383" priority="1647" operator="containsText" text="Not yet due">
      <formula>NOT(ISERROR(SEARCH("Not yet due",I71)))</formula>
    </cfRule>
    <cfRule type="containsText" dxfId="1382" priority="1648" operator="containsText" text="Completed Behind Schedule">
      <formula>NOT(ISERROR(SEARCH("Completed Behind Schedule",I71)))</formula>
    </cfRule>
    <cfRule type="containsText" dxfId="1381" priority="1649" operator="containsText" text="Off Target">
      <formula>NOT(ISERROR(SEARCH("Off Target",I71)))</formula>
    </cfRule>
    <cfRule type="containsText" dxfId="1380" priority="1650" operator="containsText" text="In Danger of Falling Behind Target">
      <formula>NOT(ISERROR(SEARCH("In Danger of Falling Behind Target",I71)))</formula>
    </cfRule>
    <cfRule type="containsText" dxfId="1379" priority="1651" operator="containsText" text="On Track to be Achieved">
      <formula>NOT(ISERROR(SEARCH("On Track to be Achieved",I71)))</formula>
    </cfRule>
    <cfRule type="containsText" dxfId="1378" priority="1652" operator="containsText" text="Fully Achieved">
      <formula>NOT(ISERROR(SEARCH("Fully Achieved",I71)))</formula>
    </cfRule>
    <cfRule type="containsText" dxfId="1377" priority="1653" operator="containsText" text="Fully Achieved">
      <formula>NOT(ISERROR(SEARCH("Fully Achieved",I71)))</formula>
    </cfRule>
    <cfRule type="containsText" dxfId="1376" priority="1654" operator="containsText" text="Fully Achieved">
      <formula>NOT(ISERROR(SEARCH("Fully Achieved",I71)))</formula>
    </cfRule>
    <cfRule type="containsText" dxfId="1375" priority="1655" operator="containsText" text="Deferred">
      <formula>NOT(ISERROR(SEARCH("Deferred",I71)))</formula>
    </cfRule>
    <cfRule type="containsText" dxfId="1374" priority="1656" operator="containsText" text="Deleted">
      <formula>NOT(ISERROR(SEARCH("Deleted",I71)))</formula>
    </cfRule>
    <cfRule type="containsText" dxfId="1373" priority="1657" operator="containsText" text="In Danger of Falling Behind Target">
      <formula>NOT(ISERROR(SEARCH("In Danger of Falling Behind Target",I71)))</formula>
    </cfRule>
    <cfRule type="containsText" dxfId="1372" priority="1658" operator="containsText" text="Not yet due">
      <formula>NOT(ISERROR(SEARCH("Not yet due",I71)))</formula>
    </cfRule>
    <cfRule type="containsText" dxfId="1371" priority="1659" operator="containsText" text="Update not Provided">
      <formula>NOT(ISERROR(SEARCH("Update not Provided",I71)))</formula>
    </cfRule>
  </conditionalFormatting>
  <conditionalFormatting sqref="I71">
    <cfRule type="containsText" dxfId="1370" priority="1588" operator="containsText" text="On track to be achieved">
      <formula>NOT(ISERROR(SEARCH("On track to be achieved",I71)))</formula>
    </cfRule>
    <cfRule type="containsText" dxfId="1369" priority="1589" operator="containsText" text="Deferred">
      <formula>NOT(ISERROR(SEARCH("Deferred",I71)))</formula>
    </cfRule>
    <cfRule type="containsText" dxfId="1368" priority="1590" operator="containsText" text="Deleted">
      <formula>NOT(ISERROR(SEARCH("Deleted",I71)))</formula>
    </cfRule>
    <cfRule type="containsText" dxfId="1367" priority="1591" operator="containsText" text="In Danger of Falling Behind Target">
      <formula>NOT(ISERROR(SEARCH("In Danger of Falling Behind Target",I71)))</formula>
    </cfRule>
    <cfRule type="containsText" dxfId="1366" priority="1592" operator="containsText" text="Not yet due">
      <formula>NOT(ISERROR(SEARCH("Not yet due",I71)))</formula>
    </cfRule>
    <cfRule type="containsText" dxfId="1365" priority="1593" operator="containsText" text="Update not Provided">
      <formula>NOT(ISERROR(SEARCH("Update not Provided",I71)))</formula>
    </cfRule>
    <cfRule type="containsText" dxfId="1364" priority="1594" operator="containsText" text="Not yet due">
      <formula>NOT(ISERROR(SEARCH("Not yet due",I71)))</formula>
    </cfRule>
    <cfRule type="containsText" dxfId="1363" priority="1595" operator="containsText" text="Completed Behind Schedule">
      <formula>NOT(ISERROR(SEARCH("Completed Behind Schedule",I71)))</formula>
    </cfRule>
    <cfRule type="containsText" dxfId="1362" priority="1596" operator="containsText" text="Off Target">
      <formula>NOT(ISERROR(SEARCH("Off Target",I71)))</formula>
    </cfRule>
    <cfRule type="containsText" dxfId="1361" priority="1597" operator="containsText" text="On Track to be Achieved">
      <formula>NOT(ISERROR(SEARCH("On Track to be Achieved",I71)))</formula>
    </cfRule>
    <cfRule type="containsText" dxfId="1360" priority="1598" operator="containsText" text="Fully Achieved">
      <formula>NOT(ISERROR(SEARCH("Fully Achieved",I71)))</formula>
    </cfRule>
    <cfRule type="containsText" dxfId="1359" priority="1599" operator="containsText" text="Not yet due">
      <formula>NOT(ISERROR(SEARCH("Not yet due",I71)))</formula>
    </cfRule>
    <cfRule type="containsText" dxfId="1358" priority="1600" operator="containsText" text="Not Yet Due">
      <formula>NOT(ISERROR(SEARCH("Not Yet Due",I71)))</formula>
    </cfRule>
    <cfRule type="containsText" dxfId="1357" priority="1601" operator="containsText" text="Deferred">
      <formula>NOT(ISERROR(SEARCH("Deferred",I71)))</formula>
    </cfRule>
    <cfRule type="containsText" dxfId="1356" priority="1602" operator="containsText" text="Deleted">
      <formula>NOT(ISERROR(SEARCH("Deleted",I71)))</formula>
    </cfRule>
    <cfRule type="containsText" dxfId="1355" priority="1603" operator="containsText" text="In Danger of Falling Behind Target">
      <formula>NOT(ISERROR(SEARCH("In Danger of Falling Behind Target",I71)))</formula>
    </cfRule>
    <cfRule type="containsText" dxfId="1354" priority="1604" operator="containsText" text="Not yet due">
      <formula>NOT(ISERROR(SEARCH("Not yet due",I71)))</formula>
    </cfRule>
    <cfRule type="containsText" dxfId="1353" priority="1605" operator="containsText" text="Completed Behind Schedule">
      <formula>NOT(ISERROR(SEARCH("Completed Behind Schedule",I71)))</formula>
    </cfRule>
    <cfRule type="containsText" dxfId="1352" priority="1606" operator="containsText" text="Off Target">
      <formula>NOT(ISERROR(SEARCH("Off Target",I71)))</formula>
    </cfRule>
    <cfRule type="containsText" dxfId="1351" priority="1607" operator="containsText" text="In Danger of Falling Behind Target">
      <formula>NOT(ISERROR(SEARCH("In Danger of Falling Behind Target",I71)))</formula>
    </cfRule>
    <cfRule type="containsText" dxfId="1350" priority="1608" operator="containsText" text="On Track to be Achieved">
      <formula>NOT(ISERROR(SEARCH("On Track to be Achieved",I71)))</formula>
    </cfRule>
    <cfRule type="containsText" dxfId="1349" priority="1609" operator="containsText" text="Fully Achieved">
      <formula>NOT(ISERROR(SEARCH("Fully Achieved",I71)))</formula>
    </cfRule>
    <cfRule type="containsText" dxfId="1348" priority="1610" operator="containsText" text="Update not Provided">
      <formula>NOT(ISERROR(SEARCH("Update not Provided",I71)))</formula>
    </cfRule>
    <cfRule type="containsText" dxfId="1347" priority="1611" operator="containsText" text="Not yet due">
      <formula>NOT(ISERROR(SEARCH("Not yet due",I71)))</formula>
    </cfRule>
    <cfRule type="containsText" dxfId="1346" priority="1612" operator="containsText" text="Completed Behind Schedule">
      <formula>NOT(ISERROR(SEARCH("Completed Behind Schedule",I71)))</formula>
    </cfRule>
    <cfRule type="containsText" dxfId="1345" priority="1613" operator="containsText" text="Off Target">
      <formula>NOT(ISERROR(SEARCH("Off Target",I71)))</formula>
    </cfRule>
    <cfRule type="containsText" dxfId="1344" priority="1614" operator="containsText" text="In Danger of Falling Behind Target">
      <formula>NOT(ISERROR(SEARCH("In Danger of Falling Behind Target",I71)))</formula>
    </cfRule>
    <cfRule type="containsText" dxfId="1343" priority="1615" operator="containsText" text="On Track to be Achieved">
      <formula>NOT(ISERROR(SEARCH("On Track to be Achieved",I71)))</formula>
    </cfRule>
    <cfRule type="containsText" dxfId="1342" priority="1616" operator="containsText" text="Fully Achieved">
      <formula>NOT(ISERROR(SEARCH("Fully Achieved",I71)))</formula>
    </cfRule>
    <cfRule type="containsText" dxfId="1341" priority="1617" operator="containsText" text="Fully Achieved">
      <formula>NOT(ISERROR(SEARCH("Fully Achieved",I71)))</formula>
    </cfRule>
    <cfRule type="containsText" dxfId="1340" priority="1618" operator="containsText" text="Fully Achieved">
      <formula>NOT(ISERROR(SEARCH("Fully Achieved",I71)))</formula>
    </cfRule>
    <cfRule type="containsText" dxfId="1339" priority="1619" operator="containsText" text="Deferred">
      <formula>NOT(ISERROR(SEARCH("Deferred",I71)))</formula>
    </cfRule>
    <cfRule type="containsText" dxfId="1338" priority="1620" operator="containsText" text="Deleted">
      <formula>NOT(ISERROR(SEARCH("Deleted",I71)))</formula>
    </cfRule>
    <cfRule type="containsText" dxfId="1337" priority="1621" operator="containsText" text="In Danger of Falling Behind Target">
      <formula>NOT(ISERROR(SEARCH("In Danger of Falling Behind Target",I71)))</formula>
    </cfRule>
    <cfRule type="containsText" dxfId="1336" priority="1622" operator="containsText" text="Not yet due">
      <formula>NOT(ISERROR(SEARCH("Not yet due",I71)))</formula>
    </cfRule>
    <cfRule type="containsText" dxfId="1335" priority="1623" operator="containsText" text="Update not Provided">
      <formula>NOT(ISERROR(SEARCH("Update not Provided",I71)))</formula>
    </cfRule>
  </conditionalFormatting>
  <conditionalFormatting sqref="I71">
    <cfRule type="containsText" dxfId="1334" priority="1552" operator="containsText" text="On track to be achieved">
      <formula>NOT(ISERROR(SEARCH("On track to be achieved",I71)))</formula>
    </cfRule>
    <cfRule type="containsText" dxfId="1333" priority="1553" operator="containsText" text="Deferred">
      <formula>NOT(ISERROR(SEARCH("Deferred",I71)))</formula>
    </cfRule>
    <cfRule type="containsText" dxfId="1332" priority="1554" operator="containsText" text="Deleted">
      <formula>NOT(ISERROR(SEARCH("Deleted",I71)))</formula>
    </cfRule>
    <cfRule type="containsText" dxfId="1331" priority="1555" operator="containsText" text="In Danger of Falling Behind Target">
      <formula>NOT(ISERROR(SEARCH("In Danger of Falling Behind Target",I71)))</formula>
    </cfRule>
    <cfRule type="containsText" dxfId="1330" priority="1556" operator="containsText" text="Not yet due">
      <formula>NOT(ISERROR(SEARCH("Not yet due",I71)))</formula>
    </cfRule>
    <cfRule type="containsText" dxfId="1329" priority="1557" operator="containsText" text="Update not Provided">
      <formula>NOT(ISERROR(SEARCH("Update not Provided",I71)))</formula>
    </cfRule>
    <cfRule type="containsText" dxfId="1328" priority="1558" operator="containsText" text="Not yet due">
      <formula>NOT(ISERROR(SEARCH("Not yet due",I71)))</formula>
    </cfRule>
    <cfRule type="containsText" dxfId="1327" priority="1559" operator="containsText" text="Completed Behind Schedule">
      <formula>NOT(ISERROR(SEARCH("Completed Behind Schedule",I71)))</formula>
    </cfRule>
    <cfRule type="containsText" dxfId="1326" priority="1560" operator="containsText" text="Off Target">
      <formula>NOT(ISERROR(SEARCH("Off Target",I71)))</formula>
    </cfRule>
    <cfRule type="containsText" dxfId="1325" priority="1561" operator="containsText" text="On Track to be Achieved">
      <formula>NOT(ISERROR(SEARCH("On Track to be Achieved",I71)))</formula>
    </cfRule>
    <cfRule type="containsText" dxfId="1324" priority="1562" operator="containsText" text="Fully Achieved">
      <formula>NOT(ISERROR(SEARCH("Fully Achieved",I71)))</formula>
    </cfRule>
    <cfRule type="containsText" dxfId="1323" priority="1563" operator="containsText" text="Not yet due">
      <formula>NOT(ISERROR(SEARCH("Not yet due",I71)))</formula>
    </cfRule>
    <cfRule type="containsText" dxfId="1322" priority="1564" operator="containsText" text="Not Yet Due">
      <formula>NOT(ISERROR(SEARCH("Not Yet Due",I71)))</formula>
    </cfRule>
    <cfRule type="containsText" dxfId="1321" priority="1565" operator="containsText" text="Deferred">
      <formula>NOT(ISERROR(SEARCH("Deferred",I71)))</formula>
    </cfRule>
    <cfRule type="containsText" dxfId="1320" priority="1566" operator="containsText" text="Deleted">
      <formula>NOT(ISERROR(SEARCH("Deleted",I71)))</formula>
    </cfRule>
    <cfRule type="containsText" dxfId="1319" priority="1567" operator="containsText" text="In Danger of Falling Behind Target">
      <formula>NOT(ISERROR(SEARCH("In Danger of Falling Behind Target",I71)))</formula>
    </cfRule>
    <cfRule type="containsText" dxfId="1318" priority="1568" operator="containsText" text="Not yet due">
      <formula>NOT(ISERROR(SEARCH("Not yet due",I71)))</formula>
    </cfRule>
    <cfRule type="containsText" dxfId="1317" priority="1569" operator="containsText" text="Completed Behind Schedule">
      <formula>NOT(ISERROR(SEARCH("Completed Behind Schedule",I71)))</formula>
    </cfRule>
    <cfRule type="containsText" dxfId="1316" priority="1570" operator="containsText" text="Off Target">
      <formula>NOT(ISERROR(SEARCH("Off Target",I71)))</formula>
    </cfRule>
    <cfRule type="containsText" dxfId="1315" priority="1571" operator="containsText" text="In Danger of Falling Behind Target">
      <formula>NOT(ISERROR(SEARCH("In Danger of Falling Behind Target",I71)))</formula>
    </cfRule>
    <cfRule type="containsText" dxfId="1314" priority="1572" operator="containsText" text="On Track to be Achieved">
      <formula>NOT(ISERROR(SEARCH("On Track to be Achieved",I71)))</formula>
    </cfRule>
    <cfRule type="containsText" dxfId="1313" priority="1573" operator="containsText" text="Fully Achieved">
      <formula>NOT(ISERROR(SEARCH("Fully Achieved",I71)))</formula>
    </cfRule>
    <cfRule type="containsText" dxfId="1312" priority="1574" operator="containsText" text="Update not Provided">
      <formula>NOT(ISERROR(SEARCH("Update not Provided",I71)))</formula>
    </cfRule>
    <cfRule type="containsText" dxfId="1311" priority="1575" operator="containsText" text="Not yet due">
      <formula>NOT(ISERROR(SEARCH("Not yet due",I71)))</formula>
    </cfRule>
    <cfRule type="containsText" dxfId="1310" priority="1576" operator="containsText" text="Completed Behind Schedule">
      <formula>NOT(ISERROR(SEARCH("Completed Behind Schedule",I71)))</formula>
    </cfRule>
    <cfRule type="containsText" dxfId="1309" priority="1577" operator="containsText" text="Off Target">
      <formula>NOT(ISERROR(SEARCH("Off Target",I71)))</formula>
    </cfRule>
    <cfRule type="containsText" dxfId="1308" priority="1578" operator="containsText" text="In Danger of Falling Behind Target">
      <formula>NOT(ISERROR(SEARCH("In Danger of Falling Behind Target",I71)))</formula>
    </cfRule>
    <cfRule type="containsText" dxfId="1307" priority="1579" operator="containsText" text="On Track to be Achieved">
      <formula>NOT(ISERROR(SEARCH("On Track to be Achieved",I71)))</formula>
    </cfRule>
    <cfRule type="containsText" dxfId="1306" priority="1580" operator="containsText" text="Fully Achieved">
      <formula>NOT(ISERROR(SEARCH("Fully Achieved",I71)))</formula>
    </cfRule>
    <cfRule type="containsText" dxfId="1305" priority="1581" operator="containsText" text="Fully Achieved">
      <formula>NOT(ISERROR(SEARCH("Fully Achieved",I71)))</formula>
    </cfRule>
    <cfRule type="containsText" dxfId="1304" priority="1582" operator="containsText" text="Fully Achieved">
      <formula>NOT(ISERROR(SEARCH("Fully Achieved",I71)))</formula>
    </cfRule>
    <cfRule type="containsText" dxfId="1303" priority="1583" operator="containsText" text="Deferred">
      <formula>NOT(ISERROR(SEARCH("Deferred",I71)))</formula>
    </cfRule>
    <cfRule type="containsText" dxfId="1302" priority="1584" operator="containsText" text="Deleted">
      <formula>NOT(ISERROR(SEARCH("Deleted",I71)))</formula>
    </cfRule>
    <cfRule type="containsText" dxfId="1301" priority="1585" operator="containsText" text="In Danger of Falling Behind Target">
      <formula>NOT(ISERROR(SEARCH("In Danger of Falling Behind Target",I71)))</formula>
    </cfRule>
    <cfRule type="containsText" dxfId="1300" priority="1586" operator="containsText" text="Not yet due">
      <formula>NOT(ISERROR(SEARCH("Not yet due",I71)))</formula>
    </cfRule>
    <cfRule type="containsText" dxfId="1299" priority="1587" operator="containsText" text="Update not Provided">
      <formula>NOT(ISERROR(SEARCH("Update not Provided",I71)))</formula>
    </cfRule>
  </conditionalFormatting>
  <conditionalFormatting sqref="I72:I77">
    <cfRule type="containsText" dxfId="1298" priority="1516" operator="containsText" text="On track to be achieved">
      <formula>NOT(ISERROR(SEARCH("On track to be achieved",I72)))</formula>
    </cfRule>
    <cfRule type="containsText" dxfId="1297" priority="1517" operator="containsText" text="Deferred">
      <formula>NOT(ISERROR(SEARCH("Deferred",I72)))</formula>
    </cfRule>
    <cfRule type="containsText" dxfId="1296" priority="1518" operator="containsText" text="Deleted">
      <formula>NOT(ISERROR(SEARCH("Deleted",I72)))</formula>
    </cfRule>
    <cfRule type="containsText" dxfId="1295" priority="1519" operator="containsText" text="In Danger of Falling Behind Target">
      <formula>NOT(ISERROR(SEARCH("In Danger of Falling Behind Target",I72)))</formula>
    </cfRule>
    <cfRule type="containsText" dxfId="1294" priority="1520" operator="containsText" text="Not yet due">
      <formula>NOT(ISERROR(SEARCH("Not yet due",I72)))</formula>
    </cfRule>
    <cfRule type="containsText" dxfId="1293" priority="1521" operator="containsText" text="Update not Provided">
      <formula>NOT(ISERROR(SEARCH("Update not Provided",I72)))</formula>
    </cfRule>
    <cfRule type="containsText" dxfId="1292" priority="1522" operator="containsText" text="Not yet due">
      <formula>NOT(ISERROR(SEARCH("Not yet due",I72)))</formula>
    </cfRule>
    <cfRule type="containsText" dxfId="1291" priority="1523" operator="containsText" text="Completed Behind Schedule">
      <formula>NOT(ISERROR(SEARCH("Completed Behind Schedule",I72)))</formula>
    </cfRule>
    <cfRule type="containsText" dxfId="1290" priority="1524" operator="containsText" text="Off Target">
      <formula>NOT(ISERROR(SEARCH("Off Target",I72)))</formula>
    </cfRule>
    <cfRule type="containsText" dxfId="1289" priority="1525" operator="containsText" text="On Track to be Achieved">
      <formula>NOT(ISERROR(SEARCH("On Track to be Achieved",I72)))</formula>
    </cfRule>
    <cfRule type="containsText" dxfId="1288" priority="1526" operator="containsText" text="Fully Achieved">
      <formula>NOT(ISERROR(SEARCH("Fully Achieved",I72)))</formula>
    </cfRule>
    <cfRule type="containsText" dxfId="1287" priority="1527" operator="containsText" text="Not yet due">
      <formula>NOT(ISERROR(SEARCH("Not yet due",I72)))</formula>
    </cfRule>
    <cfRule type="containsText" dxfId="1286" priority="1528" operator="containsText" text="Not Yet Due">
      <formula>NOT(ISERROR(SEARCH("Not Yet Due",I72)))</formula>
    </cfRule>
    <cfRule type="containsText" dxfId="1285" priority="1529" operator="containsText" text="Deferred">
      <formula>NOT(ISERROR(SEARCH("Deferred",I72)))</formula>
    </cfRule>
    <cfRule type="containsText" dxfId="1284" priority="1530" operator="containsText" text="Deleted">
      <formula>NOT(ISERROR(SEARCH("Deleted",I72)))</formula>
    </cfRule>
    <cfRule type="containsText" dxfId="1283" priority="1531" operator="containsText" text="In Danger of Falling Behind Target">
      <formula>NOT(ISERROR(SEARCH("In Danger of Falling Behind Target",I72)))</formula>
    </cfRule>
    <cfRule type="containsText" dxfId="1282" priority="1532" operator="containsText" text="Not yet due">
      <formula>NOT(ISERROR(SEARCH("Not yet due",I72)))</formula>
    </cfRule>
    <cfRule type="containsText" dxfId="1281" priority="1533" operator="containsText" text="Completed Behind Schedule">
      <formula>NOT(ISERROR(SEARCH("Completed Behind Schedule",I72)))</formula>
    </cfRule>
    <cfRule type="containsText" dxfId="1280" priority="1534" operator="containsText" text="Off Target">
      <formula>NOT(ISERROR(SEARCH("Off Target",I72)))</formula>
    </cfRule>
    <cfRule type="containsText" dxfId="1279" priority="1535" operator="containsText" text="In Danger of Falling Behind Target">
      <formula>NOT(ISERROR(SEARCH("In Danger of Falling Behind Target",I72)))</formula>
    </cfRule>
    <cfRule type="containsText" dxfId="1278" priority="1536" operator="containsText" text="On Track to be Achieved">
      <formula>NOT(ISERROR(SEARCH("On Track to be Achieved",I72)))</formula>
    </cfRule>
    <cfRule type="containsText" dxfId="1277" priority="1537" operator="containsText" text="Fully Achieved">
      <formula>NOT(ISERROR(SEARCH("Fully Achieved",I72)))</formula>
    </cfRule>
    <cfRule type="containsText" dxfId="1276" priority="1538" operator="containsText" text="Update not Provided">
      <formula>NOT(ISERROR(SEARCH("Update not Provided",I72)))</formula>
    </cfRule>
    <cfRule type="containsText" dxfId="1275" priority="1539" operator="containsText" text="Not yet due">
      <formula>NOT(ISERROR(SEARCH("Not yet due",I72)))</formula>
    </cfRule>
    <cfRule type="containsText" dxfId="1274" priority="1540" operator="containsText" text="Completed Behind Schedule">
      <formula>NOT(ISERROR(SEARCH("Completed Behind Schedule",I72)))</formula>
    </cfRule>
    <cfRule type="containsText" dxfId="1273" priority="1541" operator="containsText" text="Off Target">
      <formula>NOT(ISERROR(SEARCH("Off Target",I72)))</formula>
    </cfRule>
    <cfRule type="containsText" dxfId="1272" priority="1542" operator="containsText" text="In Danger of Falling Behind Target">
      <formula>NOT(ISERROR(SEARCH("In Danger of Falling Behind Target",I72)))</formula>
    </cfRule>
    <cfRule type="containsText" dxfId="1271" priority="1543" operator="containsText" text="On Track to be Achieved">
      <formula>NOT(ISERROR(SEARCH("On Track to be Achieved",I72)))</formula>
    </cfRule>
    <cfRule type="containsText" dxfId="1270" priority="1544" operator="containsText" text="Fully Achieved">
      <formula>NOT(ISERROR(SEARCH("Fully Achieved",I72)))</formula>
    </cfRule>
    <cfRule type="containsText" dxfId="1269" priority="1545" operator="containsText" text="Fully Achieved">
      <formula>NOT(ISERROR(SEARCH("Fully Achieved",I72)))</formula>
    </cfRule>
    <cfRule type="containsText" dxfId="1268" priority="1546" operator="containsText" text="Fully Achieved">
      <formula>NOT(ISERROR(SEARCH("Fully Achieved",I72)))</formula>
    </cfRule>
    <cfRule type="containsText" dxfId="1267" priority="1547" operator="containsText" text="Deferred">
      <formula>NOT(ISERROR(SEARCH("Deferred",I72)))</formula>
    </cfRule>
    <cfRule type="containsText" dxfId="1266" priority="1548" operator="containsText" text="Deleted">
      <formula>NOT(ISERROR(SEARCH("Deleted",I72)))</formula>
    </cfRule>
    <cfRule type="containsText" dxfId="1265" priority="1549" operator="containsText" text="In Danger of Falling Behind Target">
      <formula>NOT(ISERROR(SEARCH("In Danger of Falling Behind Target",I72)))</formula>
    </cfRule>
    <cfRule type="containsText" dxfId="1264" priority="1550" operator="containsText" text="Not yet due">
      <formula>NOT(ISERROR(SEARCH("Not yet due",I72)))</formula>
    </cfRule>
    <cfRule type="containsText" dxfId="1263" priority="1551" operator="containsText" text="Update not Provided">
      <formula>NOT(ISERROR(SEARCH("Update not Provided",I72)))</formula>
    </cfRule>
  </conditionalFormatting>
  <conditionalFormatting sqref="I79:I81">
    <cfRule type="containsText" dxfId="1262" priority="1480" operator="containsText" text="On track to be achieved">
      <formula>NOT(ISERROR(SEARCH("On track to be achieved",I79)))</formula>
    </cfRule>
    <cfRule type="containsText" dxfId="1261" priority="1481" operator="containsText" text="Deferred">
      <formula>NOT(ISERROR(SEARCH("Deferred",I79)))</formula>
    </cfRule>
    <cfRule type="containsText" dxfId="1260" priority="1482" operator="containsText" text="Deleted">
      <formula>NOT(ISERROR(SEARCH("Deleted",I79)))</formula>
    </cfRule>
    <cfRule type="containsText" dxfId="1259" priority="1483" operator="containsText" text="In Danger of Falling Behind Target">
      <formula>NOT(ISERROR(SEARCH("In Danger of Falling Behind Target",I79)))</formula>
    </cfRule>
    <cfRule type="containsText" dxfId="1258" priority="1484" operator="containsText" text="Not yet due">
      <formula>NOT(ISERROR(SEARCH("Not yet due",I79)))</formula>
    </cfRule>
    <cfRule type="containsText" dxfId="1257" priority="1485" operator="containsText" text="Update not Provided">
      <formula>NOT(ISERROR(SEARCH("Update not Provided",I79)))</formula>
    </cfRule>
    <cfRule type="containsText" dxfId="1256" priority="1486" operator="containsText" text="Not yet due">
      <formula>NOT(ISERROR(SEARCH("Not yet due",I79)))</formula>
    </cfRule>
    <cfRule type="containsText" dxfId="1255" priority="1487" operator="containsText" text="Completed Behind Schedule">
      <formula>NOT(ISERROR(SEARCH("Completed Behind Schedule",I79)))</formula>
    </cfRule>
    <cfRule type="containsText" dxfId="1254" priority="1488" operator="containsText" text="Off Target">
      <formula>NOT(ISERROR(SEARCH("Off Target",I79)))</formula>
    </cfRule>
    <cfRule type="containsText" dxfId="1253" priority="1489" operator="containsText" text="On Track to be Achieved">
      <formula>NOT(ISERROR(SEARCH("On Track to be Achieved",I79)))</formula>
    </cfRule>
    <cfRule type="containsText" dxfId="1252" priority="1490" operator="containsText" text="Fully Achieved">
      <formula>NOT(ISERROR(SEARCH("Fully Achieved",I79)))</formula>
    </cfRule>
    <cfRule type="containsText" dxfId="1251" priority="1491" operator="containsText" text="Not yet due">
      <formula>NOT(ISERROR(SEARCH("Not yet due",I79)))</formula>
    </cfRule>
    <cfRule type="containsText" dxfId="1250" priority="1492" operator="containsText" text="Not Yet Due">
      <formula>NOT(ISERROR(SEARCH("Not Yet Due",I79)))</formula>
    </cfRule>
    <cfRule type="containsText" dxfId="1249" priority="1493" operator="containsText" text="Deferred">
      <formula>NOT(ISERROR(SEARCH("Deferred",I79)))</formula>
    </cfRule>
    <cfRule type="containsText" dxfId="1248" priority="1494" operator="containsText" text="Deleted">
      <formula>NOT(ISERROR(SEARCH("Deleted",I79)))</formula>
    </cfRule>
    <cfRule type="containsText" dxfId="1247" priority="1495" operator="containsText" text="In Danger of Falling Behind Target">
      <formula>NOT(ISERROR(SEARCH("In Danger of Falling Behind Target",I79)))</formula>
    </cfRule>
    <cfRule type="containsText" dxfId="1246" priority="1496" operator="containsText" text="Not yet due">
      <formula>NOT(ISERROR(SEARCH("Not yet due",I79)))</formula>
    </cfRule>
    <cfRule type="containsText" dxfId="1245" priority="1497" operator="containsText" text="Completed Behind Schedule">
      <formula>NOT(ISERROR(SEARCH("Completed Behind Schedule",I79)))</formula>
    </cfRule>
    <cfRule type="containsText" dxfId="1244" priority="1498" operator="containsText" text="Off Target">
      <formula>NOT(ISERROR(SEARCH("Off Target",I79)))</formula>
    </cfRule>
    <cfRule type="containsText" dxfId="1243" priority="1499" operator="containsText" text="In Danger of Falling Behind Target">
      <formula>NOT(ISERROR(SEARCH("In Danger of Falling Behind Target",I79)))</formula>
    </cfRule>
    <cfRule type="containsText" dxfId="1242" priority="1500" operator="containsText" text="On Track to be Achieved">
      <formula>NOT(ISERROR(SEARCH("On Track to be Achieved",I79)))</formula>
    </cfRule>
    <cfRule type="containsText" dxfId="1241" priority="1501" operator="containsText" text="Fully Achieved">
      <formula>NOT(ISERROR(SEARCH("Fully Achieved",I79)))</formula>
    </cfRule>
    <cfRule type="containsText" dxfId="1240" priority="1502" operator="containsText" text="Update not Provided">
      <formula>NOT(ISERROR(SEARCH("Update not Provided",I79)))</formula>
    </cfRule>
    <cfRule type="containsText" dxfId="1239" priority="1503" operator="containsText" text="Not yet due">
      <formula>NOT(ISERROR(SEARCH("Not yet due",I79)))</formula>
    </cfRule>
    <cfRule type="containsText" dxfId="1238" priority="1504" operator="containsText" text="Completed Behind Schedule">
      <formula>NOT(ISERROR(SEARCH("Completed Behind Schedule",I79)))</formula>
    </cfRule>
    <cfRule type="containsText" dxfId="1237" priority="1505" operator="containsText" text="Off Target">
      <formula>NOT(ISERROR(SEARCH("Off Target",I79)))</formula>
    </cfRule>
    <cfRule type="containsText" dxfId="1236" priority="1506" operator="containsText" text="In Danger of Falling Behind Target">
      <formula>NOT(ISERROR(SEARCH("In Danger of Falling Behind Target",I79)))</formula>
    </cfRule>
    <cfRule type="containsText" dxfId="1235" priority="1507" operator="containsText" text="On Track to be Achieved">
      <formula>NOT(ISERROR(SEARCH("On Track to be Achieved",I79)))</formula>
    </cfRule>
    <cfRule type="containsText" dxfId="1234" priority="1508" operator="containsText" text="Fully Achieved">
      <formula>NOT(ISERROR(SEARCH("Fully Achieved",I79)))</formula>
    </cfRule>
    <cfRule type="containsText" dxfId="1233" priority="1509" operator="containsText" text="Fully Achieved">
      <formula>NOT(ISERROR(SEARCH("Fully Achieved",I79)))</formula>
    </cfRule>
    <cfRule type="containsText" dxfId="1232" priority="1510" operator="containsText" text="Fully Achieved">
      <formula>NOT(ISERROR(SEARCH("Fully Achieved",I79)))</formula>
    </cfRule>
    <cfRule type="containsText" dxfId="1231" priority="1511" operator="containsText" text="Deferred">
      <formula>NOT(ISERROR(SEARCH("Deferred",I79)))</formula>
    </cfRule>
    <cfRule type="containsText" dxfId="1230" priority="1512" operator="containsText" text="Deleted">
      <formula>NOT(ISERROR(SEARCH("Deleted",I79)))</formula>
    </cfRule>
    <cfRule type="containsText" dxfId="1229" priority="1513" operator="containsText" text="In Danger of Falling Behind Target">
      <formula>NOT(ISERROR(SEARCH("In Danger of Falling Behind Target",I79)))</formula>
    </cfRule>
    <cfRule type="containsText" dxfId="1228" priority="1514" operator="containsText" text="Not yet due">
      <formula>NOT(ISERROR(SEARCH("Not yet due",I79)))</formula>
    </cfRule>
    <cfRule type="containsText" dxfId="1227" priority="1515" operator="containsText" text="Update not Provided">
      <formula>NOT(ISERROR(SEARCH("Update not Provided",I79)))</formula>
    </cfRule>
  </conditionalFormatting>
  <conditionalFormatting sqref="I82">
    <cfRule type="containsText" dxfId="1226" priority="1444" operator="containsText" text="On track to be achieved">
      <formula>NOT(ISERROR(SEARCH("On track to be achieved",I82)))</formula>
    </cfRule>
    <cfRule type="containsText" dxfId="1225" priority="1445" operator="containsText" text="Deferred">
      <formula>NOT(ISERROR(SEARCH("Deferred",I82)))</formula>
    </cfRule>
    <cfRule type="containsText" dxfId="1224" priority="1446" operator="containsText" text="Deleted">
      <formula>NOT(ISERROR(SEARCH("Deleted",I82)))</formula>
    </cfRule>
    <cfRule type="containsText" dxfId="1223" priority="1447" operator="containsText" text="In Danger of Falling Behind Target">
      <formula>NOT(ISERROR(SEARCH("In Danger of Falling Behind Target",I82)))</formula>
    </cfRule>
    <cfRule type="containsText" dxfId="1222" priority="1448" operator="containsText" text="Not yet due">
      <formula>NOT(ISERROR(SEARCH("Not yet due",I82)))</formula>
    </cfRule>
    <cfRule type="containsText" dxfId="1221" priority="1449" operator="containsText" text="Update not Provided">
      <formula>NOT(ISERROR(SEARCH("Update not Provided",I82)))</formula>
    </cfRule>
    <cfRule type="containsText" dxfId="1220" priority="1450" operator="containsText" text="Not yet due">
      <formula>NOT(ISERROR(SEARCH("Not yet due",I82)))</formula>
    </cfRule>
    <cfRule type="containsText" dxfId="1219" priority="1451" operator="containsText" text="Completed Behind Schedule">
      <formula>NOT(ISERROR(SEARCH("Completed Behind Schedule",I82)))</formula>
    </cfRule>
    <cfRule type="containsText" dxfId="1218" priority="1452" operator="containsText" text="Off Target">
      <formula>NOT(ISERROR(SEARCH("Off Target",I82)))</formula>
    </cfRule>
    <cfRule type="containsText" dxfId="1217" priority="1453" operator="containsText" text="On Track to be Achieved">
      <formula>NOT(ISERROR(SEARCH("On Track to be Achieved",I82)))</formula>
    </cfRule>
    <cfRule type="containsText" dxfId="1216" priority="1454" operator="containsText" text="Fully Achieved">
      <formula>NOT(ISERROR(SEARCH("Fully Achieved",I82)))</formula>
    </cfRule>
    <cfRule type="containsText" dxfId="1215" priority="1455" operator="containsText" text="Not yet due">
      <formula>NOT(ISERROR(SEARCH("Not yet due",I82)))</formula>
    </cfRule>
    <cfRule type="containsText" dxfId="1214" priority="1456" operator="containsText" text="Not Yet Due">
      <formula>NOT(ISERROR(SEARCH("Not Yet Due",I82)))</formula>
    </cfRule>
    <cfRule type="containsText" dxfId="1213" priority="1457" operator="containsText" text="Deferred">
      <formula>NOT(ISERROR(SEARCH("Deferred",I82)))</formula>
    </cfRule>
    <cfRule type="containsText" dxfId="1212" priority="1458" operator="containsText" text="Deleted">
      <formula>NOT(ISERROR(SEARCH("Deleted",I82)))</formula>
    </cfRule>
    <cfRule type="containsText" dxfId="1211" priority="1459" operator="containsText" text="In Danger of Falling Behind Target">
      <formula>NOT(ISERROR(SEARCH("In Danger of Falling Behind Target",I82)))</formula>
    </cfRule>
    <cfRule type="containsText" dxfId="1210" priority="1460" operator="containsText" text="Not yet due">
      <formula>NOT(ISERROR(SEARCH("Not yet due",I82)))</formula>
    </cfRule>
    <cfRule type="containsText" dxfId="1209" priority="1461" operator="containsText" text="Completed Behind Schedule">
      <formula>NOT(ISERROR(SEARCH("Completed Behind Schedule",I82)))</formula>
    </cfRule>
    <cfRule type="containsText" dxfId="1208" priority="1462" operator="containsText" text="Off Target">
      <formula>NOT(ISERROR(SEARCH("Off Target",I82)))</formula>
    </cfRule>
    <cfRule type="containsText" dxfId="1207" priority="1463" operator="containsText" text="In Danger of Falling Behind Target">
      <formula>NOT(ISERROR(SEARCH("In Danger of Falling Behind Target",I82)))</formula>
    </cfRule>
    <cfRule type="containsText" dxfId="1206" priority="1464" operator="containsText" text="On Track to be Achieved">
      <formula>NOT(ISERROR(SEARCH("On Track to be Achieved",I82)))</formula>
    </cfRule>
    <cfRule type="containsText" dxfId="1205" priority="1465" operator="containsText" text="Fully Achieved">
      <formula>NOT(ISERROR(SEARCH("Fully Achieved",I82)))</formula>
    </cfRule>
    <cfRule type="containsText" dxfId="1204" priority="1466" operator="containsText" text="Update not Provided">
      <formula>NOT(ISERROR(SEARCH("Update not Provided",I82)))</formula>
    </cfRule>
    <cfRule type="containsText" dxfId="1203" priority="1467" operator="containsText" text="Not yet due">
      <formula>NOT(ISERROR(SEARCH("Not yet due",I82)))</formula>
    </cfRule>
    <cfRule type="containsText" dxfId="1202" priority="1468" operator="containsText" text="Completed Behind Schedule">
      <formula>NOT(ISERROR(SEARCH("Completed Behind Schedule",I82)))</formula>
    </cfRule>
    <cfRule type="containsText" dxfId="1201" priority="1469" operator="containsText" text="Off Target">
      <formula>NOT(ISERROR(SEARCH("Off Target",I82)))</formula>
    </cfRule>
    <cfRule type="containsText" dxfId="1200" priority="1470" operator="containsText" text="In Danger of Falling Behind Target">
      <formula>NOT(ISERROR(SEARCH("In Danger of Falling Behind Target",I82)))</formula>
    </cfRule>
    <cfRule type="containsText" dxfId="1199" priority="1471" operator="containsText" text="On Track to be Achieved">
      <formula>NOT(ISERROR(SEARCH("On Track to be Achieved",I82)))</formula>
    </cfRule>
    <cfRule type="containsText" dxfId="1198" priority="1472" operator="containsText" text="Fully Achieved">
      <formula>NOT(ISERROR(SEARCH("Fully Achieved",I82)))</formula>
    </cfRule>
    <cfRule type="containsText" dxfId="1197" priority="1473" operator="containsText" text="Fully Achieved">
      <formula>NOT(ISERROR(SEARCH("Fully Achieved",I82)))</formula>
    </cfRule>
    <cfRule type="containsText" dxfId="1196" priority="1474" operator="containsText" text="Fully Achieved">
      <formula>NOT(ISERROR(SEARCH("Fully Achieved",I82)))</formula>
    </cfRule>
    <cfRule type="containsText" dxfId="1195" priority="1475" operator="containsText" text="Deferred">
      <formula>NOT(ISERROR(SEARCH("Deferred",I82)))</formula>
    </cfRule>
    <cfRule type="containsText" dxfId="1194" priority="1476" operator="containsText" text="Deleted">
      <formula>NOT(ISERROR(SEARCH("Deleted",I82)))</formula>
    </cfRule>
    <cfRule type="containsText" dxfId="1193" priority="1477" operator="containsText" text="In Danger of Falling Behind Target">
      <formula>NOT(ISERROR(SEARCH("In Danger of Falling Behind Target",I82)))</formula>
    </cfRule>
    <cfRule type="containsText" dxfId="1192" priority="1478" operator="containsText" text="Not yet due">
      <formula>NOT(ISERROR(SEARCH("Not yet due",I82)))</formula>
    </cfRule>
    <cfRule type="containsText" dxfId="1191" priority="1479" operator="containsText" text="Update not Provided">
      <formula>NOT(ISERROR(SEARCH("Update not Provided",I82)))</formula>
    </cfRule>
  </conditionalFormatting>
  <conditionalFormatting sqref="I84:I88">
    <cfRule type="containsText" dxfId="1190" priority="1408" operator="containsText" text="On track to be achieved">
      <formula>NOT(ISERROR(SEARCH("On track to be achieved",I84)))</formula>
    </cfRule>
    <cfRule type="containsText" dxfId="1189" priority="1409" operator="containsText" text="Deferred">
      <formula>NOT(ISERROR(SEARCH("Deferred",I84)))</formula>
    </cfRule>
    <cfRule type="containsText" dxfId="1188" priority="1410" operator="containsText" text="Deleted">
      <formula>NOT(ISERROR(SEARCH("Deleted",I84)))</formula>
    </cfRule>
    <cfRule type="containsText" dxfId="1187" priority="1411" operator="containsText" text="In Danger of Falling Behind Target">
      <formula>NOT(ISERROR(SEARCH("In Danger of Falling Behind Target",I84)))</formula>
    </cfRule>
    <cfRule type="containsText" dxfId="1186" priority="1412" operator="containsText" text="Not yet due">
      <formula>NOT(ISERROR(SEARCH("Not yet due",I84)))</formula>
    </cfRule>
    <cfRule type="containsText" dxfId="1185" priority="1413" operator="containsText" text="Update not Provided">
      <formula>NOT(ISERROR(SEARCH("Update not Provided",I84)))</formula>
    </cfRule>
    <cfRule type="containsText" dxfId="1184" priority="1414" operator="containsText" text="Not yet due">
      <formula>NOT(ISERROR(SEARCH("Not yet due",I84)))</formula>
    </cfRule>
    <cfRule type="containsText" dxfId="1183" priority="1415" operator="containsText" text="Completed Behind Schedule">
      <formula>NOT(ISERROR(SEARCH("Completed Behind Schedule",I84)))</formula>
    </cfRule>
    <cfRule type="containsText" dxfId="1182" priority="1416" operator="containsText" text="Off Target">
      <formula>NOT(ISERROR(SEARCH("Off Target",I84)))</formula>
    </cfRule>
    <cfRule type="containsText" dxfId="1181" priority="1417" operator="containsText" text="On Track to be Achieved">
      <formula>NOT(ISERROR(SEARCH("On Track to be Achieved",I84)))</formula>
    </cfRule>
    <cfRule type="containsText" dxfId="1180" priority="1418" operator="containsText" text="Fully Achieved">
      <formula>NOT(ISERROR(SEARCH("Fully Achieved",I84)))</formula>
    </cfRule>
    <cfRule type="containsText" dxfId="1179" priority="1419" operator="containsText" text="Not yet due">
      <formula>NOT(ISERROR(SEARCH("Not yet due",I84)))</formula>
    </cfRule>
    <cfRule type="containsText" dxfId="1178" priority="1420" operator="containsText" text="Not Yet Due">
      <formula>NOT(ISERROR(SEARCH("Not Yet Due",I84)))</formula>
    </cfRule>
    <cfRule type="containsText" dxfId="1177" priority="1421" operator="containsText" text="Deferred">
      <formula>NOT(ISERROR(SEARCH("Deferred",I84)))</formula>
    </cfRule>
    <cfRule type="containsText" dxfId="1176" priority="1422" operator="containsText" text="Deleted">
      <formula>NOT(ISERROR(SEARCH("Deleted",I84)))</formula>
    </cfRule>
    <cfRule type="containsText" dxfId="1175" priority="1423" operator="containsText" text="In Danger of Falling Behind Target">
      <formula>NOT(ISERROR(SEARCH("In Danger of Falling Behind Target",I84)))</formula>
    </cfRule>
    <cfRule type="containsText" dxfId="1174" priority="1424" operator="containsText" text="Not yet due">
      <formula>NOT(ISERROR(SEARCH("Not yet due",I84)))</formula>
    </cfRule>
    <cfRule type="containsText" dxfId="1173" priority="1425" operator="containsText" text="Completed Behind Schedule">
      <formula>NOT(ISERROR(SEARCH("Completed Behind Schedule",I84)))</formula>
    </cfRule>
    <cfRule type="containsText" dxfId="1172" priority="1426" operator="containsText" text="Off Target">
      <formula>NOT(ISERROR(SEARCH("Off Target",I84)))</formula>
    </cfRule>
    <cfRule type="containsText" dxfId="1171" priority="1427" operator="containsText" text="In Danger of Falling Behind Target">
      <formula>NOT(ISERROR(SEARCH("In Danger of Falling Behind Target",I84)))</formula>
    </cfRule>
    <cfRule type="containsText" dxfId="1170" priority="1428" operator="containsText" text="On Track to be Achieved">
      <formula>NOT(ISERROR(SEARCH("On Track to be Achieved",I84)))</formula>
    </cfRule>
    <cfRule type="containsText" dxfId="1169" priority="1429" operator="containsText" text="Fully Achieved">
      <formula>NOT(ISERROR(SEARCH("Fully Achieved",I84)))</formula>
    </cfRule>
    <cfRule type="containsText" dxfId="1168" priority="1430" operator="containsText" text="Update not Provided">
      <formula>NOT(ISERROR(SEARCH("Update not Provided",I84)))</formula>
    </cfRule>
    <cfRule type="containsText" dxfId="1167" priority="1431" operator="containsText" text="Not yet due">
      <formula>NOT(ISERROR(SEARCH("Not yet due",I84)))</formula>
    </cfRule>
    <cfRule type="containsText" dxfId="1166" priority="1432" operator="containsText" text="Completed Behind Schedule">
      <formula>NOT(ISERROR(SEARCH("Completed Behind Schedule",I84)))</formula>
    </cfRule>
    <cfRule type="containsText" dxfId="1165" priority="1433" operator="containsText" text="Off Target">
      <formula>NOT(ISERROR(SEARCH("Off Target",I84)))</formula>
    </cfRule>
    <cfRule type="containsText" dxfId="1164" priority="1434" operator="containsText" text="In Danger of Falling Behind Target">
      <formula>NOT(ISERROR(SEARCH("In Danger of Falling Behind Target",I84)))</formula>
    </cfRule>
    <cfRule type="containsText" dxfId="1163" priority="1435" operator="containsText" text="On Track to be Achieved">
      <formula>NOT(ISERROR(SEARCH("On Track to be Achieved",I84)))</formula>
    </cfRule>
    <cfRule type="containsText" dxfId="1162" priority="1436" operator="containsText" text="Fully Achieved">
      <formula>NOT(ISERROR(SEARCH("Fully Achieved",I84)))</formula>
    </cfRule>
    <cfRule type="containsText" dxfId="1161" priority="1437" operator="containsText" text="Fully Achieved">
      <formula>NOT(ISERROR(SEARCH("Fully Achieved",I84)))</formula>
    </cfRule>
    <cfRule type="containsText" dxfId="1160" priority="1438" operator="containsText" text="Fully Achieved">
      <formula>NOT(ISERROR(SEARCH("Fully Achieved",I84)))</formula>
    </cfRule>
    <cfRule type="containsText" dxfId="1159" priority="1439" operator="containsText" text="Deferred">
      <formula>NOT(ISERROR(SEARCH("Deferred",I84)))</formula>
    </cfRule>
    <cfRule type="containsText" dxfId="1158" priority="1440" operator="containsText" text="Deleted">
      <formula>NOT(ISERROR(SEARCH("Deleted",I84)))</formula>
    </cfRule>
    <cfRule type="containsText" dxfId="1157" priority="1441" operator="containsText" text="In Danger of Falling Behind Target">
      <formula>NOT(ISERROR(SEARCH("In Danger of Falling Behind Target",I84)))</formula>
    </cfRule>
    <cfRule type="containsText" dxfId="1156" priority="1442" operator="containsText" text="Not yet due">
      <formula>NOT(ISERROR(SEARCH("Not yet due",I84)))</formula>
    </cfRule>
    <cfRule type="containsText" dxfId="1155" priority="1443" operator="containsText" text="Update not Provided">
      <formula>NOT(ISERROR(SEARCH("Update not Provided",I84)))</formula>
    </cfRule>
  </conditionalFormatting>
  <conditionalFormatting sqref="I89:I91">
    <cfRule type="containsText" dxfId="1154" priority="1372" operator="containsText" text="On track to be achieved">
      <formula>NOT(ISERROR(SEARCH("On track to be achieved",I89)))</formula>
    </cfRule>
    <cfRule type="containsText" dxfId="1153" priority="1373" operator="containsText" text="Deferred">
      <formula>NOT(ISERROR(SEARCH("Deferred",I89)))</formula>
    </cfRule>
    <cfRule type="containsText" dxfId="1152" priority="1374" operator="containsText" text="Deleted">
      <formula>NOT(ISERROR(SEARCH("Deleted",I89)))</formula>
    </cfRule>
    <cfRule type="containsText" dxfId="1151" priority="1375" operator="containsText" text="In Danger of Falling Behind Target">
      <formula>NOT(ISERROR(SEARCH("In Danger of Falling Behind Target",I89)))</formula>
    </cfRule>
    <cfRule type="containsText" dxfId="1150" priority="1376" operator="containsText" text="Not yet due">
      <formula>NOT(ISERROR(SEARCH("Not yet due",I89)))</formula>
    </cfRule>
    <cfRule type="containsText" dxfId="1149" priority="1377" operator="containsText" text="Update not Provided">
      <formula>NOT(ISERROR(SEARCH("Update not Provided",I89)))</formula>
    </cfRule>
    <cfRule type="containsText" dxfId="1148" priority="1378" operator="containsText" text="Not yet due">
      <formula>NOT(ISERROR(SEARCH("Not yet due",I89)))</formula>
    </cfRule>
    <cfRule type="containsText" dxfId="1147" priority="1379" operator="containsText" text="Completed Behind Schedule">
      <formula>NOT(ISERROR(SEARCH("Completed Behind Schedule",I89)))</formula>
    </cfRule>
    <cfRule type="containsText" dxfId="1146" priority="1380" operator="containsText" text="Off Target">
      <formula>NOT(ISERROR(SEARCH("Off Target",I89)))</formula>
    </cfRule>
    <cfRule type="containsText" dxfId="1145" priority="1381" operator="containsText" text="On Track to be Achieved">
      <formula>NOT(ISERROR(SEARCH("On Track to be Achieved",I89)))</formula>
    </cfRule>
    <cfRule type="containsText" dxfId="1144" priority="1382" operator="containsText" text="Fully Achieved">
      <formula>NOT(ISERROR(SEARCH("Fully Achieved",I89)))</formula>
    </cfRule>
    <cfRule type="containsText" dxfId="1143" priority="1383" operator="containsText" text="Not yet due">
      <formula>NOT(ISERROR(SEARCH("Not yet due",I89)))</formula>
    </cfRule>
    <cfRule type="containsText" dxfId="1142" priority="1384" operator="containsText" text="Not Yet Due">
      <formula>NOT(ISERROR(SEARCH("Not Yet Due",I89)))</formula>
    </cfRule>
    <cfRule type="containsText" dxfId="1141" priority="1385" operator="containsText" text="Deferred">
      <formula>NOT(ISERROR(SEARCH("Deferred",I89)))</formula>
    </cfRule>
    <cfRule type="containsText" dxfId="1140" priority="1386" operator="containsText" text="Deleted">
      <formula>NOT(ISERROR(SEARCH("Deleted",I89)))</formula>
    </cfRule>
    <cfRule type="containsText" dxfId="1139" priority="1387" operator="containsText" text="In Danger of Falling Behind Target">
      <formula>NOT(ISERROR(SEARCH("In Danger of Falling Behind Target",I89)))</formula>
    </cfRule>
    <cfRule type="containsText" dxfId="1138" priority="1388" operator="containsText" text="Not yet due">
      <formula>NOT(ISERROR(SEARCH("Not yet due",I89)))</formula>
    </cfRule>
    <cfRule type="containsText" dxfId="1137" priority="1389" operator="containsText" text="Completed Behind Schedule">
      <formula>NOT(ISERROR(SEARCH("Completed Behind Schedule",I89)))</formula>
    </cfRule>
    <cfRule type="containsText" dxfId="1136" priority="1390" operator="containsText" text="Off Target">
      <formula>NOT(ISERROR(SEARCH("Off Target",I89)))</formula>
    </cfRule>
    <cfRule type="containsText" dxfId="1135" priority="1391" operator="containsText" text="In Danger of Falling Behind Target">
      <formula>NOT(ISERROR(SEARCH("In Danger of Falling Behind Target",I89)))</formula>
    </cfRule>
    <cfRule type="containsText" dxfId="1134" priority="1392" operator="containsText" text="On Track to be Achieved">
      <formula>NOT(ISERROR(SEARCH("On Track to be Achieved",I89)))</formula>
    </cfRule>
    <cfRule type="containsText" dxfId="1133" priority="1393" operator="containsText" text="Fully Achieved">
      <formula>NOT(ISERROR(SEARCH("Fully Achieved",I89)))</formula>
    </cfRule>
    <cfRule type="containsText" dxfId="1132" priority="1394" operator="containsText" text="Update not Provided">
      <formula>NOT(ISERROR(SEARCH("Update not Provided",I89)))</formula>
    </cfRule>
    <cfRule type="containsText" dxfId="1131" priority="1395" operator="containsText" text="Not yet due">
      <formula>NOT(ISERROR(SEARCH("Not yet due",I89)))</formula>
    </cfRule>
    <cfRule type="containsText" dxfId="1130" priority="1396" operator="containsText" text="Completed Behind Schedule">
      <formula>NOT(ISERROR(SEARCH("Completed Behind Schedule",I89)))</formula>
    </cfRule>
    <cfRule type="containsText" dxfId="1129" priority="1397" operator="containsText" text="Off Target">
      <formula>NOT(ISERROR(SEARCH("Off Target",I89)))</formula>
    </cfRule>
    <cfRule type="containsText" dxfId="1128" priority="1398" operator="containsText" text="In Danger of Falling Behind Target">
      <formula>NOT(ISERROR(SEARCH("In Danger of Falling Behind Target",I89)))</formula>
    </cfRule>
    <cfRule type="containsText" dxfId="1127" priority="1399" operator="containsText" text="On Track to be Achieved">
      <formula>NOT(ISERROR(SEARCH("On Track to be Achieved",I89)))</formula>
    </cfRule>
    <cfRule type="containsText" dxfId="1126" priority="1400" operator="containsText" text="Fully Achieved">
      <formula>NOT(ISERROR(SEARCH("Fully Achieved",I89)))</formula>
    </cfRule>
    <cfRule type="containsText" dxfId="1125" priority="1401" operator="containsText" text="Fully Achieved">
      <formula>NOT(ISERROR(SEARCH("Fully Achieved",I89)))</formula>
    </cfRule>
    <cfRule type="containsText" dxfId="1124" priority="1402" operator="containsText" text="Fully Achieved">
      <formula>NOT(ISERROR(SEARCH("Fully Achieved",I89)))</formula>
    </cfRule>
    <cfRule type="containsText" dxfId="1123" priority="1403" operator="containsText" text="Deferred">
      <formula>NOT(ISERROR(SEARCH("Deferred",I89)))</formula>
    </cfRule>
    <cfRule type="containsText" dxfId="1122" priority="1404" operator="containsText" text="Deleted">
      <formula>NOT(ISERROR(SEARCH("Deleted",I89)))</formula>
    </cfRule>
    <cfRule type="containsText" dxfId="1121" priority="1405" operator="containsText" text="In Danger of Falling Behind Target">
      <formula>NOT(ISERROR(SEARCH("In Danger of Falling Behind Target",I89)))</formula>
    </cfRule>
    <cfRule type="containsText" dxfId="1120" priority="1406" operator="containsText" text="Not yet due">
      <formula>NOT(ISERROR(SEARCH("Not yet due",I89)))</formula>
    </cfRule>
    <cfRule type="containsText" dxfId="1119" priority="1407" operator="containsText" text="Update not Provided">
      <formula>NOT(ISERROR(SEARCH("Update not Provided",I89)))</formula>
    </cfRule>
  </conditionalFormatting>
  <conditionalFormatting sqref="I92:I96">
    <cfRule type="containsText" dxfId="1118" priority="1336" operator="containsText" text="On track to be achieved">
      <formula>NOT(ISERROR(SEARCH("On track to be achieved",I92)))</formula>
    </cfRule>
    <cfRule type="containsText" dxfId="1117" priority="1337" operator="containsText" text="Deferred">
      <formula>NOT(ISERROR(SEARCH("Deferred",I92)))</formula>
    </cfRule>
    <cfRule type="containsText" dxfId="1116" priority="1338" operator="containsText" text="Deleted">
      <formula>NOT(ISERROR(SEARCH("Deleted",I92)))</formula>
    </cfRule>
    <cfRule type="containsText" dxfId="1115" priority="1339" operator="containsText" text="In Danger of Falling Behind Target">
      <formula>NOT(ISERROR(SEARCH("In Danger of Falling Behind Target",I92)))</formula>
    </cfRule>
    <cfRule type="containsText" dxfId="1114" priority="1340" operator="containsText" text="Not yet due">
      <formula>NOT(ISERROR(SEARCH("Not yet due",I92)))</formula>
    </cfRule>
    <cfRule type="containsText" dxfId="1113" priority="1341" operator="containsText" text="Update not Provided">
      <formula>NOT(ISERROR(SEARCH("Update not Provided",I92)))</formula>
    </cfRule>
    <cfRule type="containsText" dxfId="1112" priority="1342" operator="containsText" text="Not yet due">
      <formula>NOT(ISERROR(SEARCH("Not yet due",I92)))</formula>
    </cfRule>
    <cfRule type="containsText" dxfId="1111" priority="1343" operator="containsText" text="Completed Behind Schedule">
      <formula>NOT(ISERROR(SEARCH("Completed Behind Schedule",I92)))</formula>
    </cfRule>
    <cfRule type="containsText" dxfId="1110" priority="1344" operator="containsText" text="Off Target">
      <formula>NOT(ISERROR(SEARCH("Off Target",I92)))</formula>
    </cfRule>
    <cfRule type="containsText" dxfId="1109" priority="1345" operator="containsText" text="On Track to be Achieved">
      <formula>NOT(ISERROR(SEARCH("On Track to be Achieved",I92)))</formula>
    </cfRule>
    <cfRule type="containsText" dxfId="1108" priority="1346" operator="containsText" text="Fully Achieved">
      <formula>NOT(ISERROR(SEARCH("Fully Achieved",I92)))</formula>
    </cfRule>
    <cfRule type="containsText" dxfId="1107" priority="1347" operator="containsText" text="Not yet due">
      <formula>NOT(ISERROR(SEARCH("Not yet due",I92)))</formula>
    </cfRule>
    <cfRule type="containsText" dxfId="1106" priority="1348" operator="containsText" text="Not Yet Due">
      <formula>NOT(ISERROR(SEARCH("Not Yet Due",I92)))</formula>
    </cfRule>
    <cfRule type="containsText" dxfId="1105" priority="1349" operator="containsText" text="Deferred">
      <formula>NOT(ISERROR(SEARCH("Deferred",I92)))</formula>
    </cfRule>
    <cfRule type="containsText" dxfId="1104" priority="1350" operator="containsText" text="Deleted">
      <formula>NOT(ISERROR(SEARCH("Deleted",I92)))</formula>
    </cfRule>
    <cfRule type="containsText" dxfId="1103" priority="1351" operator="containsText" text="In Danger of Falling Behind Target">
      <formula>NOT(ISERROR(SEARCH("In Danger of Falling Behind Target",I92)))</formula>
    </cfRule>
    <cfRule type="containsText" dxfId="1102" priority="1352" operator="containsText" text="Not yet due">
      <formula>NOT(ISERROR(SEARCH("Not yet due",I92)))</formula>
    </cfRule>
    <cfRule type="containsText" dxfId="1101" priority="1353" operator="containsText" text="Completed Behind Schedule">
      <formula>NOT(ISERROR(SEARCH("Completed Behind Schedule",I92)))</formula>
    </cfRule>
    <cfRule type="containsText" dxfId="1100" priority="1354" operator="containsText" text="Off Target">
      <formula>NOT(ISERROR(SEARCH("Off Target",I92)))</formula>
    </cfRule>
    <cfRule type="containsText" dxfId="1099" priority="1355" operator="containsText" text="In Danger of Falling Behind Target">
      <formula>NOT(ISERROR(SEARCH("In Danger of Falling Behind Target",I92)))</formula>
    </cfRule>
    <cfRule type="containsText" dxfId="1098" priority="1356" operator="containsText" text="On Track to be Achieved">
      <formula>NOT(ISERROR(SEARCH("On Track to be Achieved",I92)))</formula>
    </cfRule>
    <cfRule type="containsText" dxfId="1097" priority="1357" operator="containsText" text="Fully Achieved">
      <formula>NOT(ISERROR(SEARCH("Fully Achieved",I92)))</formula>
    </cfRule>
    <cfRule type="containsText" dxfId="1096" priority="1358" operator="containsText" text="Update not Provided">
      <formula>NOT(ISERROR(SEARCH("Update not Provided",I92)))</formula>
    </cfRule>
    <cfRule type="containsText" dxfId="1095" priority="1359" operator="containsText" text="Not yet due">
      <formula>NOT(ISERROR(SEARCH("Not yet due",I92)))</formula>
    </cfRule>
    <cfRule type="containsText" dxfId="1094" priority="1360" operator="containsText" text="Completed Behind Schedule">
      <formula>NOT(ISERROR(SEARCH("Completed Behind Schedule",I92)))</formula>
    </cfRule>
    <cfRule type="containsText" dxfId="1093" priority="1361" operator="containsText" text="Off Target">
      <formula>NOT(ISERROR(SEARCH("Off Target",I92)))</formula>
    </cfRule>
    <cfRule type="containsText" dxfId="1092" priority="1362" operator="containsText" text="In Danger of Falling Behind Target">
      <formula>NOT(ISERROR(SEARCH("In Danger of Falling Behind Target",I92)))</formula>
    </cfRule>
    <cfRule type="containsText" dxfId="1091" priority="1363" operator="containsText" text="On Track to be Achieved">
      <formula>NOT(ISERROR(SEARCH("On Track to be Achieved",I92)))</formula>
    </cfRule>
    <cfRule type="containsText" dxfId="1090" priority="1364" operator="containsText" text="Fully Achieved">
      <formula>NOT(ISERROR(SEARCH("Fully Achieved",I92)))</formula>
    </cfRule>
    <cfRule type="containsText" dxfId="1089" priority="1365" operator="containsText" text="Fully Achieved">
      <formula>NOT(ISERROR(SEARCH("Fully Achieved",I92)))</formula>
    </cfRule>
    <cfRule type="containsText" dxfId="1088" priority="1366" operator="containsText" text="Fully Achieved">
      <formula>NOT(ISERROR(SEARCH("Fully Achieved",I92)))</formula>
    </cfRule>
    <cfRule type="containsText" dxfId="1087" priority="1367" operator="containsText" text="Deferred">
      <formula>NOT(ISERROR(SEARCH("Deferred",I92)))</formula>
    </cfRule>
    <cfRule type="containsText" dxfId="1086" priority="1368" operator="containsText" text="Deleted">
      <formula>NOT(ISERROR(SEARCH("Deleted",I92)))</formula>
    </cfRule>
    <cfRule type="containsText" dxfId="1085" priority="1369" operator="containsText" text="In Danger of Falling Behind Target">
      <formula>NOT(ISERROR(SEARCH("In Danger of Falling Behind Target",I92)))</formula>
    </cfRule>
    <cfRule type="containsText" dxfId="1084" priority="1370" operator="containsText" text="Not yet due">
      <formula>NOT(ISERROR(SEARCH("Not yet due",I92)))</formula>
    </cfRule>
    <cfRule type="containsText" dxfId="1083" priority="1371" operator="containsText" text="Update not Provided">
      <formula>NOT(ISERROR(SEARCH("Update not Provided",I92)))</formula>
    </cfRule>
  </conditionalFormatting>
  <conditionalFormatting sqref="I97:I98">
    <cfRule type="containsText" dxfId="1082" priority="1300" operator="containsText" text="On track to be achieved">
      <formula>NOT(ISERROR(SEARCH("On track to be achieved",I97)))</formula>
    </cfRule>
    <cfRule type="containsText" dxfId="1081" priority="1301" operator="containsText" text="Deferred">
      <formula>NOT(ISERROR(SEARCH("Deferred",I97)))</formula>
    </cfRule>
    <cfRule type="containsText" dxfId="1080" priority="1302" operator="containsText" text="Deleted">
      <formula>NOT(ISERROR(SEARCH("Deleted",I97)))</formula>
    </cfRule>
    <cfRule type="containsText" dxfId="1079" priority="1303" operator="containsText" text="In Danger of Falling Behind Target">
      <formula>NOT(ISERROR(SEARCH("In Danger of Falling Behind Target",I97)))</formula>
    </cfRule>
    <cfRule type="containsText" dxfId="1078" priority="1304" operator="containsText" text="Not yet due">
      <formula>NOT(ISERROR(SEARCH("Not yet due",I97)))</formula>
    </cfRule>
    <cfRule type="containsText" dxfId="1077" priority="1305" operator="containsText" text="Update not Provided">
      <formula>NOT(ISERROR(SEARCH("Update not Provided",I97)))</formula>
    </cfRule>
    <cfRule type="containsText" dxfId="1076" priority="1306" operator="containsText" text="Not yet due">
      <formula>NOT(ISERROR(SEARCH("Not yet due",I97)))</formula>
    </cfRule>
    <cfRule type="containsText" dxfId="1075" priority="1307" operator="containsText" text="Completed Behind Schedule">
      <formula>NOT(ISERROR(SEARCH("Completed Behind Schedule",I97)))</formula>
    </cfRule>
    <cfRule type="containsText" dxfId="1074" priority="1308" operator="containsText" text="Off Target">
      <formula>NOT(ISERROR(SEARCH("Off Target",I97)))</formula>
    </cfRule>
    <cfRule type="containsText" dxfId="1073" priority="1309" operator="containsText" text="On Track to be Achieved">
      <formula>NOT(ISERROR(SEARCH("On Track to be Achieved",I97)))</formula>
    </cfRule>
    <cfRule type="containsText" dxfId="1072" priority="1310" operator="containsText" text="Fully Achieved">
      <formula>NOT(ISERROR(SEARCH("Fully Achieved",I97)))</formula>
    </cfRule>
    <cfRule type="containsText" dxfId="1071" priority="1311" operator="containsText" text="Not yet due">
      <formula>NOT(ISERROR(SEARCH("Not yet due",I97)))</formula>
    </cfRule>
    <cfRule type="containsText" dxfId="1070" priority="1312" operator="containsText" text="Not Yet Due">
      <formula>NOT(ISERROR(SEARCH("Not Yet Due",I97)))</formula>
    </cfRule>
    <cfRule type="containsText" dxfId="1069" priority="1313" operator="containsText" text="Deferred">
      <formula>NOT(ISERROR(SEARCH("Deferred",I97)))</formula>
    </cfRule>
    <cfRule type="containsText" dxfId="1068" priority="1314" operator="containsText" text="Deleted">
      <formula>NOT(ISERROR(SEARCH("Deleted",I97)))</formula>
    </cfRule>
    <cfRule type="containsText" dxfId="1067" priority="1315" operator="containsText" text="In Danger of Falling Behind Target">
      <formula>NOT(ISERROR(SEARCH("In Danger of Falling Behind Target",I97)))</formula>
    </cfRule>
    <cfRule type="containsText" dxfId="1066" priority="1316" operator="containsText" text="Not yet due">
      <formula>NOT(ISERROR(SEARCH("Not yet due",I97)))</formula>
    </cfRule>
    <cfRule type="containsText" dxfId="1065" priority="1317" operator="containsText" text="Completed Behind Schedule">
      <formula>NOT(ISERROR(SEARCH("Completed Behind Schedule",I97)))</formula>
    </cfRule>
    <cfRule type="containsText" dxfId="1064" priority="1318" operator="containsText" text="Off Target">
      <formula>NOT(ISERROR(SEARCH("Off Target",I97)))</formula>
    </cfRule>
    <cfRule type="containsText" dxfId="1063" priority="1319" operator="containsText" text="In Danger of Falling Behind Target">
      <formula>NOT(ISERROR(SEARCH("In Danger of Falling Behind Target",I97)))</formula>
    </cfRule>
    <cfRule type="containsText" dxfId="1062" priority="1320" operator="containsText" text="On Track to be Achieved">
      <formula>NOT(ISERROR(SEARCH("On Track to be Achieved",I97)))</formula>
    </cfRule>
    <cfRule type="containsText" dxfId="1061" priority="1321" operator="containsText" text="Fully Achieved">
      <formula>NOT(ISERROR(SEARCH("Fully Achieved",I97)))</formula>
    </cfRule>
    <cfRule type="containsText" dxfId="1060" priority="1322" operator="containsText" text="Update not Provided">
      <formula>NOT(ISERROR(SEARCH("Update not Provided",I97)))</formula>
    </cfRule>
    <cfRule type="containsText" dxfId="1059" priority="1323" operator="containsText" text="Not yet due">
      <formula>NOT(ISERROR(SEARCH("Not yet due",I97)))</formula>
    </cfRule>
    <cfRule type="containsText" dxfId="1058" priority="1324" operator="containsText" text="Completed Behind Schedule">
      <formula>NOT(ISERROR(SEARCH("Completed Behind Schedule",I97)))</formula>
    </cfRule>
    <cfRule type="containsText" dxfId="1057" priority="1325" operator="containsText" text="Off Target">
      <formula>NOT(ISERROR(SEARCH("Off Target",I97)))</formula>
    </cfRule>
    <cfRule type="containsText" dxfId="1056" priority="1326" operator="containsText" text="In Danger of Falling Behind Target">
      <formula>NOT(ISERROR(SEARCH("In Danger of Falling Behind Target",I97)))</formula>
    </cfRule>
    <cfRule type="containsText" dxfId="1055" priority="1327" operator="containsText" text="On Track to be Achieved">
      <formula>NOT(ISERROR(SEARCH("On Track to be Achieved",I97)))</formula>
    </cfRule>
    <cfRule type="containsText" dxfId="1054" priority="1328" operator="containsText" text="Fully Achieved">
      <formula>NOT(ISERROR(SEARCH("Fully Achieved",I97)))</formula>
    </cfRule>
    <cfRule type="containsText" dxfId="1053" priority="1329" operator="containsText" text="Fully Achieved">
      <formula>NOT(ISERROR(SEARCH("Fully Achieved",I97)))</formula>
    </cfRule>
    <cfRule type="containsText" dxfId="1052" priority="1330" operator="containsText" text="Fully Achieved">
      <formula>NOT(ISERROR(SEARCH("Fully Achieved",I97)))</formula>
    </cfRule>
    <cfRule type="containsText" dxfId="1051" priority="1331" operator="containsText" text="Deferred">
      <formula>NOT(ISERROR(SEARCH("Deferred",I97)))</formula>
    </cfRule>
    <cfRule type="containsText" dxfId="1050" priority="1332" operator="containsText" text="Deleted">
      <formula>NOT(ISERROR(SEARCH("Deleted",I97)))</formula>
    </cfRule>
    <cfRule type="containsText" dxfId="1049" priority="1333" operator="containsText" text="In Danger of Falling Behind Target">
      <formula>NOT(ISERROR(SEARCH("In Danger of Falling Behind Target",I97)))</formula>
    </cfRule>
    <cfRule type="containsText" dxfId="1048" priority="1334" operator="containsText" text="Not yet due">
      <formula>NOT(ISERROR(SEARCH("Not yet due",I97)))</formula>
    </cfRule>
    <cfRule type="containsText" dxfId="1047" priority="1335" operator="containsText" text="Update not Provided">
      <formula>NOT(ISERROR(SEARCH("Update not Provided",I97)))</formula>
    </cfRule>
  </conditionalFormatting>
  <conditionalFormatting sqref="I99:I109">
    <cfRule type="containsText" dxfId="1046" priority="1264" operator="containsText" text="On track to be achieved">
      <formula>NOT(ISERROR(SEARCH("On track to be achieved",I99)))</formula>
    </cfRule>
    <cfRule type="containsText" dxfId="1045" priority="1265" operator="containsText" text="Deferred">
      <formula>NOT(ISERROR(SEARCH("Deferred",I99)))</formula>
    </cfRule>
    <cfRule type="containsText" dxfId="1044" priority="1266" operator="containsText" text="Deleted">
      <formula>NOT(ISERROR(SEARCH("Deleted",I99)))</formula>
    </cfRule>
    <cfRule type="containsText" dxfId="1043" priority="1267" operator="containsText" text="In Danger of Falling Behind Target">
      <formula>NOT(ISERROR(SEARCH("In Danger of Falling Behind Target",I99)))</formula>
    </cfRule>
    <cfRule type="containsText" dxfId="1042" priority="1268" operator="containsText" text="Not yet due">
      <formula>NOT(ISERROR(SEARCH("Not yet due",I99)))</formula>
    </cfRule>
    <cfRule type="containsText" dxfId="1041" priority="1269" operator="containsText" text="Update not Provided">
      <formula>NOT(ISERROR(SEARCH("Update not Provided",I99)))</formula>
    </cfRule>
    <cfRule type="containsText" dxfId="1040" priority="1270" operator="containsText" text="Not yet due">
      <formula>NOT(ISERROR(SEARCH("Not yet due",I99)))</formula>
    </cfRule>
    <cfRule type="containsText" dxfId="1039" priority="1271" operator="containsText" text="Completed Behind Schedule">
      <formula>NOT(ISERROR(SEARCH("Completed Behind Schedule",I99)))</formula>
    </cfRule>
    <cfRule type="containsText" dxfId="1038" priority="1272" operator="containsText" text="Off Target">
      <formula>NOT(ISERROR(SEARCH("Off Target",I99)))</formula>
    </cfRule>
    <cfRule type="containsText" dxfId="1037" priority="1273" operator="containsText" text="On Track to be Achieved">
      <formula>NOT(ISERROR(SEARCH("On Track to be Achieved",I99)))</formula>
    </cfRule>
    <cfRule type="containsText" dxfId="1036" priority="1274" operator="containsText" text="Fully Achieved">
      <formula>NOT(ISERROR(SEARCH("Fully Achieved",I99)))</formula>
    </cfRule>
    <cfRule type="containsText" dxfId="1035" priority="1275" operator="containsText" text="Not yet due">
      <formula>NOT(ISERROR(SEARCH("Not yet due",I99)))</formula>
    </cfRule>
    <cfRule type="containsText" dxfId="1034" priority="1276" operator="containsText" text="Not Yet Due">
      <formula>NOT(ISERROR(SEARCH("Not Yet Due",I99)))</formula>
    </cfRule>
    <cfRule type="containsText" dxfId="1033" priority="1277" operator="containsText" text="Deferred">
      <formula>NOT(ISERROR(SEARCH("Deferred",I99)))</formula>
    </cfRule>
    <cfRule type="containsText" dxfId="1032" priority="1278" operator="containsText" text="Deleted">
      <formula>NOT(ISERROR(SEARCH("Deleted",I99)))</formula>
    </cfRule>
    <cfRule type="containsText" dxfId="1031" priority="1279" operator="containsText" text="In Danger of Falling Behind Target">
      <formula>NOT(ISERROR(SEARCH("In Danger of Falling Behind Target",I99)))</formula>
    </cfRule>
    <cfRule type="containsText" dxfId="1030" priority="1280" operator="containsText" text="Not yet due">
      <formula>NOT(ISERROR(SEARCH("Not yet due",I99)))</formula>
    </cfRule>
    <cfRule type="containsText" dxfId="1029" priority="1281" operator="containsText" text="Completed Behind Schedule">
      <formula>NOT(ISERROR(SEARCH("Completed Behind Schedule",I99)))</formula>
    </cfRule>
    <cfRule type="containsText" dxfId="1028" priority="1282" operator="containsText" text="Off Target">
      <formula>NOT(ISERROR(SEARCH("Off Target",I99)))</formula>
    </cfRule>
    <cfRule type="containsText" dxfId="1027" priority="1283" operator="containsText" text="In Danger of Falling Behind Target">
      <formula>NOT(ISERROR(SEARCH("In Danger of Falling Behind Target",I99)))</formula>
    </cfRule>
    <cfRule type="containsText" dxfId="1026" priority="1284" operator="containsText" text="On Track to be Achieved">
      <formula>NOT(ISERROR(SEARCH("On Track to be Achieved",I99)))</formula>
    </cfRule>
    <cfRule type="containsText" dxfId="1025" priority="1285" operator="containsText" text="Fully Achieved">
      <formula>NOT(ISERROR(SEARCH("Fully Achieved",I99)))</formula>
    </cfRule>
    <cfRule type="containsText" dxfId="1024" priority="1286" operator="containsText" text="Update not Provided">
      <formula>NOT(ISERROR(SEARCH("Update not Provided",I99)))</formula>
    </cfRule>
    <cfRule type="containsText" dxfId="1023" priority="1287" operator="containsText" text="Not yet due">
      <formula>NOT(ISERROR(SEARCH("Not yet due",I99)))</formula>
    </cfRule>
    <cfRule type="containsText" dxfId="1022" priority="1288" operator="containsText" text="Completed Behind Schedule">
      <formula>NOT(ISERROR(SEARCH("Completed Behind Schedule",I99)))</formula>
    </cfRule>
    <cfRule type="containsText" dxfId="1021" priority="1289" operator="containsText" text="Off Target">
      <formula>NOT(ISERROR(SEARCH("Off Target",I99)))</formula>
    </cfRule>
    <cfRule type="containsText" dxfId="1020" priority="1290" operator="containsText" text="In Danger of Falling Behind Target">
      <formula>NOT(ISERROR(SEARCH("In Danger of Falling Behind Target",I99)))</formula>
    </cfRule>
    <cfRule type="containsText" dxfId="1019" priority="1291" operator="containsText" text="On Track to be Achieved">
      <formula>NOT(ISERROR(SEARCH("On Track to be Achieved",I99)))</formula>
    </cfRule>
    <cfRule type="containsText" dxfId="1018" priority="1292" operator="containsText" text="Fully Achieved">
      <formula>NOT(ISERROR(SEARCH("Fully Achieved",I99)))</formula>
    </cfRule>
    <cfRule type="containsText" dxfId="1017" priority="1293" operator="containsText" text="Fully Achieved">
      <formula>NOT(ISERROR(SEARCH("Fully Achieved",I99)))</formula>
    </cfRule>
    <cfRule type="containsText" dxfId="1016" priority="1294" operator="containsText" text="Fully Achieved">
      <formula>NOT(ISERROR(SEARCH("Fully Achieved",I99)))</formula>
    </cfRule>
    <cfRule type="containsText" dxfId="1015" priority="1295" operator="containsText" text="Deferred">
      <formula>NOT(ISERROR(SEARCH("Deferred",I99)))</formula>
    </cfRule>
    <cfRule type="containsText" dxfId="1014" priority="1296" operator="containsText" text="Deleted">
      <formula>NOT(ISERROR(SEARCH("Deleted",I99)))</formula>
    </cfRule>
    <cfRule type="containsText" dxfId="1013" priority="1297" operator="containsText" text="In Danger of Falling Behind Target">
      <formula>NOT(ISERROR(SEARCH("In Danger of Falling Behind Target",I99)))</formula>
    </cfRule>
    <cfRule type="containsText" dxfId="1012" priority="1298" operator="containsText" text="Not yet due">
      <formula>NOT(ISERROR(SEARCH("Not yet due",I99)))</formula>
    </cfRule>
    <cfRule type="containsText" dxfId="1011" priority="1299" operator="containsText" text="Update not Provided">
      <formula>NOT(ISERROR(SEARCH("Update not Provided",I99)))</formula>
    </cfRule>
  </conditionalFormatting>
  <conditionalFormatting sqref="J3:J110">
    <cfRule type="containsText" dxfId="1010" priority="1189" operator="containsText" text="reasonable tolerance">
      <formula>NOT(ISERROR(SEARCH("reasonable tolerance",J3)))</formula>
    </cfRule>
    <cfRule type="containsText" dxfId="1009" priority="1190" operator="containsText" text="significantly after">
      <formula>NOT(ISERROR(SEARCH("significantly after",J3)))</formula>
    </cfRule>
    <cfRule type="containsText" dxfId="1008" priority="1191" operator="containsText" text="10% tolerance">
      <formula>NOT(ISERROR(SEARCH("10% tolerance",J3)))</formula>
    </cfRule>
  </conditionalFormatting>
  <conditionalFormatting sqref="E4:E6">
    <cfRule type="containsText" dxfId="1007" priority="1153" operator="containsText" text="On track to be achieved">
      <formula>NOT(ISERROR(SEARCH("On track to be achieved",E4)))</formula>
    </cfRule>
    <cfRule type="containsText" dxfId="1006" priority="1154" operator="containsText" text="Deferred">
      <formula>NOT(ISERROR(SEARCH("Deferred",E4)))</formula>
    </cfRule>
    <cfRule type="containsText" dxfId="1005" priority="1155" operator="containsText" text="Deleted">
      <formula>NOT(ISERROR(SEARCH("Deleted",E4)))</formula>
    </cfRule>
    <cfRule type="containsText" dxfId="1004" priority="1156" operator="containsText" text="In Danger of Falling Behind Target">
      <formula>NOT(ISERROR(SEARCH("In Danger of Falling Behind Target",E4)))</formula>
    </cfRule>
    <cfRule type="containsText" dxfId="1003" priority="1157" operator="containsText" text="Not yet due">
      <formula>NOT(ISERROR(SEARCH("Not yet due",E4)))</formula>
    </cfRule>
    <cfRule type="containsText" dxfId="1002" priority="1158" operator="containsText" text="Update not Provided">
      <formula>NOT(ISERROR(SEARCH("Update not Provided",E4)))</formula>
    </cfRule>
    <cfRule type="containsText" dxfId="1001" priority="1159" operator="containsText" text="Not yet due">
      <formula>NOT(ISERROR(SEARCH("Not yet due",E4)))</formula>
    </cfRule>
    <cfRule type="containsText" dxfId="1000" priority="1160" operator="containsText" text="Completed Behind Schedule">
      <formula>NOT(ISERROR(SEARCH("Completed Behind Schedule",E4)))</formula>
    </cfRule>
    <cfRule type="containsText" dxfId="999" priority="1161" operator="containsText" text="Off Target">
      <formula>NOT(ISERROR(SEARCH("Off Target",E4)))</formula>
    </cfRule>
    <cfRule type="containsText" dxfId="998" priority="1162" operator="containsText" text="On Track to be Achieved">
      <formula>NOT(ISERROR(SEARCH("On Track to be Achieved",E4)))</formula>
    </cfRule>
    <cfRule type="containsText" dxfId="997" priority="1163" operator="containsText" text="Fully Achieved">
      <formula>NOT(ISERROR(SEARCH("Fully Achieved",E4)))</formula>
    </cfRule>
    <cfRule type="containsText" dxfId="996" priority="1164" operator="containsText" text="Not yet due">
      <formula>NOT(ISERROR(SEARCH("Not yet due",E4)))</formula>
    </cfRule>
    <cfRule type="containsText" dxfId="995" priority="1165" operator="containsText" text="Not Yet Due">
      <formula>NOT(ISERROR(SEARCH("Not Yet Due",E4)))</formula>
    </cfRule>
    <cfRule type="containsText" dxfId="994" priority="1166" operator="containsText" text="Deferred">
      <formula>NOT(ISERROR(SEARCH("Deferred",E4)))</formula>
    </cfRule>
    <cfRule type="containsText" dxfId="993" priority="1167" operator="containsText" text="Deleted">
      <formula>NOT(ISERROR(SEARCH("Deleted",E4)))</formula>
    </cfRule>
    <cfRule type="containsText" dxfId="992" priority="1168" operator="containsText" text="In Danger of Falling Behind Target">
      <formula>NOT(ISERROR(SEARCH("In Danger of Falling Behind Target",E4)))</formula>
    </cfRule>
    <cfRule type="containsText" dxfId="991" priority="1169" operator="containsText" text="Not yet due">
      <formula>NOT(ISERROR(SEARCH("Not yet due",E4)))</formula>
    </cfRule>
    <cfRule type="containsText" dxfId="990" priority="1170" operator="containsText" text="Completed Behind Schedule">
      <formula>NOT(ISERROR(SEARCH("Completed Behind Schedule",E4)))</formula>
    </cfRule>
    <cfRule type="containsText" dxfId="989" priority="1171" operator="containsText" text="Off Target">
      <formula>NOT(ISERROR(SEARCH("Off Target",E4)))</formula>
    </cfRule>
    <cfRule type="containsText" dxfId="988" priority="1172" operator="containsText" text="In Danger of Falling Behind Target">
      <formula>NOT(ISERROR(SEARCH("In Danger of Falling Behind Target",E4)))</formula>
    </cfRule>
    <cfRule type="containsText" dxfId="987" priority="1173" operator="containsText" text="On Track to be Achieved">
      <formula>NOT(ISERROR(SEARCH("On Track to be Achieved",E4)))</formula>
    </cfRule>
    <cfRule type="containsText" dxfId="986" priority="1174" operator="containsText" text="Fully Achieved">
      <formula>NOT(ISERROR(SEARCH("Fully Achieved",E4)))</formula>
    </cfRule>
    <cfRule type="containsText" dxfId="985" priority="1175" operator="containsText" text="Update not Provided">
      <formula>NOT(ISERROR(SEARCH("Update not Provided",E4)))</formula>
    </cfRule>
    <cfRule type="containsText" dxfId="984" priority="1176" operator="containsText" text="Not yet due">
      <formula>NOT(ISERROR(SEARCH("Not yet due",E4)))</formula>
    </cfRule>
    <cfRule type="containsText" dxfId="983" priority="1177" operator="containsText" text="Completed Behind Schedule">
      <formula>NOT(ISERROR(SEARCH("Completed Behind Schedule",E4)))</formula>
    </cfRule>
    <cfRule type="containsText" dxfId="982" priority="1178" operator="containsText" text="Off Target">
      <formula>NOT(ISERROR(SEARCH("Off Target",E4)))</formula>
    </cfRule>
    <cfRule type="containsText" dxfId="981" priority="1179" operator="containsText" text="In Danger of Falling Behind Target">
      <formula>NOT(ISERROR(SEARCH("In Danger of Falling Behind Target",E4)))</formula>
    </cfRule>
    <cfRule type="containsText" dxfId="980" priority="1180" operator="containsText" text="On Track to be Achieved">
      <formula>NOT(ISERROR(SEARCH("On Track to be Achieved",E4)))</formula>
    </cfRule>
    <cfRule type="containsText" dxfId="979" priority="1181" operator="containsText" text="Fully Achieved">
      <formula>NOT(ISERROR(SEARCH("Fully Achieved",E4)))</formula>
    </cfRule>
    <cfRule type="containsText" dxfId="978" priority="1182" operator="containsText" text="Fully Achieved">
      <formula>NOT(ISERROR(SEARCH("Fully Achieved",E4)))</formula>
    </cfRule>
    <cfRule type="containsText" dxfId="977" priority="1183" operator="containsText" text="Fully Achieved">
      <formula>NOT(ISERROR(SEARCH("Fully Achieved",E4)))</formula>
    </cfRule>
    <cfRule type="containsText" dxfId="976" priority="1184" operator="containsText" text="Deferred">
      <formula>NOT(ISERROR(SEARCH("Deferred",E4)))</formula>
    </cfRule>
    <cfRule type="containsText" dxfId="975" priority="1185" operator="containsText" text="Deleted">
      <formula>NOT(ISERROR(SEARCH("Deleted",E4)))</formula>
    </cfRule>
    <cfRule type="containsText" dxfId="974" priority="1186" operator="containsText" text="In Danger of Falling Behind Target">
      <formula>NOT(ISERROR(SEARCH("In Danger of Falling Behind Target",E4)))</formula>
    </cfRule>
    <cfRule type="containsText" dxfId="973" priority="1187" operator="containsText" text="Not yet due">
      <formula>NOT(ISERROR(SEARCH("Not yet due",E4)))</formula>
    </cfRule>
    <cfRule type="containsText" dxfId="972" priority="1188" operator="containsText" text="Update not Provided">
      <formula>NOT(ISERROR(SEARCH("Update not Provided",E4)))</formula>
    </cfRule>
  </conditionalFormatting>
  <conditionalFormatting sqref="E8">
    <cfRule type="containsText" dxfId="971" priority="1117" operator="containsText" text="On track to be achieved">
      <formula>NOT(ISERROR(SEARCH("On track to be achieved",E8)))</formula>
    </cfRule>
    <cfRule type="containsText" dxfId="970" priority="1118" operator="containsText" text="Deferred">
      <formula>NOT(ISERROR(SEARCH("Deferred",E8)))</formula>
    </cfRule>
    <cfRule type="containsText" dxfId="969" priority="1119" operator="containsText" text="Deleted">
      <formula>NOT(ISERROR(SEARCH("Deleted",E8)))</formula>
    </cfRule>
    <cfRule type="containsText" dxfId="968" priority="1120" operator="containsText" text="In Danger of Falling Behind Target">
      <formula>NOT(ISERROR(SEARCH("In Danger of Falling Behind Target",E8)))</formula>
    </cfRule>
    <cfRule type="containsText" dxfId="967" priority="1121" operator="containsText" text="Not yet due">
      <formula>NOT(ISERROR(SEARCH("Not yet due",E8)))</formula>
    </cfRule>
    <cfRule type="containsText" dxfId="966" priority="1122" operator="containsText" text="Update not Provided">
      <formula>NOT(ISERROR(SEARCH("Update not Provided",E8)))</formula>
    </cfRule>
    <cfRule type="containsText" dxfId="965" priority="1123" operator="containsText" text="Not yet due">
      <formula>NOT(ISERROR(SEARCH("Not yet due",E8)))</formula>
    </cfRule>
    <cfRule type="containsText" dxfId="964" priority="1124" operator="containsText" text="Completed Behind Schedule">
      <formula>NOT(ISERROR(SEARCH("Completed Behind Schedule",E8)))</formula>
    </cfRule>
    <cfRule type="containsText" dxfId="963" priority="1125" operator="containsText" text="Off Target">
      <formula>NOT(ISERROR(SEARCH("Off Target",E8)))</formula>
    </cfRule>
    <cfRule type="containsText" dxfId="962" priority="1126" operator="containsText" text="On Track to be Achieved">
      <formula>NOT(ISERROR(SEARCH("On Track to be Achieved",E8)))</formula>
    </cfRule>
    <cfRule type="containsText" dxfId="961" priority="1127" operator="containsText" text="Fully Achieved">
      <formula>NOT(ISERROR(SEARCH("Fully Achieved",E8)))</formula>
    </cfRule>
    <cfRule type="containsText" dxfId="960" priority="1128" operator="containsText" text="Not yet due">
      <formula>NOT(ISERROR(SEARCH("Not yet due",E8)))</formula>
    </cfRule>
    <cfRule type="containsText" dxfId="959" priority="1129" operator="containsText" text="Not Yet Due">
      <formula>NOT(ISERROR(SEARCH("Not Yet Due",E8)))</formula>
    </cfRule>
    <cfRule type="containsText" dxfId="958" priority="1130" operator="containsText" text="Deferred">
      <formula>NOT(ISERROR(SEARCH("Deferred",E8)))</formula>
    </cfRule>
    <cfRule type="containsText" dxfId="957" priority="1131" operator="containsText" text="Deleted">
      <formula>NOT(ISERROR(SEARCH("Deleted",E8)))</formula>
    </cfRule>
    <cfRule type="containsText" dxfId="956" priority="1132" operator="containsText" text="In Danger of Falling Behind Target">
      <formula>NOT(ISERROR(SEARCH("In Danger of Falling Behind Target",E8)))</formula>
    </cfRule>
    <cfRule type="containsText" dxfId="955" priority="1133" operator="containsText" text="Not yet due">
      <formula>NOT(ISERROR(SEARCH("Not yet due",E8)))</formula>
    </cfRule>
    <cfRule type="containsText" dxfId="954" priority="1134" operator="containsText" text="Completed Behind Schedule">
      <formula>NOT(ISERROR(SEARCH("Completed Behind Schedule",E8)))</formula>
    </cfRule>
    <cfRule type="containsText" dxfId="953" priority="1135" operator="containsText" text="Off Target">
      <formula>NOT(ISERROR(SEARCH("Off Target",E8)))</formula>
    </cfRule>
    <cfRule type="containsText" dxfId="952" priority="1136" operator="containsText" text="In Danger of Falling Behind Target">
      <formula>NOT(ISERROR(SEARCH("In Danger of Falling Behind Target",E8)))</formula>
    </cfRule>
    <cfRule type="containsText" dxfId="951" priority="1137" operator="containsText" text="On Track to be Achieved">
      <formula>NOT(ISERROR(SEARCH("On Track to be Achieved",E8)))</formula>
    </cfRule>
    <cfRule type="containsText" dxfId="950" priority="1138" operator="containsText" text="Fully Achieved">
      <formula>NOT(ISERROR(SEARCH("Fully Achieved",E8)))</formula>
    </cfRule>
    <cfRule type="containsText" dxfId="949" priority="1139" operator="containsText" text="Update not Provided">
      <formula>NOT(ISERROR(SEARCH("Update not Provided",E8)))</formula>
    </cfRule>
    <cfRule type="containsText" dxfId="948" priority="1140" operator="containsText" text="Not yet due">
      <formula>NOT(ISERROR(SEARCH("Not yet due",E8)))</formula>
    </cfRule>
    <cfRule type="containsText" dxfId="947" priority="1141" operator="containsText" text="Completed Behind Schedule">
      <formula>NOT(ISERROR(SEARCH("Completed Behind Schedule",E8)))</formula>
    </cfRule>
    <cfRule type="containsText" dxfId="946" priority="1142" operator="containsText" text="Off Target">
      <formula>NOT(ISERROR(SEARCH("Off Target",E8)))</formula>
    </cfRule>
    <cfRule type="containsText" dxfId="945" priority="1143" operator="containsText" text="In Danger of Falling Behind Target">
      <formula>NOT(ISERROR(SEARCH("In Danger of Falling Behind Target",E8)))</formula>
    </cfRule>
    <cfRule type="containsText" dxfId="944" priority="1144" operator="containsText" text="On Track to be Achieved">
      <formula>NOT(ISERROR(SEARCH("On Track to be Achieved",E8)))</formula>
    </cfRule>
    <cfRule type="containsText" dxfId="943" priority="1145" operator="containsText" text="Fully Achieved">
      <formula>NOT(ISERROR(SEARCH("Fully Achieved",E8)))</formula>
    </cfRule>
    <cfRule type="containsText" dxfId="942" priority="1146" operator="containsText" text="Fully Achieved">
      <formula>NOT(ISERROR(SEARCH("Fully Achieved",E8)))</formula>
    </cfRule>
    <cfRule type="containsText" dxfId="941" priority="1147" operator="containsText" text="Fully Achieved">
      <formula>NOT(ISERROR(SEARCH("Fully Achieved",E8)))</formula>
    </cfRule>
    <cfRule type="containsText" dxfId="940" priority="1148" operator="containsText" text="Deferred">
      <formula>NOT(ISERROR(SEARCH("Deferred",E8)))</formula>
    </cfRule>
    <cfRule type="containsText" dxfId="939" priority="1149" operator="containsText" text="Deleted">
      <formula>NOT(ISERROR(SEARCH("Deleted",E8)))</formula>
    </cfRule>
    <cfRule type="containsText" dxfId="938" priority="1150" operator="containsText" text="In Danger of Falling Behind Target">
      <formula>NOT(ISERROR(SEARCH("In Danger of Falling Behind Target",E8)))</formula>
    </cfRule>
    <cfRule type="containsText" dxfId="937" priority="1151" operator="containsText" text="Not yet due">
      <formula>NOT(ISERROR(SEARCH("Not yet due",E8)))</formula>
    </cfRule>
    <cfRule type="containsText" dxfId="936" priority="1152" operator="containsText" text="Update not Provided">
      <formula>NOT(ISERROR(SEARCH("Update not Provided",E8)))</formula>
    </cfRule>
  </conditionalFormatting>
  <conditionalFormatting sqref="E12:E18">
    <cfRule type="containsText" dxfId="935" priority="1081" operator="containsText" text="On track to be achieved">
      <formula>NOT(ISERROR(SEARCH("On track to be achieved",E12)))</formula>
    </cfRule>
    <cfRule type="containsText" dxfId="934" priority="1082" operator="containsText" text="Deferred">
      <formula>NOT(ISERROR(SEARCH("Deferred",E12)))</formula>
    </cfRule>
    <cfRule type="containsText" dxfId="933" priority="1083" operator="containsText" text="Deleted">
      <formula>NOT(ISERROR(SEARCH("Deleted",E12)))</formula>
    </cfRule>
    <cfRule type="containsText" dxfId="932" priority="1084" operator="containsText" text="In Danger of Falling Behind Target">
      <formula>NOT(ISERROR(SEARCH("In Danger of Falling Behind Target",E12)))</formula>
    </cfRule>
    <cfRule type="containsText" dxfId="931" priority="1085" operator="containsText" text="Not yet due">
      <formula>NOT(ISERROR(SEARCH("Not yet due",E12)))</formula>
    </cfRule>
    <cfRule type="containsText" dxfId="930" priority="1086" operator="containsText" text="Update not Provided">
      <formula>NOT(ISERROR(SEARCH("Update not Provided",E12)))</formula>
    </cfRule>
    <cfRule type="containsText" dxfId="929" priority="1087" operator="containsText" text="Not yet due">
      <formula>NOT(ISERROR(SEARCH("Not yet due",E12)))</formula>
    </cfRule>
    <cfRule type="containsText" dxfId="928" priority="1088" operator="containsText" text="Completed Behind Schedule">
      <formula>NOT(ISERROR(SEARCH("Completed Behind Schedule",E12)))</formula>
    </cfRule>
    <cfRule type="containsText" dxfId="927" priority="1089" operator="containsText" text="Off Target">
      <formula>NOT(ISERROR(SEARCH("Off Target",E12)))</formula>
    </cfRule>
    <cfRule type="containsText" dxfId="926" priority="1090" operator="containsText" text="On Track to be Achieved">
      <formula>NOT(ISERROR(SEARCH("On Track to be Achieved",E12)))</formula>
    </cfRule>
    <cfRule type="containsText" dxfId="925" priority="1091" operator="containsText" text="Fully Achieved">
      <formula>NOT(ISERROR(SEARCH("Fully Achieved",E12)))</formula>
    </cfRule>
    <cfRule type="containsText" dxfId="924" priority="1092" operator="containsText" text="Not yet due">
      <formula>NOT(ISERROR(SEARCH("Not yet due",E12)))</formula>
    </cfRule>
    <cfRule type="containsText" dxfId="923" priority="1093" operator="containsText" text="Not Yet Due">
      <formula>NOT(ISERROR(SEARCH("Not Yet Due",E12)))</formula>
    </cfRule>
    <cfRule type="containsText" dxfId="922" priority="1094" operator="containsText" text="Deferred">
      <formula>NOT(ISERROR(SEARCH("Deferred",E12)))</formula>
    </cfRule>
    <cfRule type="containsText" dxfId="921" priority="1095" operator="containsText" text="Deleted">
      <formula>NOT(ISERROR(SEARCH("Deleted",E12)))</formula>
    </cfRule>
    <cfRule type="containsText" dxfId="920" priority="1096" operator="containsText" text="In Danger of Falling Behind Target">
      <formula>NOT(ISERROR(SEARCH("In Danger of Falling Behind Target",E12)))</formula>
    </cfRule>
    <cfRule type="containsText" dxfId="919" priority="1097" operator="containsText" text="Not yet due">
      <formula>NOT(ISERROR(SEARCH("Not yet due",E12)))</formula>
    </cfRule>
    <cfRule type="containsText" dxfId="918" priority="1098" operator="containsText" text="Completed Behind Schedule">
      <formula>NOT(ISERROR(SEARCH("Completed Behind Schedule",E12)))</formula>
    </cfRule>
    <cfRule type="containsText" dxfId="917" priority="1099" operator="containsText" text="Off Target">
      <formula>NOT(ISERROR(SEARCH("Off Target",E12)))</formula>
    </cfRule>
    <cfRule type="containsText" dxfId="916" priority="1100" operator="containsText" text="In Danger of Falling Behind Target">
      <formula>NOT(ISERROR(SEARCH("In Danger of Falling Behind Target",E12)))</formula>
    </cfRule>
    <cfRule type="containsText" dxfId="915" priority="1101" operator="containsText" text="On Track to be Achieved">
      <formula>NOT(ISERROR(SEARCH("On Track to be Achieved",E12)))</formula>
    </cfRule>
    <cfRule type="containsText" dxfId="914" priority="1102" operator="containsText" text="Fully Achieved">
      <formula>NOT(ISERROR(SEARCH("Fully Achieved",E12)))</formula>
    </cfRule>
    <cfRule type="containsText" dxfId="913" priority="1103" operator="containsText" text="Update not Provided">
      <formula>NOT(ISERROR(SEARCH("Update not Provided",E12)))</formula>
    </cfRule>
    <cfRule type="containsText" dxfId="912" priority="1104" operator="containsText" text="Not yet due">
      <formula>NOT(ISERROR(SEARCH("Not yet due",E12)))</formula>
    </cfRule>
    <cfRule type="containsText" dxfId="911" priority="1105" operator="containsText" text="Completed Behind Schedule">
      <formula>NOT(ISERROR(SEARCH("Completed Behind Schedule",E12)))</formula>
    </cfRule>
    <cfRule type="containsText" dxfId="910" priority="1106" operator="containsText" text="Off Target">
      <formula>NOT(ISERROR(SEARCH("Off Target",E12)))</formula>
    </cfRule>
    <cfRule type="containsText" dxfId="909" priority="1107" operator="containsText" text="In Danger of Falling Behind Target">
      <formula>NOT(ISERROR(SEARCH("In Danger of Falling Behind Target",E12)))</formula>
    </cfRule>
    <cfRule type="containsText" dxfId="908" priority="1108" operator="containsText" text="On Track to be Achieved">
      <formula>NOT(ISERROR(SEARCH("On Track to be Achieved",E12)))</formula>
    </cfRule>
    <cfRule type="containsText" dxfId="907" priority="1109" operator="containsText" text="Fully Achieved">
      <formula>NOT(ISERROR(SEARCH("Fully Achieved",E12)))</formula>
    </cfRule>
    <cfRule type="containsText" dxfId="906" priority="1110" operator="containsText" text="Fully Achieved">
      <formula>NOT(ISERROR(SEARCH("Fully Achieved",E12)))</formula>
    </cfRule>
    <cfRule type="containsText" dxfId="905" priority="1111" operator="containsText" text="Fully Achieved">
      <formula>NOT(ISERROR(SEARCH("Fully Achieved",E12)))</formula>
    </cfRule>
    <cfRule type="containsText" dxfId="904" priority="1112" operator="containsText" text="Deferred">
      <formula>NOT(ISERROR(SEARCH("Deferred",E12)))</formula>
    </cfRule>
    <cfRule type="containsText" dxfId="903" priority="1113" operator="containsText" text="Deleted">
      <formula>NOT(ISERROR(SEARCH("Deleted",E12)))</formula>
    </cfRule>
    <cfRule type="containsText" dxfId="902" priority="1114" operator="containsText" text="In Danger of Falling Behind Target">
      <formula>NOT(ISERROR(SEARCH("In Danger of Falling Behind Target",E12)))</formula>
    </cfRule>
    <cfRule type="containsText" dxfId="901" priority="1115" operator="containsText" text="Not yet due">
      <formula>NOT(ISERROR(SEARCH("Not yet due",E12)))</formula>
    </cfRule>
    <cfRule type="containsText" dxfId="900" priority="1116" operator="containsText" text="Update not Provided">
      <formula>NOT(ISERROR(SEARCH("Update not Provided",E12)))</formula>
    </cfRule>
  </conditionalFormatting>
  <conditionalFormatting sqref="E21:E27">
    <cfRule type="containsText" dxfId="899" priority="1045" operator="containsText" text="On track to be achieved">
      <formula>NOT(ISERROR(SEARCH("On track to be achieved",E21)))</formula>
    </cfRule>
    <cfRule type="containsText" dxfId="898" priority="1046" operator="containsText" text="Deferred">
      <formula>NOT(ISERROR(SEARCH("Deferred",E21)))</formula>
    </cfRule>
    <cfRule type="containsText" dxfId="897" priority="1047" operator="containsText" text="Deleted">
      <formula>NOT(ISERROR(SEARCH("Deleted",E21)))</formula>
    </cfRule>
    <cfRule type="containsText" dxfId="896" priority="1048" operator="containsText" text="In Danger of Falling Behind Target">
      <formula>NOT(ISERROR(SEARCH("In Danger of Falling Behind Target",E21)))</formula>
    </cfRule>
    <cfRule type="containsText" dxfId="895" priority="1049" operator="containsText" text="Not yet due">
      <formula>NOT(ISERROR(SEARCH("Not yet due",E21)))</formula>
    </cfRule>
    <cfRule type="containsText" dxfId="894" priority="1050" operator="containsText" text="Update not Provided">
      <formula>NOT(ISERROR(SEARCH("Update not Provided",E21)))</formula>
    </cfRule>
    <cfRule type="containsText" dxfId="893" priority="1051" operator="containsText" text="Not yet due">
      <formula>NOT(ISERROR(SEARCH("Not yet due",E21)))</formula>
    </cfRule>
    <cfRule type="containsText" dxfId="892" priority="1052" operator="containsText" text="Completed Behind Schedule">
      <formula>NOT(ISERROR(SEARCH("Completed Behind Schedule",E21)))</formula>
    </cfRule>
    <cfRule type="containsText" dxfId="891" priority="1053" operator="containsText" text="Off Target">
      <formula>NOT(ISERROR(SEARCH("Off Target",E21)))</formula>
    </cfRule>
    <cfRule type="containsText" dxfId="890" priority="1054" operator="containsText" text="On Track to be Achieved">
      <formula>NOT(ISERROR(SEARCH("On Track to be Achieved",E21)))</formula>
    </cfRule>
    <cfRule type="containsText" dxfId="889" priority="1055" operator="containsText" text="Fully Achieved">
      <formula>NOT(ISERROR(SEARCH("Fully Achieved",E21)))</formula>
    </cfRule>
    <cfRule type="containsText" dxfId="888" priority="1056" operator="containsText" text="Not yet due">
      <formula>NOT(ISERROR(SEARCH("Not yet due",E21)))</formula>
    </cfRule>
    <cfRule type="containsText" dxfId="887" priority="1057" operator="containsText" text="Not Yet Due">
      <formula>NOT(ISERROR(SEARCH("Not Yet Due",E21)))</formula>
    </cfRule>
    <cfRule type="containsText" dxfId="886" priority="1058" operator="containsText" text="Deferred">
      <formula>NOT(ISERROR(SEARCH("Deferred",E21)))</formula>
    </cfRule>
    <cfRule type="containsText" dxfId="885" priority="1059" operator="containsText" text="Deleted">
      <formula>NOT(ISERROR(SEARCH("Deleted",E21)))</formula>
    </cfRule>
    <cfRule type="containsText" dxfId="884" priority="1060" operator="containsText" text="In Danger of Falling Behind Target">
      <formula>NOT(ISERROR(SEARCH("In Danger of Falling Behind Target",E21)))</formula>
    </cfRule>
    <cfRule type="containsText" dxfId="883" priority="1061" operator="containsText" text="Not yet due">
      <formula>NOT(ISERROR(SEARCH("Not yet due",E21)))</formula>
    </cfRule>
    <cfRule type="containsText" dxfId="882" priority="1062" operator="containsText" text="Completed Behind Schedule">
      <formula>NOT(ISERROR(SEARCH("Completed Behind Schedule",E21)))</formula>
    </cfRule>
    <cfRule type="containsText" dxfId="881" priority="1063" operator="containsText" text="Off Target">
      <formula>NOT(ISERROR(SEARCH("Off Target",E21)))</formula>
    </cfRule>
    <cfRule type="containsText" dxfId="880" priority="1064" operator="containsText" text="In Danger of Falling Behind Target">
      <formula>NOT(ISERROR(SEARCH("In Danger of Falling Behind Target",E21)))</formula>
    </cfRule>
    <cfRule type="containsText" dxfId="879" priority="1065" operator="containsText" text="On Track to be Achieved">
      <formula>NOT(ISERROR(SEARCH("On Track to be Achieved",E21)))</formula>
    </cfRule>
    <cfRule type="containsText" dxfId="878" priority="1066" operator="containsText" text="Fully Achieved">
      <formula>NOT(ISERROR(SEARCH("Fully Achieved",E21)))</formula>
    </cfRule>
    <cfRule type="containsText" dxfId="877" priority="1067" operator="containsText" text="Update not Provided">
      <formula>NOT(ISERROR(SEARCH("Update not Provided",E21)))</formula>
    </cfRule>
    <cfRule type="containsText" dxfId="876" priority="1068" operator="containsText" text="Not yet due">
      <formula>NOT(ISERROR(SEARCH("Not yet due",E21)))</formula>
    </cfRule>
    <cfRule type="containsText" dxfId="875" priority="1069" operator="containsText" text="Completed Behind Schedule">
      <formula>NOT(ISERROR(SEARCH("Completed Behind Schedule",E21)))</formula>
    </cfRule>
    <cfRule type="containsText" dxfId="874" priority="1070" operator="containsText" text="Off Target">
      <formula>NOT(ISERROR(SEARCH("Off Target",E21)))</formula>
    </cfRule>
    <cfRule type="containsText" dxfId="873" priority="1071" operator="containsText" text="In Danger of Falling Behind Target">
      <formula>NOT(ISERROR(SEARCH("In Danger of Falling Behind Target",E21)))</formula>
    </cfRule>
    <cfRule type="containsText" dxfId="872" priority="1072" operator="containsText" text="On Track to be Achieved">
      <formula>NOT(ISERROR(SEARCH("On Track to be Achieved",E21)))</formula>
    </cfRule>
    <cfRule type="containsText" dxfId="871" priority="1073" operator="containsText" text="Fully Achieved">
      <formula>NOT(ISERROR(SEARCH("Fully Achieved",E21)))</formula>
    </cfRule>
    <cfRule type="containsText" dxfId="870" priority="1074" operator="containsText" text="Fully Achieved">
      <formula>NOT(ISERROR(SEARCH("Fully Achieved",E21)))</formula>
    </cfRule>
    <cfRule type="containsText" dxfId="869" priority="1075" operator="containsText" text="Fully Achieved">
      <formula>NOT(ISERROR(SEARCH("Fully Achieved",E21)))</formula>
    </cfRule>
    <cfRule type="containsText" dxfId="868" priority="1076" operator="containsText" text="Deferred">
      <formula>NOT(ISERROR(SEARCH("Deferred",E21)))</formula>
    </cfRule>
    <cfRule type="containsText" dxfId="867" priority="1077" operator="containsText" text="Deleted">
      <formula>NOT(ISERROR(SEARCH("Deleted",E21)))</formula>
    </cfRule>
    <cfRule type="containsText" dxfId="866" priority="1078" operator="containsText" text="In Danger of Falling Behind Target">
      <formula>NOT(ISERROR(SEARCH("In Danger of Falling Behind Target",E21)))</formula>
    </cfRule>
    <cfRule type="containsText" dxfId="865" priority="1079" operator="containsText" text="Not yet due">
      <formula>NOT(ISERROR(SEARCH("Not yet due",E21)))</formula>
    </cfRule>
    <cfRule type="containsText" dxfId="864" priority="1080" operator="containsText" text="Update not Provided">
      <formula>NOT(ISERROR(SEARCH("Update not Provided",E21)))</formula>
    </cfRule>
  </conditionalFormatting>
  <conditionalFormatting sqref="E29:E30">
    <cfRule type="containsText" dxfId="863" priority="1009" operator="containsText" text="On track to be achieved">
      <formula>NOT(ISERROR(SEARCH("On track to be achieved",E29)))</formula>
    </cfRule>
    <cfRule type="containsText" dxfId="862" priority="1010" operator="containsText" text="Deferred">
      <formula>NOT(ISERROR(SEARCH("Deferred",E29)))</formula>
    </cfRule>
    <cfRule type="containsText" dxfId="861" priority="1011" operator="containsText" text="Deleted">
      <formula>NOT(ISERROR(SEARCH("Deleted",E29)))</formula>
    </cfRule>
    <cfRule type="containsText" dxfId="860" priority="1012" operator="containsText" text="In Danger of Falling Behind Target">
      <formula>NOT(ISERROR(SEARCH("In Danger of Falling Behind Target",E29)))</formula>
    </cfRule>
    <cfRule type="containsText" dxfId="859" priority="1013" operator="containsText" text="Not yet due">
      <formula>NOT(ISERROR(SEARCH("Not yet due",E29)))</formula>
    </cfRule>
    <cfRule type="containsText" dxfId="858" priority="1014" operator="containsText" text="Update not Provided">
      <formula>NOT(ISERROR(SEARCH("Update not Provided",E29)))</formula>
    </cfRule>
    <cfRule type="containsText" dxfId="857" priority="1015" operator="containsText" text="Not yet due">
      <formula>NOT(ISERROR(SEARCH("Not yet due",E29)))</formula>
    </cfRule>
    <cfRule type="containsText" dxfId="856" priority="1016" operator="containsText" text="Completed Behind Schedule">
      <formula>NOT(ISERROR(SEARCH("Completed Behind Schedule",E29)))</formula>
    </cfRule>
    <cfRule type="containsText" dxfId="855" priority="1017" operator="containsText" text="Off Target">
      <formula>NOT(ISERROR(SEARCH("Off Target",E29)))</formula>
    </cfRule>
    <cfRule type="containsText" dxfId="854" priority="1018" operator="containsText" text="On Track to be Achieved">
      <formula>NOT(ISERROR(SEARCH("On Track to be Achieved",E29)))</formula>
    </cfRule>
    <cfRule type="containsText" dxfId="853" priority="1019" operator="containsText" text="Fully Achieved">
      <formula>NOT(ISERROR(SEARCH("Fully Achieved",E29)))</formula>
    </cfRule>
    <cfRule type="containsText" dxfId="852" priority="1020" operator="containsText" text="Not yet due">
      <formula>NOT(ISERROR(SEARCH("Not yet due",E29)))</formula>
    </cfRule>
    <cfRule type="containsText" dxfId="851" priority="1021" operator="containsText" text="Not Yet Due">
      <formula>NOT(ISERROR(SEARCH("Not Yet Due",E29)))</formula>
    </cfRule>
    <cfRule type="containsText" dxfId="850" priority="1022" operator="containsText" text="Deferred">
      <formula>NOT(ISERROR(SEARCH("Deferred",E29)))</formula>
    </cfRule>
    <cfRule type="containsText" dxfId="849" priority="1023" operator="containsText" text="Deleted">
      <formula>NOT(ISERROR(SEARCH("Deleted",E29)))</formula>
    </cfRule>
    <cfRule type="containsText" dxfId="848" priority="1024" operator="containsText" text="In Danger of Falling Behind Target">
      <formula>NOT(ISERROR(SEARCH("In Danger of Falling Behind Target",E29)))</formula>
    </cfRule>
    <cfRule type="containsText" dxfId="847" priority="1025" operator="containsText" text="Not yet due">
      <formula>NOT(ISERROR(SEARCH("Not yet due",E29)))</formula>
    </cfRule>
    <cfRule type="containsText" dxfId="846" priority="1026" operator="containsText" text="Completed Behind Schedule">
      <formula>NOT(ISERROR(SEARCH("Completed Behind Schedule",E29)))</formula>
    </cfRule>
    <cfRule type="containsText" dxfId="845" priority="1027" operator="containsText" text="Off Target">
      <formula>NOT(ISERROR(SEARCH("Off Target",E29)))</formula>
    </cfRule>
    <cfRule type="containsText" dxfId="844" priority="1028" operator="containsText" text="In Danger of Falling Behind Target">
      <formula>NOT(ISERROR(SEARCH("In Danger of Falling Behind Target",E29)))</formula>
    </cfRule>
    <cfRule type="containsText" dxfId="843" priority="1029" operator="containsText" text="On Track to be Achieved">
      <formula>NOT(ISERROR(SEARCH("On Track to be Achieved",E29)))</formula>
    </cfRule>
    <cfRule type="containsText" dxfId="842" priority="1030" operator="containsText" text="Fully Achieved">
      <formula>NOT(ISERROR(SEARCH("Fully Achieved",E29)))</formula>
    </cfRule>
    <cfRule type="containsText" dxfId="841" priority="1031" operator="containsText" text="Update not Provided">
      <formula>NOT(ISERROR(SEARCH("Update not Provided",E29)))</formula>
    </cfRule>
    <cfRule type="containsText" dxfId="840" priority="1032" operator="containsText" text="Not yet due">
      <formula>NOT(ISERROR(SEARCH("Not yet due",E29)))</formula>
    </cfRule>
    <cfRule type="containsText" dxfId="839" priority="1033" operator="containsText" text="Completed Behind Schedule">
      <formula>NOT(ISERROR(SEARCH("Completed Behind Schedule",E29)))</formula>
    </cfRule>
    <cfRule type="containsText" dxfId="838" priority="1034" operator="containsText" text="Off Target">
      <formula>NOT(ISERROR(SEARCH("Off Target",E29)))</formula>
    </cfRule>
    <cfRule type="containsText" dxfId="837" priority="1035" operator="containsText" text="In Danger of Falling Behind Target">
      <formula>NOT(ISERROR(SEARCH("In Danger of Falling Behind Target",E29)))</formula>
    </cfRule>
    <cfRule type="containsText" dxfId="836" priority="1036" operator="containsText" text="On Track to be Achieved">
      <formula>NOT(ISERROR(SEARCH("On Track to be Achieved",E29)))</formula>
    </cfRule>
    <cfRule type="containsText" dxfId="835" priority="1037" operator="containsText" text="Fully Achieved">
      <formula>NOT(ISERROR(SEARCH("Fully Achieved",E29)))</formula>
    </cfRule>
    <cfRule type="containsText" dxfId="834" priority="1038" operator="containsText" text="Fully Achieved">
      <formula>NOT(ISERROR(SEARCH("Fully Achieved",E29)))</formula>
    </cfRule>
    <cfRule type="containsText" dxfId="833" priority="1039" operator="containsText" text="Fully Achieved">
      <formula>NOT(ISERROR(SEARCH("Fully Achieved",E29)))</formula>
    </cfRule>
    <cfRule type="containsText" dxfId="832" priority="1040" operator="containsText" text="Deferred">
      <formula>NOT(ISERROR(SEARCH("Deferred",E29)))</formula>
    </cfRule>
    <cfRule type="containsText" dxfId="831" priority="1041" operator="containsText" text="Deleted">
      <formula>NOT(ISERROR(SEARCH("Deleted",E29)))</formula>
    </cfRule>
    <cfRule type="containsText" dxfId="830" priority="1042" operator="containsText" text="In Danger of Falling Behind Target">
      <formula>NOT(ISERROR(SEARCH("In Danger of Falling Behind Target",E29)))</formula>
    </cfRule>
    <cfRule type="containsText" dxfId="829" priority="1043" operator="containsText" text="Not yet due">
      <formula>NOT(ISERROR(SEARCH("Not yet due",E29)))</formula>
    </cfRule>
    <cfRule type="containsText" dxfId="828" priority="1044" operator="containsText" text="Update not Provided">
      <formula>NOT(ISERROR(SEARCH("Update not Provided",E29)))</formula>
    </cfRule>
  </conditionalFormatting>
  <conditionalFormatting sqref="E31">
    <cfRule type="containsText" dxfId="827" priority="973" operator="containsText" text="On track to be achieved">
      <formula>NOT(ISERROR(SEARCH("On track to be achieved",E31)))</formula>
    </cfRule>
    <cfRule type="containsText" dxfId="826" priority="974" operator="containsText" text="Deferred">
      <formula>NOT(ISERROR(SEARCH("Deferred",E31)))</formula>
    </cfRule>
    <cfRule type="containsText" dxfId="825" priority="975" operator="containsText" text="Deleted">
      <formula>NOT(ISERROR(SEARCH("Deleted",E31)))</formula>
    </cfRule>
    <cfRule type="containsText" dxfId="824" priority="976" operator="containsText" text="In Danger of Falling Behind Target">
      <formula>NOT(ISERROR(SEARCH("In Danger of Falling Behind Target",E31)))</formula>
    </cfRule>
    <cfRule type="containsText" dxfId="823" priority="977" operator="containsText" text="Not yet due">
      <formula>NOT(ISERROR(SEARCH("Not yet due",E31)))</formula>
    </cfRule>
    <cfRule type="containsText" dxfId="822" priority="978" operator="containsText" text="Update not Provided">
      <formula>NOT(ISERROR(SEARCH("Update not Provided",E31)))</formula>
    </cfRule>
    <cfRule type="containsText" dxfId="821" priority="979" operator="containsText" text="Not yet due">
      <formula>NOT(ISERROR(SEARCH("Not yet due",E31)))</formula>
    </cfRule>
    <cfRule type="containsText" dxfId="820" priority="980" operator="containsText" text="Completed Behind Schedule">
      <formula>NOT(ISERROR(SEARCH("Completed Behind Schedule",E31)))</formula>
    </cfRule>
    <cfRule type="containsText" dxfId="819" priority="981" operator="containsText" text="Off Target">
      <formula>NOT(ISERROR(SEARCH("Off Target",E31)))</formula>
    </cfRule>
    <cfRule type="containsText" dxfId="818" priority="982" operator="containsText" text="On Track to be Achieved">
      <formula>NOT(ISERROR(SEARCH("On Track to be Achieved",E31)))</formula>
    </cfRule>
    <cfRule type="containsText" dxfId="817" priority="983" operator="containsText" text="Fully Achieved">
      <formula>NOT(ISERROR(SEARCH("Fully Achieved",E31)))</formula>
    </cfRule>
    <cfRule type="containsText" dxfId="816" priority="984" operator="containsText" text="Not yet due">
      <formula>NOT(ISERROR(SEARCH("Not yet due",E31)))</formula>
    </cfRule>
    <cfRule type="containsText" dxfId="815" priority="985" operator="containsText" text="Not Yet Due">
      <formula>NOT(ISERROR(SEARCH("Not Yet Due",E31)))</formula>
    </cfRule>
    <cfRule type="containsText" dxfId="814" priority="986" operator="containsText" text="Deferred">
      <formula>NOT(ISERROR(SEARCH("Deferred",E31)))</formula>
    </cfRule>
    <cfRule type="containsText" dxfId="813" priority="987" operator="containsText" text="Deleted">
      <formula>NOT(ISERROR(SEARCH("Deleted",E31)))</formula>
    </cfRule>
    <cfRule type="containsText" dxfId="812" priority="988" operator="containsText" text="In Danger of Falling Behind Target">
      <formula>NOT(ISERROR(SEARCH("In Danger of Falling Behind Target",E31)))</formula>
    </cfRule>
    <cfRule type="containsText" dxfId="811" priority="989" operator="containsText" text="Not yet due">
      <formula>NOT(ISERROR(SEARCH("Not yet due",E31)))</formula>
    </cfRule>
    <cfRule type="containsText" dxfId="810" priority="990" operator="containsText" text="Completed Behind Schedule">
      <formula>NOT(ISERROR(SEARCH("Completed Behind Schedule",E31)))</formula>
    </cfRule>
    <cfRule type="containsText" dxfId="809" priority="991" operator="containsText" text="Off Target">
      <formula>NOT(ISERROR(SEARCH("Off Target",E31)))</formula>
    </cfRule>
    <cfRule type="containsText" dxfId="808" priority="992" operator="containsText" text="In Danger of Falling Behind Target">
      <formula>NOT(ISERROR(SEARCH("In Danger of Falling Behind Target",E31)))</formula>
    </cfRule>
    <cfRule type="containsText" dxfId="807" priority="993" operator="containsText" text="On Track to be Achieved">
      <formula>NOT(ISERROR(SEARCH("On Track to be Achieved",E31)))</formula>
    </cfRule>
    <cfRule type="containsText" dxfId="806" priority="994" operator="containsText" text="Fully Achieved">
      <formula>NOT(ISERROR(SEARCH("Fully Achieved",E31)))</formula>
    </cfRule>
    <cfRule type="containsText" dxfId="805" priority="995" operator="containsText" text="Update not Provided">
      <formula>NOT(ISERROR(SEARCH("Update not Provided",E31)))</formula>
    </cfRule>
    <cfRule type="containsText" dxfId="804" priority="996" operator="containsText" text="Not yet due">
      <formula>NOT(ISERROR(SEARCH("Not yet due",E31)))</formula>
    </cfRule>
    <cfRule type="containsText" dxfId="803" priority="997" operator="containsText" text="Completed Behind Schedule">
      <formula>NOT(ISERROR(SEARCH("Completed Behind Schedule",E31)))</formula>
    </cfRule>
    <cfRule type="containsText" dxfId="802" priority="998" operator="containsText" text="Off Target">
      <formula>NOT(ISERROR(SEARCH("Off Target",E31)))</formula>
    </cfRule>
    <cfRule type="containsText" dxfId="801" priority="999" operator="containsText" text="In Danger of Falling Behind Target">
      <formula>NOT(ISERROR(SEARCH("In Danger of Falling Behind Target",E31)))</formula>
    </cfRule>
    <cfRule type="containsText" dxfId="800" priority="1000" operator="containsText" text="On Track to be Achieved">
      <formula>NOT(ISERROR(SEARCH("On Track to be Achieved",E31)))</formula>
    </cfRule>
    <cfRule type="containsText" dxfId="799" priority="1001" operator="containsText" text="Fully Achieved">
      <formula>NOT(ISERROR(SEARCH("Fully Achieved",E31)))</formula>
    </cfRule>
    <cfRule type="containsText" dxfId="798" priority="1002" operator="containsText" text="Fully Achieved">
      <formula>NOT(ISERROR(SEARCH("Fully Achieved",E31)))</formula>
    </cfRule>
    <cfRule type="containsText" dxfId="797" priority="1003" operator="containsText" text="Fully Achieved">
      <formula>NOT(ISERROR(SEARCH("Fully Achieved",E31)))</formula>
    </cfRule>
    <cfRule type="containsText" dxfId="796" priority="1004" operator="containsText" text="Deferred">
      <formula>NOT(ISERROR(SEARCH("Deferred",E31)))</formula>
    </cfRule>
    <cfRule type="containsText" dxfId="795" priority="1005" operator="containsText" text="Deleted">
      <formula>NOT(ISERROR(SEARCH("Deleted",E31)))</formula>
    </cfRule>
    <cfRule type="containsText" dxfId="794" priority="1006" operator="containsText" text="In Danger of Falling Behind Target">
      <formula>NOT(ISERROR(SEARCH("In Danger of Falling Behind Target",E31)))</formula>
    </cfRule>
    <cfRule type="containsText" dxfId="793" priority="1007" operator="containsText" text="Not yet due">
      <formula>NOT(ISERROR(SEARCH("Not yet due",E31)))</formula>
    </cfRule>
    <cfRule type="containsText" dxfId="792" priority="1008" operator="containsText" text="Update not Provided">
      <formula>NOT(ISERROR(SEARCH("Update not Provided",E31)))</formula>
    </cfRule>
  </conditionalFormatting>
  <conditionalFormatting sqref="E33">
    <cfRule type="containsText" dxfId="791" priority="937" operator="containsText" text="On track to be achieved">
      <formula>NOT(ISERROR(SEARCH("On track to be achieved",E33)))</formula>
    </cfRule>
    <cfRule type="containsText" dxfId="790" priority="938" operator="containsText" text="Deferred">
      <formula>NOT(ISERROR(SEARCH("Deferred",E33)))</formula>
    </cfRule>
    <cfRule type="containsText" dxfId="789" priority="939" operator="containsText" text="Deleted">
      <formula>NOT(ISERROR(SEARCH("Deleted",E33)))</formula>
    </cfRule>
    <cfRule type="containsText" dxfId="788" priority="940" operator="containsText" text="In Danger of Falling Behind Target">
      <formula>NOT(ISERROR(SEARCH("In Danger of Falling Behind Target",E33)))</formula>
    </cfRule>
    <cfRule type="containsText" dxfId="787" priority="941" operator="containsText" text="Not yet due">
      <formula>NOT(ISERROR(SEARCH("Not yet due",E33)))</formula>
    </cfRule>
    <cfRule type="containsText" dxfId="786" priority="942" operator="containsText" text="Update not Provided">
      <formula>NOT(ISERROR(SEARCH("Update not Provided",E33)))</formula>
    </cfRule>
    <cfRule type="containsText" dxfId="785" priority="943" operator="containsText" text="Not yet due">
      <formula>NOT(ISERROR(SEARCH("Not yet due",E33)))</formula>
    </cfRule>
    <cfRule type="containsText" dxfId="784" priority="944" operator="containsText" text="Completed Behind Schedule">
      <formula>NOT(ISERROR(SEARCH("Completed Behind Schedule",E33)))</formula>
    </cfRule>
    <cfRule type="containsText" dxfId="783" priority="945" operator="containsText" text="Off Target">
      <formula>NOT(ISERROR(SEARCH("Off Target",E33)))</formula>
    </cfRule>
    <cfRule type="containsText" dxfId="782" priority="946" operator="containsText" text="On Track to be Achieved">
      <formula>NOT(ISERROR(SEARCH("On Track to be Achieved",E33)))</formula>
    </cfRule>
    <cfRule type="containsText" dxfId="781" priority="947" operator="containsText" text="Fully Achieved">
      <formula>NOT(ISERROR(SEARCH("Fully Achieved",E33)))</formula>
    </cfRule>
    <cfRule type="containsText" dxfId="780" priority="948" operator="containsText" text="Not yet due">
      <formula>NOT(ISERROR(SEARCH("Not yet due",E33)))</formula>
    </cfRule>
    <cfRule type="containsText" dxfId="779" priority="949" operator="containsText" text="Not Yet Due">
      <formula>NOT(ISERROR(SEARCH("Not Yet Due",E33)))</formula>
    </cfRule>
    <cfRule type="containsText" dxfId="778" priority="950" operator="containsText" text="Deferred">
      <formula>NOT(ISERROR(SEARCH("Deferred",E33)))</formula>
    </cfRule>
    <cfRule type="containsText" dxfId="777" priority="951" operator="containsText" text="Deleted">
      <formula>NOT(ISERROR(SEARCH("Deleted",E33)))</formula>
    </cfRule>
    <cfRule type="containsText" dxfId="776" priority="952" operator="containsText" text="In Danger of Falling Behind Target">
      <formula>NOT(ISERROR(SEARCH("In Danger of Falling Behind Target",E33)))</formula>
    </cfRule>
    <cfRule type="containsText" dxfId="775" priority="953" operator="containsText" text="Not yet due">
      <formula>NOT(ISERROR(SEARCH("Not yet due",E33)))</formula>
    </cfRule>
    <cfRule type="containsText" dxfId="774" priority="954" operator="containsText" text="Completed Behind Schedule">
      <formula>NOT(ISERROR(SEARCH("Completed Behind Schedule",E33)))</formula>
    </cfRule>
    <cfRule type="containsText" dxfId="773" priority="955" operator="containsText" text="Off Target">
      <formula>NOT(ISERROR(SEARCH("Off Target",E33)))</formula>
    </cfRule>
    <cfRule type="containsText" dxfId="772" priority="956" operator="containsText" text="In Danger of Falling Behind Target">
      <formula>NOT(ISERROR(SEARCH("In Danger of Falling Behind Target",E33)))</formula>
    </cfRule>
    <cfRule type="containsText" dxfId="771" priority="957" operator="containsText" text="On Track to be Achieved">
      <formula>NOT(ISERROR(SEARCH("On Track to be Achieved",E33)))</formula>
    </cfRule>
    <cfRule type="containsText" dxfId="770" priority="958" operator="containsText" text="Fully Achieved">
      <formula>NOT(ISERROR(SEARCH("Fully Achieved",E33)))</formula>
    </cfRule>
    <cfRule type="containsText" dxfId="769" priority="959" operator="containsText" text="Update not Provided">
      <formula>NOT(ISERROR(SEARCH("Update not Provided",E33)))</formula>
    </cfRule>
    <cfRule type="containsText" dxfId="768" priority="960" operator="containsText" text="Not yet due">
      <formula>NOT(ISERROR(SEARCH("Not yet due",E33)))</formula>
    </cfRule>
    <cfRule type="containsText" dxfId="767" priority="961" operator="containsText" text="Completed Behind Schedule">
      <formula>NOT(ISERROR(SEARCH("Completed Behind Schedule",E33)))</formula>
    </cfRule>
    <cfRule type="containsText" dxfId="766" priority="962" operator="containsText" text="Off Target">
      <formula>NOT(ISERROR(SEARCH("Off Target",E33)))</formula>
    </cfRule>
    <cfRule type="containsText" dxfId="765" priority="963" operator="containsText" text="In Danger of Falling Behind Target">
      <formula>NOT(ISERROR(SEARCH("In Danger of Falling Behind Target",E33)))</formula>
    </cfRule>
    <cfRule type="containsText" dxfId="764" priority="964" operator="containsText" text="On Track to be Achieved">
      <formula>NOT(ISERROR(SEARCH("On Track to be Achieved",E33)))</formula>
    </cfRule>
    <cfRule type="containsText" dxfId="763" priority="965" operator="containsText" text="Fully Achieved">
      <formula>NOT(ISERROR(SEARCH("Fully Achieved",E33)))</formula>
    </cfRule>
    <cfRule type="containsText" dxfId="762" priority="966" operator="containsText" text="Fully Achieved">
      <formula>NOT(ISERROR(SEARCH("Fully Achieved",E33)))</formula>
    </cfRule>
    <cfRule type="containsText" dxfId="761" priority="967" operator="containsText" text="Fully Achieved">
      <formula>NOT(ISERROR(SEARCH("Fully Achieved",E33)))</formula>
    </cfRule>
    <cfRule type="containsText" dxfId="760" priority="968" operator="containsText" text="Deferred">
      <formula>NOT(ISERROR(SEARCH("Deferred",E33)))</formula>
    </cfRule>
    <cfRule type="containsText" dxfId="759" priority="969" operator="containsText" text="Deleted">
      <formula>NOT(ISERROR(SEARCH("Deleted",E33)))</formula>
    </cfRule>
    <cfRule type="containsText" dxfId="758" priority="970" operator="containsText" text="In Danger of Falling Behind Target">
      <formula>NOT(ISERROR(SEARCH("In Danger of Falling Behind Target",E33)))</formula>
    </cfRule>
    <cfRule type="containsText" dxfId="757" priority="971" operator="containsText" text="Not yet due">
      <formula>NOT(ISERROR(SEARCH("Not yet due",E33)))</formula>
    </cfRule>
    <cfRule type="containsText" dxfId="756" priority="972" operator="containsText" text="Update not Provided">
      <formula>NOT(ISERROR(SEARCH("Update not Provided",E33)))</formula>
    </cfRule>
  </conditionalFormatting>
  <conditionalFormatting sqref="E34">
    <cfRule type="containsText" dxfId="755" priority="901" operator="containsText" text="On track to be achieved">
      <formula>NOT(ISERROR(SEARCH("On track to be achieved",E34)))</formula>
    </cfRule>
    <cfRule type="containsText" dxfId="754" priority="902" operator="containsText" text="Deferred">
      <formula>NOT(ISERROR(SEARCH("Deferred",E34)))</formula>
    </cfRule>
    <cfRule type="containsText" dxfId="753" priority="903" operator="containsText" text="Deleted">
      <formula>NOT(ISERROR(SEARCH("Deleted",E34)))</formula>
    </cfRule>
    <cfRule type="containsText" dxfId="752" priority="904" operator="containsText" text="In Danger of Falling Behind Target">
      <formula>NOT(ISERROR(SEARCH("In Danger of Falling Behind Target",E34)))</formula>
    </cfRule>
    <cfRule type="containsText" dxfId="751" priority="905" operator="containsText" text="Not yet due">
      <formula>NOT(ISERROR(SEARCH("Not yet due",E34)))</formula>
    </cfRule>
    <cfRule type="containsText" dxfId="750" priority="906" operator="containsText" text="Update not Provided">
      <formula>NOT(ISERROR(SEARCH("Update not Provided",E34)))</formula>
    </cfRule>
    <cfRule type="containsText" dxfId="749" priority="907" operator="containsText" text="Not yet due">
      <formula>NOT(ISERROR(SEARCH("Not yet due",E34)))</formula>
    </cfRule>
    <cfRule type="containsText" dxfId="748" priority="908" operator="containsText" text="Completed Behind Schedule">
      <formula>NOT(ISERROR(SEARCH("Completed Behind Schedule",E34)))</formula>
    </cfRule>
    <cfRule type="containsText" dxfId="747" priority="909" operator="containsText" text="Off Target">
      <formula>NOT(ISERROR(SEARCH("Off Target",E34)))</formula>
    </cfRule>
    <cfRule type="containsText" dxfId="746" priority="910" operator="containsText" text="On Track to be Achieved">
      <formula>NOT(ISERROR(SEARCH("On Track to be Achieved",E34)))</formula>
    </cfRule>
    <cfRule type="containsText" dxfId="745" priority="911" operator="containsText" text="Fully Achieved">
      <formula>NOT(ISERROR(SEARCH("Fully Achieved",E34)))</formula>
    </cfRule>
    <cfRule type="containsText" dxfId="744" priority="912" operator="containsText" text="Not yet due">
      <formula>NOT(ISERROR(SEARCH("Not yet due",E34)))</formula>
    </cfRule>
    <cfRule type="containsText" dxfId="743" priority="913" operator="containsText" text="Not Yet Due">
      <formula>NOT(ISERROR(SEARCH("Not Yet Due",E34)))</formula>
    </cfRule>
    <cfRule type="containsText" dxfId="742" priority="914" operator="containsText" text="Deferred">
      <formula>NOT(ISERROR(SEARCH("Deferred",E34)))</formula>
    </cfRule>
    <cfRule type="containsText" dxfId="741" priority="915" operator="containsText" text="Deleted">
      <formula>NOT(ISERROR(SEARCH("Deleted",E34)))</formula>
    </cfRule>
    <cfRule type="containsText" dxfId="740" priority="916" operator="containsText" text="In Danger of Falling Behind Target">
      <formula>NOT(ISERROR(SEARCH("In Danger of Falling Behind Target",E34)))</formula>
    </cfRule>
    <cfRule type="containsText" dxfId="739" priority="917" operator="containsText" text="Not yet due">
      <formula>NOT(ISERROR(SEARCH("Not yet due",E34)))</formula>
    </cfRule>
    <cfRule type="containsText" dxfId="738" priority="918" operator="containsText" text="Completed Behind Schedule">
      <formula>NOT(ISERROR(SEARCH("Completed Behind Schedule",E34)))</formula>
    </cfRule>
    <cfRule type="containsText" dxfId="737" priority="919" operator="containsText" text="Off Target">
      <formula>NOT(ISERROR(SEARCH("Off Target",E34)))</formula>
    </cfRule>
    <cfRule type="containsText" dxfId="736" priority="920" operator="containsText" text="In Danger of Falling Behind Target">
      <formula>NOT(ISERROR(SEARCH("In Danger of Falling Behind Target",E34)))</formula>
    </cfRule>
    <cfRule type="containsText" dxfId="735" priority="921" operator="containsText" text="On Track to be Achieved">
      <formula>NOT(ISERROR(SEARCH("On Track to be Achieved",E34)))</formula>
    </cfRule>
    <cfRule type="containsText" dxfId="734" priority="922" operator="containsText" text="Fully Achieved">
      <formula>NOT(ISERROR(SEARCH("Fully Achieved",E34)))</formula>
    </cfRule>
    <cfRule type="containsText" dxfId="733" priority="923" operator="containsText" text="Update not Provided">
      <formula>NOT(ISERROR(SEARCH("Update not Provided",E34)))</formula>
    </cfRule>
    <cfRule type="containsText" dxfId="732" priority="924" operator="containsText" text="Not yet due">
      <formula>NOT(ISERROR(SEARCH("Not yet due",E34)))</formula>
    </cfRule>
    <cfRule type="containsText" dxfId="731" priority="925" operator="containsText" text="Completed Behind Schedule">
      <formula>NOT(ISERROR(SEARCH("Completed Behind Schedule",E34)))</formula>
    </cfRule>
    <cfRule type="containsText" dxfId="730" priority="926" operator="containsText" text="Off Target">
      <formula>NOT(ISERROR(SEARCH("Off Target",E34)))</formula>
    </cfRule>
    <cfRule type="containsText" dxfId="729" priority="927" operator="containsText" text="In Danger of Falling Behind Target">
      <formula>NOT(ISERROR(SEARCH("In Danger of Falling Behind Target",E34)))</formula>
    </cfRule>
    <cfRule type="containsText" dxfId="728" priority="928" operator="containsText" text="On Track to be Achieved">
      <formula>NOT(ISERROR(SEARCH("On Track to be Achieved",E34)))</formula>
    </cfRule>
    <cfRule type="containsText" dxfId="727" priority="929" operator="containsText" text="Fully Achieved">
      <formula>NOT(ISERROR(SEARCH("Fully Achieved",E34)))</formula>
    </cfRule>
    <cfRule type="containsText" dxfId="726" priority="930" operator="containsText" text="Fully Achieved">
      <formula>NOT(ISERROR(SEARCH("Fully Achieved",E34)))</formula>
    </cfRule>
    <cfRule type="containsText" dxfId="725" priority="931" operator="containsText" text="Fully Achieved">
      <formula>NOT(ISERROR(SEARCH("Fully Achieved",E34)))</formula>
    </cfRule>
    <cfRule type="containsText" dxfId="724" priority="932" operator="containsText" text="Deferred">
      <formula>NOT(ISERROR(SEARCH("Deferred",E34)))</formula>
    </cfRule>
    <cfRule type="containsText" dxfId="723" priority="933" operator="containsText" text="Deleted">
      <formula>NOT(ISERROR(SEARCH("Deleted",E34)))</formula>
    </cfRule>
    <cfRule type="containsText" dxfId="722" priority="934" operator="containsText" text="In Danger of Falling Behind Target">
      <formula>NOT(ISERROR(SEARCH("In Danger of Falling Behind Target",E34)))</formula>
    </cfRule>
    <cfRule type="containsText" dxfId="721" priority="935" operator="containsText" text="Not yet due">
      <formula>NOT(ISERROR(SEARCH("Not yet due",E34)))</formula>
    </cfRule>
    <cfRule type="containsText" dxfId="720" priority="936" operator="containsText" text="Update not Provided">
      <formula>NOT(ISERROR(SEARCH("Update not Provided",E34)))</formula>
    </cfRule>
  </conditionalFormatting>
  <conditionalFormatting sqref="E36">
    <cfRule type="containsText" dxfId="719" priority="865" operator="containsText" text="On track to be achieved">
      <formula>NOT(ISERROR(SEARCH("On track to be achieved",E36)))</formula>
    </cfRule>
    <cfRule type="containsText" dxfId="718" priority="866" operator="containsText" text="Deferred">
      <formula>NOT(ISERROR(SEARCH("Deferred",E36)))</formula>
    </cfRule>
    <cfRule type="containsText" dxfId="717" priority="867" operator="containsText" text="Deleted">
      <formula>NOT(ISERROR(SEARCH("Deleted",E36)))</formula>
    </cfRule>
    <cfRule type="containsText" dxfId="716" priority="868" operator="containsText" text="In Danger of Falling Behind Target">
      <formula>NOT(ISERROR(SEARCH("In Danger of Falling Behind Target",E36)))</formula>
    </cfRule>
    <cfRule type="containsText" dxfId="715" priority="869" operator="containsText" text="Not yet due">
      <formula>NOT(ISERROR(SEARCH("Not yet due",E36)))</formula>
    </cfRule>
    <cfRule type="containsText" dxfId="714" priority="870" operator="containsText" text="Update not Provided">
      <formula>NOT(ISERROR(SEARCH("Update not Provided",E36)))</formula>
    </cfRule>
    <cfRule type="containsText" dxfId="713" priority="871" operator="containsText" text="Not yet due">
      <formula>NOT(ISERROR(SEARCH("Not yet due",E36)))</formula>
    </cfRule>
    <cfRule type="containsText" dxfId="712" priority="872" operator="containsText" text="Completed Behind Schedule">
      <formula>NOT(ISERROR(SEARCH("Completed Behind Schedule",E36)))</formula>
    </cfRule>
    <cfRule type="containsText" dxfId="711" priority="873" operator="containsText" text="Off Target">
      <formula>NOT(ISERROR(SEARCH("Off Target",E36)))</formula>
    </cfRule>
    <cfRule type="containsText" dxfId="710" priority="874" operator="containsText" text="On Track to be Achieved">
      <formula>NOT(ISERROR(SEARCH("On Track to be Achieved",E36)))</formula>
    </cfRule>
    <cfRule type="containsText" dxfId="709" priority="875" operator="containsText" text="Fully Achieved">
      <formula>NOT(ISERROR(SEARCH("Fully Achieved",E36)))</formula>
    </cfRule>
    <cfRule type="containsText" dxfId="708" priority="876" operator="containsText" text="Not yet due">
      <formula>NOT(ISERROR(SEARCH("Not yet due",E36)))</formula>
    </cfRule>
    <cfRule type="containsText" dxfId="707" priority="877" operator="containsText" text="Not Yet Due">
      <formula>NOT(ISERROR(SEARCH("Not Yet Due",E36)))</formula>
    </cfRule>
    <cfRule type="containsText" dxfId="706" priority="878" operator="containsText" text="Deferred">
      <formula>NOT(ISERROR(SEARCH("Deferred",E36)))</formula>
    </cfRule>
    <cfRule type="containsText" dxfId="705" priority="879" operator="containsText" text="Deleted">
      <formula>NOT(ISERROR(SEARCH("Deleted",E36)))</formula>
    </cfRule>
    <cfRule type="containsText" dxfId="704" priority="880" operator="containsText" text="In Danger of Falling Behind Target">
      <formula>NOT(ISERROR(SEARCH("In Danger of Falling Behind Target",E36)))</formula>
    </cfRule>
    <cfRule type="containsText" dxfId="703" priority="881" operator="containsText" text="Not yet due">
      <formula>NOT(ISERROR(SEARCH("Not yet due",E36)))</formula>
    </cfRule>
    <cfRule type="containsText" dxfId="702" priority="882" operator="containsText" text="Completed Behind Schedule">
      <formula>NOT(ISERROR(SEARCH("Completed Behind Schedule",E36)))</formula>
    </cfRule>
    <cfRule type="containsText" dxfId="701" priority="883" operator="containsText" text="Off Target">
      <formula>NOT(ISERROR(SEARCH("Off Target",E36)))</formula>
    </cfRule>
    <cfRule type="containsText" dxfId="700" priority="884" operator="containsText" text="In Danger of Falling Behind Target">
      <formula>NOT(ISERROR(SEARCH("In Danger of Falling Behind Target",E36)))</formula>
    </cfRule>
    <cfRule type="containsText" dxfId="699" priority="885" operator="containsText" text="On Track to be Achieved">
      <formula>NOT(ISERROR(SEARCH("On Track to be Achieved",E36)))</formula>
    </cfRule>
    <cfRule type="containsText" dxfId="698" priority="886" operator="containsText" text="Fully Achieved">
      <formula>NOT(ISERROR(SEARCH("Fully Achieved",E36)))</formula>
    </cfRule>
    <cfRule type="containsText" dxfId="697" priority="887" operator="containsText" text="Update not Provided">
      <formula>NOT(ISERROR(SEARCH("Update not Provided",E36)))</formula>
    </cfRule>
    <cfRule type="containsText" dxfId="696" priority="888" operator="containsText" text="Not yet due">
      <formula>NOT(ISERROR(SEARCH("Not yet due",E36)))</formula>
    </cfRule>
    <cfRule type="containsText" dxfId="695" priority="889" operator="containsText" text="Completed Behind Schedule">
      <formula>NOT(ISERROR(SEARCH("Completed Behind Schedule",E36)))</formula>
    </cfRule>
    <cfRule type="containsText" dxfId="694" priority="890" operator="containsText" text="Off Target">
      <formula>NOT(ISERROR(SEARCH("Off Target",E36)))</formula>
    </cfRule>
    <cfRule type="containsText" dxfId="693" priority="891" operator="containsText" text="In Danger of Falling Behind Target">
      <formula>NOT(ISERROR(SEARCH("In Danger of Falling Behind Target",E36)))</formula>
    </cfRule>
    <cfRule type="containsText" dxfId="692" priority="892" operator="containsText" text="On Track to be Achieved">
      <formula>NOT(ISERROR(SEARCH("On Track to be Achieved",E36)))</formula>
    </cfRule>
    <cfRule type="containsText" dxfId="691" priority="893" operator="containsText" text="Fully Achieved">
      <formula>NOT(ISERROR(SEARCH("Fully Achieved",E36)))</formula>
    </cfRule>
    <cfRule type="containsText" dxfId="690" priority="894" operator="containsText" text="Fully Achieved">
      <formula>NOT(ISERROR(SEARCH("Fully Achieved",E36)))</formula>
    </cfRule>
    <cfRule type="containsText" dxfId="689" priority="895" operator="containsText" text="Fully Achieved">
      <formula>NOT(ISERROR(SEARCH("Fully Achieved",E36)))</formula>
    </cfRule>
    <cfRule type="containsText" dxfId="688" priority="896" operator="containsText" text="Deferred">
      <formula>NOT(ISERROR(SEARCH("Deferred",E36)))</formula>
    </cfRule>
    <cfRule type="containsText" dxfId="687" priority="897" operator="containsText" text="Deleted">
      <formula>NOT(ISERROR(SEARCH("Deleted",E36)))</formula>
    </cfRule>
    <cfRule type="containsText" dxfId="686" priority="898" operator="containsText" text="In Danger of Falling Behind Target">
      <formula>NOT(ISERROR(SEARCH("In Danger of Falling Behind Target",E36)))</formula>
    </cfRule>
    <cfRule type="containsText" dxfId="685" priority="899" operator="containsText" text="Not yet due">
      <formula>NOT(ISERROR(SEARCH("Not yet due",E36)))</formula>
    </cfRule>
    <cfRule type="containsText" dxfId="684" priority="900" operator="containsText" text="Update not Provided">
      <formula>NOT(ISERROR(SEARCH("Update not Provided",E36)))</formula>
    </cfRule>
  </conditionalFormatting>
  <conditionalFormatting sqref="E38">
    <cfRule type="containsText" dxfId="683" priority="829" operator="containsText" text="On track to be achieved">
      <formula>NOT(ISERROR(SEARCH("On track to be achieved",E38)))</formula>
    </cfRule>
    <cfRule type="containsText" dxfId="682" priority="830" operator="containsText" text="Deferred">
      <formula>NOT(ISERROR(SEARCH("Deferred",E38)))</formula>
    </cfRule>
    <cfRule type="containsText" dxfId="681" priority="831" operator="containsText" text="Deleted">
      <formula>NOT(ISERROR(SEARCH("Deleted",E38)))</formula>
    </cfRule>
    <cfRule type="containsText" dxfId="680" priority="832" operator="containsText" text="In Danger of Falling Behind Target">
      <formula>NOT(ISERROR(SEARCH("In Danger of Falling Behind Target",E38)))</formula>
    </cfRule>
    <cfRule type="containsText" dxfId="679" priority="833" operator="containsText" text="Not yet due">
      <formula>NOT(ISERROR(SEARCH("Not yet due",E38)))</formula>
    </cfRule>
    <cfRule type="containsText" dxfId="678" priority="834" operator="containsText" text="Update not Provided">
      <formula>NOT(ISERROR(SEARCH("Update not Provided",E38)))</formula>
    </cfRule>
    <cfRule type="containsText" dxfId="677" priority="835" operator="containsText" text="Not yet due">
      <formula>NOT(ISERROR(SEARCH("Not yet due",E38)))</formula>
    </cfRule>
    <cfRule type="containsText" dxfId="676" priority="836" operator="containsText" text="Completed Behind Schedule">
      <formula>NOT(ISERROR(SEARCH("Completed Behind Schedule",E38)))</formula>
    </cfRule>
    <cfRule type="containsText" dxfId="675" priority="837" operator="containsText" text="Off Target">
      <formula>NOT(ISERROR(SEARCH("Off Target",E38)))</formula>
    </cfRule>
    <cfRule type="containsText" dxfId="674" priority="838" operator="containsText" text="On Track to be Achieved">
      <formula>NOT(ISERROR(SEARCH("On Track to be Achieved",E38)))</formula>
    </cfRule>
    <cfRule type="containsText" dxfId="673" priority="839" operator="containsText" text="Fully Achieved">
      <formula>NOT(ISERROR(SEARCH("Fully Achieved",E38)))</formula>
    </cfRule>
    <cfRule type="containsText" dxfId="672" priority="840" operator="containsText" text="Not yet due">
      <formula>NOT(ISERROR(SEARCH("Not yet due",E38)))</formula>
    </cfRule>
    <cfRule type="containsText" dxfId="671" priority="841" operator="containsText" text="Not Yet Due">
      <formula>NOT(ISERROR(SEARCH("Not Yet Due",E38)))</formula>
    </cfRule>
    <cfRule type="containsText" dxfId="670" priority="842" operator="containsText" text="Deferred">
      <formula>NOT(ISERROR(SEARCH("Deferred",E38)))</formula>
    </cfRule>
    <cfRule type="containsText" dxfId="669" priority="843" operator="containsText" text="Deleted">
      <formula>NOT(ISERROR(SEARCH("Deleted",E38)))</formula>
    </cfRule>
    <cfRule type="containsText" dxfId="668" priority="844" operator="containsText" text="In Danger of Falling Behind Target">
      <formula>NOT(ISERROR(SEARCH("In Danger of Falling Behind Target",E38)))</formula>
    </cfRule>
    <cfRule type="containsText" dxfId="667" priority="845" operator="containsText" text="Not yet due">
      <formula>NOT(ISERROR(SEARCH("Not yet due",E38)))</formula>
    </cfRule>
    <cfRule type="containsText" dxfId="666" priority="846" operator="containsText" text="Completed Behind Schedule">
      <formula>NOT(ISERROR(SEARCH("Completed Behind Schedule",E38)))</formula>
    </cfRule>
    <cfRule type="containsText" dxfId="665" priority="847" operator="containsText" text="Off Target">
      <formula>NOT(ISERROR(SEARCH("Off Target",E38)))</formula>
    </cfRule>
    <cfRule type="containsText" dxfId="664" priority="848" operator="containsText" text="In Danger of Falling Behind Target">
      <formula>NOT(ISERROR(SEARCH("In Danger of Falling Behind Target",E38)))</formula>
    </cfRule>
    <cfRule type="containsText" dxfId="663" priority="849" operator="containsText" text="On Track to be Achieved">
      <formula>NOT(ISERROR(SEARCH("On Track to be Achieved",E38)))</formula>
    </cfRule>
    <cfRule type="containsText" dxfId="662" priority="850" operator="containsText" text="Fully Achieved">
      <formula>NOT(ISERROR(SEARCH("Fully Achieved",E38)))</formula>
    </cfRule>
    <cfRule type="containsText" dxfId="661" priority="851" operator="containsText" text="Update not Provided">
      <formula>NOT(ISERROR(SEARCH("Update not Provided",E38)))</formula>
    </cfRule>
    <cfRule type="containsText" dxfId="660" priority="852" operator="containsText" text="Not yet due">
      <formula>NOT(ISERROR(SEARCH("Not yet due",E38)))</formula>
    </cfRule>
    <cfRule type="containsText" dxfId="659" priority="853" operator="containsText" text="Completed Behind Schedule">
      <formula>NOT(ISERROR(SEARCH("Completed Behind Schedule",E38)))</formula>
    </cfRule>
    <cfRule type="containsText" dxfId="658" priority="854" operator="containsText" text="Off Target">
      <formula>NOT(ISERROR(SEARCH("Off Target",E38)))</formula>
    </cfRule>
    <cfRule type="containsText" dxfId="657" priority="855" operator="containsText" text="In Danger of Falling Behind Target">
      <formula>NOT(ISERROR(SEARCH("In Danger of Falling Behind Target",E38)))</formula>
    </cfRule>
    <cfRule type="containsText" dxfId="656" priority="856" operator="containsText" text="On Track to be Achieved">
      <formula>NOT(ISERROR(SEARCH("On Track to be Achieved",E38)))</formula>
    </cfRule>
    <cfRule type="containsText" dxfId="655" priority="857" operator="containsText" text="Fully Achieved">
      <formula>NOT(ISERROR(SEARCH("Fully Achieved",E38)))</formula>
    </cfRule>
    <cfRule type="containsText" dxfId="654" priority="858" operator="containsText" text="Fully Achieved">
      <formula>NOT(ISERROR(SEARCH("Fully Achieved",E38)))</formula>
    </cfRule>
    <cfRule type="containsText" dxfId="653" priority="859" operator="containsText" text="Fully Achieved">
      <formula>NOT(ISERROR(SEARCH("Fully Achieved",E38)))</formula>
    </cfRule>
    <cfRule type="containsText" dxfId="652" priority="860" operator="containsText" text="Deferred">
      <formula>NOT(ISERROR(SEARCH("Deferred",E38)))</formula>
    </cfRule>
    <cfRule type="containsText" dxfId="651" priority="861" operator="containsText" text="Deleted">
      <formula>NOT(ISERROR(SEARCH("Deleted",E38)))</formula>
    </cfRule>
    <cfRule type="containsText" dxfId="650" priority="862" operator="containsText" text="In Danger of Falling Behind Target">
      <formula>NOT(ISERROR(SEARCH("In Danger of Falling Behind Target",E38)))</formula>
    </cfRule>
    <cfRule type="containsText" dxfId="649" priority="863" operator="containsText" text="Not yet due">
      <formula>NOT(ISERROR(SEARCH("Not yet due",E38)))</formula>
    </cfRule>
    <cfRule type="containsText" dxfId="648" priority="864" operator="containsText" text="Update not Provided">
      <formula>NOT(ISERROR(SEARCH("Update not Provided",E38)))</formula>
    </cfRule>
  </conditionalFormatting>
  <conditionalFormatting sqref="E40:E41">
    <cfRule type="containsText" dxfId="647" priority="793" operator="containsText" text="On track to be achieved">
      <formula>NOT(ISERROR(SEARCH("On track to be achieved",E40)))</formula>
    </cfRule>
    <cfRule type="containsText" dxfId="646" priority="794" operator="containsText" text="Deferred">
      <formula>NOT(ISERROR(SEARCH("Deferred",E40)))</formula>
    </cfRule>
    <cfRule type="containsText" dxfId="645" priority="795" operator="containsText" text="Deleted">
      <formula>NOT(ISERROR(SEARCH("Deleted",E40)))</formula>
    </cfRule>
    <cfRule type="containsText" dxfId="644" priority="796" operator="containsText" text="In Danger of Falling Behind Target">
      <formula>NOT(ISERROR(SEARCH("In Danger of Falling Behind Target",E40)))</formula>
    </cfRule>
    <cfRule type="containsText" dxfId="643" priority="797" operator="containsText" text="Not yet due">
      <formula>NOT(ISERROR(SEARCH("Not yet due",E40)))</formula>
    </cfRule>
    <cfRule type="containsText" dxfId="642" priority="798" operator="containsText" text="Update not Provided">
      <formula>NOT(ISERROR(SEARCH("Update not Provided",E40)))</formula>
    </cfRule>
    <cfRule type="containsText" dxfId="641" priority="799" operator="containsText" text="Not yet due">
      <formula>NOT(ISERROR(SEARCH("Not yet due",E40)))</formula>
    </cfRule>
    <cfRule type="containsText" dxfId="640" priority="800" operator="containsText" text="Completed Behind Schedule">
      <formula>NOT(ISERROR(SEARCH("Completed Behind Schedule",E40)))</formula>
    </cfRule>
    <cfRule type="containsText" dxfId="639" priority="801" operator="containsText" text="Off Target">
      <formula>NOT(ISERROR(SEARCH("Off Target",E40)))</formula>
    </cfRule>
    <cfRule type="containsText" dxfId="638" priority="802" operator="containsText" text="On Track to be Achieved">
      <formula>NOT(ISERROR(SEARCH("On Track to be Achieved",E40)))</formula>
    </cfRule>
    <cfRule type="containsText" dxfId="637" priority="803" operator="containsText" text="Fully Achieved">
      <formula>NOT(ISERROR(SEARCH("Fully Achieved",E40)))</formula>
    </cfRule>
    <cfRule type="containsText" dxfId="636" priority="804" operator="containsText" text="Not yet due">
      <formula>NOT(ISERROR(SEARCH("Not yet due",E40)))</formula>
    </cfRule>
    <cfRule type="containsText" dxfId="635" priority="805" operator="containsText" text="Not Yet Due">
      <formula>NOT(ISERROR(SEARCH("Not Yet Due",E40)))</formula>
    </cfRule>
    <cfRule type="containsText" dxfId="634" priority="806" operator="containsText" text="Deferred">
      <formula>NOT(ISERROR(SEARCH("Deferred",E40)))</formula>
    </cfRule>
    <cfRule type="containsText" dxfId="633" priority="807" operator="containsText" text="Deleted">
      <formula>NOT(ISERROR(SEARCH("Deleted",E40)))</formula>
    </cfRule>
    <cfRule type="containsText" dxfId="632" priority="808" operator="containsText" text="In Danger of Falling Behind Target">
      <formula>NOT(ISERROR(SEARCH("In Danger of Falling Behind Target",E40)))</formula>
    </cfRule>
    <cfRule type="containsText" dxfId="631" priority="809" operator="containsText" text="Not yet due">
      <formula>NOT(ISERROR(SEARCH("Not yet due",E40)))</formula>
    </cfRule>
    <cfRule type="containsText" dxfId="630" priority="810" operator="containsText" text="Completed Behind Schedule">
      <formula>NOT(ISERROR(SEARCH("Completed Behind Schedule",E40)))</formula>
    </cfRule>
    <cfRule type="containsText" dxfId="629" priority="811" operator="containsText" text="Off Target">
      <formula>NOT(ISERROR(SEARCH("Off Target",E40)))</formula>
    </cfRule>
    <cfRule type="containsText" dxfId="628" priority="812" operator="containsText" text="In Danger of Falling Behind Target">
      <formula>NOT(ISERROR(SEARCH("In Danger of Falling Behind Target",E40)))</formula>
    </cfRule>
    <cfRule type="containsText" dxfId="627" priority="813" operator="containsText" text="On Track to be Achieved">
      <formula>NOT(ISERROR(SEARCH("On Track to be Achieved",E40)))</formula>
    </cfRule>
    <cfRule type="containsText" dxfId="626" priority="814" operator="containsText" text="Fully Achieved">
      <formula>NOT(ISERROR(SEARCH("Fully Achieved",E40)))</formula>
    </cfRule>
    <cfRule type="containsText" dxfId="625" priority="815" operator="containsText" text="Update not Provided">
      <formula>NOT(ISERROR(SEARCH("Update not Provided",E40)))</formula>
    </cfRule>
    <cfRule type="containsText" dxfId="624" priority="816" operator="containsText" text="Not yet due">
      <formula>NOT(ISERROR(SEARCH("Not yet due",E40)))</formula>
    </cfRule>
    <cfRule type="containsText" dxfId="623" priority="817" operator="containsText" text="Completed Behind Schedule">
      <formula>NOT(ISERROR(SEARCH("Completed Behind Schedule",E40)))</formula>
    </cfRule>
    <cfRule type="containsText" dxfId="622" priority="818" operator="containsText" text="Off Target">
      <formula>NOT(ISERROR(SEARCH("Off Target",E40)))</formula>
    </cfRule>
    <cfRule type="containsText" dxfId="621" priority="819" operator="containsText" text="In Danger of Falling Behind Target">
      <formula>NOT(ISERROR(SEARCH("In Danger of Falling Behind Target",E40)))</formula>
    </cfRule>
    <cfRule type="containsText" dxfId="620" priority="820" operator="containsText" text="On Track to be Achieved">
      <formula>NOT(ISERROR(SEARCH("On Track to be Achieved",E40)))</formula>
    </cfRule>
    <cfRule type="containsText" dxfId="619" priority="821" operator="containsText" text="Fully Achieved">
      <formula>NOT(ISERROR(SEARCH("Fully Achieved",E40)))</formula>
    </cfRule>
    <cfRule type="containsText" dxfId="618" priority="822" operator="containsText" text="Fully Achieved">
      <formula>NOT(ISERROR(SEARCH("Fully Achieved",E40)))</formula>
    </cfRule>
    <cfRule type="containsText" dxfId="617" priority="823" operator="containsText" text="Fully Achieved">
      <formula>NOT(ISERROR(SEARCH("Fully Achieved",E40)))</formula>
    </cfRule>
    <cfRule type="containsText" dxfId="616" priority="824" operator="containsText" text="Deferred">
      <formula>NOT(ISERROR(SEARCH("Deferred",E40)))</formula>
    </cfRule>
    <cfRule type="containsText" dxfId="615" priority="825" operator="containsText" text="Deleted">
      <formula>NOT(ISERROR(SEARCH("Deleted",E40)))</formula>
    </cfRule>
    <cfRule type="containsText" dxfId="614" priority="826" operator="containsText" text="In Danger of Falling Behind Target">
      <formula>NOT(ISERROR(SEARCH("In Danger of Falling Behind Target",E40)))</formula>
    </cfRule>
    <cfRule type="containsText" dxfId="613" priority="827" operator="containsText" text="Not yet due">
      <formula>NOT(ISERROR(SEARCH("Not yet due",E40)))</formula>
    </cfRule>
    <cfRule type="containsText" dxfId="612" priority="828" operator="containsText" text="Update not Provided">
      <formula>NOT(ISERROR(SEARCH("Update not Provided",E40)))</formula>
    </cfRule>
  </conditionalFormatting>
  <conditionalFormatting sqref="E45:E46">
    <cfRule type="containsText" dxfId="611" priority="757" operator="containsText" text="On track to be achieved">
      <formula>NOT(ISERROR(SEARCH("On track to be achieved",E45)))</formula>
    </cfRule>
    <cfRule type="containsText" dxfId="610" priority="758" operator="containsText" text="Deferred">
      <formula>NOT(ISERROR(SEARCH("Deferred",E45)))</formula>
    </cfRule>
    <cfRule type="containsText" dxfId="609" priority="759" operator="containsText" text="Deleted">
      <formula>NOT(ISERROR(SEARCH("Deleted",E45)))</formula>
    </cfRule>
    <cfRule type="containsText" dxfId="608" priority="760" operator="containsText" text="In Danger of Falling Behind Target">
      <formula>NOT(ISERROR(SEARCH("In Danger of Falling Behind Target",E45)))</formula>
    </cfRule>
    <cfRule type="containsText" dxfId="607" priority="761" operator="containsText" text="Not yet due">
      <formula>NOT(ISERROR(SEARCH("Not yet due",E45)))</formula>
    </cfRule>
    <cfRule type="containsText" dxfId="606" priority="762" operator="containsText" text="Update not Provided">
      <formula>NOT(ISERROR(SEARCH("Update not Provided",E45)))</formula>
    </cfRule>
    <cfRule type="containsText" dxfId="605" priority="763" operator="containsText" text="Not yet due">
      <formula>NOT(ISERROR(SEARCH("Not yet due",E45)))</formula>
    </cfRule>
    <cfRule type="containsText" dxfId="604" priority="764" operator="containsText" text="Completed Behind Schedule">
      <formula>NOT(ISERROR(SEARCH("Completed Behind Schedule",E45)))</formula>
    </cfRule>
    <cfRule type="containsText" dxfId="603" priority="765" operator="containsText" text="Off Target">
      <formula>NOT(ISERROR(SEARCH("Off Target",E45)))</formula>
    </cfRule>
    <cfRule type="containsText" dxfId="602" priority="766" operator="containsText" text="On Track to be Achieved">
      <formula>NOT(ISERROR(SEARCH("On Track to be Achieved",E45)))</formula>
    </cfRule>
    <cfRule type="containsText" dxfId="601" priority="767" operator="containsText" text="Fully Achieved">
      <formula>NOT(ISERROR(SEARCH("Fully Achieved",E45)))</formula>
    </cfRule>
    <cfRule type="containsText" dxfId="600" priority="768" operator="containsText" text="Not yet due">
      <formula>NOT(ISERROR(SEARCH("Not yet due",E45)))</formula>
    </cfRule>
    <cfRule type="containsText" dxfId="599" priority="769" operator="containsText" text="Not Yet Due">
      <formula>NOT(ISERROR(SEARCH("Not Yet Due",E45)))</formula>
    </cfRule>
    <cfRule type="containsText" dxfId="598" priority="770" operator="containsText" text="Deferred">
      <formula>NOT(ISERROR(SEARCH("Deferred",E45)))</formula>
    </cfRule>
    <cfRule type="containsText" dxfId="597" priority="771" operator="containsText" text="Deleted">
      <formula>NOT(ISERROR(SEARCH("Deleted",E45)))</formula>
    </cfRule>
    <cfRule type="containsText" dxfId="596" priority="772" operator="containsText" text="In Danger of Falling Behind Target">
      <formula>NOT(ISERROR(SEARCH("In Danger of Falling Behind Target",E45)))</formula>
    </cfRule>
    <cfRule type="containsText" dxfId="595" priority="773" operator="containsText" text="Not yet due">
      <formula>NOT(ISERROR(SEARCH("Not yet due",E45)))</formula>
    </cfRule>
    <cfRule type="containsText" dxfId="594" priority="774" operator="containsText" text="Completed Behind Schedule">
      <formula>NOT(ISERROR(SEARCH("Completed Behind Schedule",E45)))</formula>
    </cfRule>
    <cfRule type="containsText" dxfId="593" priority="775" operator="containsText" text="Off Target">
      <formula>NOT(ISERROR(SEARCH("Off Target",E45)))</formula>
    </cfRule>
    <cfRule type="containsText" dxfId="592" priority="776" operator="containsText" text="In Danger of Falling Behind Target">
      <formula>NOT(ISERROR(SEARCH("In Danger of Falling Behind Target",E45)))</formula>
    </cfRule>
    <cfRule type="containsText" dxfId="591" priority="777" operator="containsText" text="On Track to be Achieved">
      <formula>NOT(ISERROR(SEARCH("On Track to be Achieved",E45)))</formula>
    </cfRule>
    <cfRule type="containsText" dxfId="590" priority="778" operator="containsText" text="Fully Achieved">
      <formula>NOT(ISERROR(SEARCH("Fully Achieved",E45)))</formula>
    </cfRule>
    <cfRule type="containsText" dxfId="589" priority="779" operator="containsText" text="Update not Provided">
      <formula>NOT(ISERROR(SEARCH("Update not Provided",E45)))</formula>
    </cfRule>
    <cfRule type="containsText" dxfId="588" priority="780" operator="containsText" text="Not yet due">
      <formula>NOT(ISERROR(SEARCH("Not yet due",E45)))</formula>
    </cfRule>
    <cfRule type="containsText" dxfId="587" priority="781" operator="containsText" text="Completed Behind Schedule">
      <formula>NOT(ISERROR(SEARCH("Completed Behind Schedule",E45)))</formula>
    </cfRule>
    <cfRule type="containsText" dxfId="586" priority="782" operator="containsText" text="Off Target">
      <formula>NOT(ISERROR(SEARCH("Off Target",E45)))</formula>
    </cfRule>
    <cfRule type="containsText" dxfId="585" priority="783" operator="containsText" text="In Danger of Falling Behind Target">
      <formula>NOT(ISERROR(SEARCH("In Danger of Falling Behind Target",E45)))</formula>
    </cfRule>
    <cfRule type="containsText" dxfId="584" priority="784" operator="containsText" text="On Track to be Achieved">
      <formula>NOT(ISERROR(SEARCH("On Track to be Achieved",E45)))</formula>
    </cfRule>
    <cfRule type="containsText" dxfId="583" priority="785" operator="containsText" text="Fully Achieved">
      <formula>NOT(ISERROR(SEARCH("Fully Achieved",E45)))</formula>
    </cfRule>
    <cfRule type="containsText" dxfId="582" priority="786" operator="containsText" text="Fully Achieved">
      <formula>NOT(ISERROR(SEARCH("Fully Achieved",E45)))</formula>
    </cfRule>
    <cfRule type="containsText" dxfId="581" priority="787" operator="containsText" text="Fully Achieved">
      <formula>NOT(ISERROR(SEARCH("Fully Achieved",E45)))</formula>
    </cfRule>
    <cfRule type="containsText" dxfId="580" priority="788" operator="containsText" text="Deferred">
      <formula>NOT(ISERROR(SEARCH("Deferred",E45)))</formula>
    </cfRule>
    <cfRule type="containsText" dxfId="579" priority="789" operator="containsText" text="Deleted">
      <formula>NOT(ISERROR(SEARCH("Deleted",E45)))</formula>
    </cfRule>
    <cfRule type="containsText" dxfId="578" priority="790" operator="containsText" text="In Danger of Falling Behind Target">
      <formula>NOT(ISERROR(SEARCH("In Danger of Falling Behind Target",E45)))</formula>
    </cfRule>
    <cfRule type="containsText" dxfId="577" priority="791" operator="containsText" text="Not yet due">
      <formula>NOT(ISERROR(SEARCH("Not yet due",E45)))</formula>
    </cfRule>
    <cfRule type="containsText" dxfId="576" priority="792" operator="containsText" text="Update not Provided">
      <formula>NOT(ISERROR(SEARCH("Update not Provided",E45)))</formula>
    </cfRule>
  </conditionalFormatting>
  <conditionalFormatting sqref="E47:E50">
    <cfRule type="containsText" dxfId="575" priority="721" operator="containsText" text="On track to be achieved">
      <formula>NOT(ISERROR(SEARCH("On track to be achieved",E47)))</formula>
    </cfRule>
    <cfRule type="containsText" dxfId="574" priority="722" operator="containsText" text="Deferred">
      <formula>NOT(ISERROR(SEARCH("Deferred",E47)))</formula>
    </cfRule>
    <cfRule type="containsText" dxfId="573" priority="723" operator="containsText" text="Deleted">
      <formula>NOT(ISERROR(SEARCH("Deleted",E47)))</formula>
    </cfRule>
    <cfRule type="containsText" dxfId="572" priority="724" operator="containsText" text="In Danger of Falling Behind Target">
      <formula>NOT(ISERROR(SEARCH("In Danger of Falling Behind Target",E47)))</formula>
    </cfRule>
    <cfRule type="containsText" dxfId="571" priority="725" operator="containsText" text="Not yet due">
      <formula>NOT(ISERROR(SEARCH("Not yet due",E47)))</formula>
    </cfRule>
    <cfRule type="containsText" dxfId="570" priority="726" operator="containsText" text="Update not Provided">
      <formula>NOT(ISERROR(SEARCH("Update not Provided",E47)))</formula>
    </cfRule>
    <cfRule type="containsText" dxfId="569" priority="727" operator="containsText" text="Not yet due">
      <formula>NOT(ISERROR(SEARCH("Not yet due",E47)))</formula>
    </cfRule>
    <cfRule type="containsText" dxfId="568" priority="728" operator="containsText" text="Completed Behind Schedule">
      <formula>NOT(ISERROR(SEARCH("Completed Behind Schedule",E47)))</formula>
    </cfRule>
    <cfRule type="containsText" dxfId="567" priority="729" operator="containsText" text="Off Target">
      <formula>NOT(ISERROR(SEARCH("Off Target",E47)))</formula>
    </cfRule>
    <cfRule type="containsText" dxfId="566" priority="730" operator="containsText" text="On Track to be Achieved">
      <formula>NOT(ISERROR(SEARCH("On Track to be Achieved",E47)))</formula>
    </cfRule>
    <cfRule type="containsText" dxfId="565" priority="731" operator="containsText" text="Fully Achieved">
      <formula>NOT(ISERROR(SEARCH("Fully Achieved",E47)))</formula>
    </cfRule>
    <cfRule type="containsText" dxfId="564" priority="732" operator="containsText" text="Not yet due">
      <formula>NOT(ISERROR(SEARCH("Not yet due",E47)))</formula>
    </cfRule>
    <cfRule type="containsText" dxfId="563" priority="733" operator="containsText" text="Not Yet Due">
      <formula>NOT(ISERROR(SEARCH("Not Yet Due",E47)))</formula>
    </cfRule>
    <cfRule type="containsText" dxfId="562" priority="734" operator="containsText" text="Deferred">
      <formula>NOT(ISERROR(SEARCH("Deferred",E47)))</formula>
    </cfRule>
    <cfRule type="containsText" dxfId="561" priority="735" operator="containsText" text="Deleted">
      <formula>NOT(ISERROR(SEARCH("Deleted",E47)))</formula>
    </cfRule>
    <cfRule type="containsText" dxfId="560" priority="736" operator="containsText" text="In Danger of Falling Behind Target">
      <formula>NOT(ISERROR(SEARCH("In Danger of Falling Behind Target",E47)))</formula>
    </cfRule>
    <cfRule type="containsText" dxfId="559" priority="737" operator="containsText" text="Not yet due">
      <formula>NOT(ISERROR(SEARCH("Not yet due",E47)))</formula>
    </cfRule>
    <cfRule type="containsText" dxfId="558" priority="738" operator="containsText" text="Completed Behind Schedule">
      <formula>NOT(ISERROR(SEARCH("Completed Behind Schedule",E47)))</formula>
    </cfRule>
    <cfRule type="containsText" dxfId="557" priority="739" operator="containsText" text="Off Target">
      <formula>NOT(ISERROR(SEARCH("Off Target",E47)))</formula>
    </cfRule>
    <cfRule type="containsText" dxfId="556" priority="740" operator="containsText" text="In Danger of Falling Behind Target">
      <formula>NOT(ISERROR(SEARCH("In Danger of Falling Behind Target",E47)))</formula>
    </cfRule>
    <cfRule type="containsText" dxfId="555" priority="741" operator="containsText" text="On Track to be Achieved">
      <formula>NOT(ISERROR(SEARCH("On Track to be Achieved",E47)))</formula>
    </cfRule>
    <cfRule type="containsText" dxfId="554" priority="742" operator="containsText" text="Fully Achieved">
      <formula>NOT(ISERROR(SEARCH("Fully Achieved",E47)))</formula>
    </cfRule>
    <cfRule type="containsText" dxfId="553" priority="743" operator="containsText" text="Update not Provided">
      <formula>NOT(ISERROR(SEARCH("Update not Provided",E47)))</formula>
    </cfRule>
    <cfRule type="containsText" dxfId="552" priority="744" operator="containsText" text="Not yet due">
      <formula>NOT(ISERROR(SEARCH("Not yet due",E47)))</formula>
    </cfRule>
    <cfRule type="containsText" dxfId="551" priority="745" operator="containsText" text="Completed Behind Schedule">
      <formula>NOT(ISERROR(SEARCH("Completed Behind Schedule",E47)))</formula>
    </cfRule>
    <cfRule type="containsText" dxfId="550" priority="746" operator="containsText" text="Off Target">
      <formula>NOT(ISERROR(SEARCH("Off Target",E47)))</formula>
    </cfRule>
    <cfRule type="containsText" dxfId="549" priority="747" operator="containsText" text="In Danger of Falling Behind Target">
      <formula>NOT(ISERROR(SEARCH("In Danger of Falling Behind Target",E47)))</formula>
    </cfRule>
    <cfRule type="containsText" dxfId="548" priority="748" operator="containsText" text="On Track to be Achieved">
      <formula>NOT(ISERROR(SEARCH("On Track to be Achieved",E47)))</formula>
    </cfRule>
    <cfRule type="containsText" dxfId="547" priority="749" operator="containsText" text="Fully Achieved">
      <formula>NOT(ISERROR(SEARCH("Fully Achieved",E47)))</formula>
    </cfRule>
    <cfRule type="containsText" dxfId="546" priority="750" operator="containsText" text="Fully Achieved">
      <formula>NOT(ISERROR(SEARCH("Fully Achieved",E47)))</formula>
    </cfRule>
    <cfRule type="containsText" dxfId="545" priority="751" operator="containsText" text="Fully Achieved">
      <formula>NOT(ISERROR(SEARCH("Fully Achieved",E47)))</formula>
    </cfRule>
    <cfRule type="containsText" dxfId="544" priority="752" operator="containsText" text="Deferred">
      <formula>NOT(ISERROR(SEARCH("Deferred",E47)))</formula>
    </cfRule>
    <cfRule type="containsText" dxfId="543" priority="753" operator="containsText" text="Deleted">
      <formula>NOT(ISERROR(SEARCH("Deleted",E47)))</formula>
    </cfRule>
    <cfRule type="containsText" dxfId="542" priority="754" operator="containsText" text="In Danger of Falling Behind Target">
      <formula>NOT(ISERROR(SEARCH("In Danger of Falling Behind Target",E47)))</formula>
    </cfRule>
    <cfRule type="containsText" dxfId="541" priority="755" operator="containsText" text="Not yet due">
      <formula>NOT(ISERROR(SEARCH("Not yet due",E47)))</formula>
    </cfRule>
    <cfRule type="containsText" dxfId="540" priority="756" operator="containsText" text="Update not Provided">
      <formula>NOT(ISERROR(SEARCH("Update not Provided",E47)))</formula>
    </cfRule>
  </conditionalFormatting>
  <conditionalFormatting sqref="E53">
    <cfRule type="containsText" dxfId="539" priority="685" operator="containsText" text="On track to be achieved">
      <formula>NOT(ISERROR(SEARCH("On track to be achieved",E53)))</formula>
    </cfRule>
    <cfRule type="containsText" dxfId="538" priority="686" operator="containsText" text="Deferred">
      <formula>NOT(ISERROR(SEARCH("Deferred",E53)))</formula>
    </cfRule>
    <cfRule type="containsText" dxfId="537" priority="687" operator="containsText" text="Deleted">
      <formula>NOT(ISERROR(SEARCH("Deleted",E53)))</formula>
    </cfRule>
    <cfRule type="containsText" dxfId="536" priority="688" operator="containsText" text="In Danger of Falling Behind Target">
      <formula>NOT(ISERROR(SEARCH("In Danger of Falling Behind Target",E53)))</formula>
    </cfRule>
    <cfRule type="containsText" dxfId="535" priority="689" operator="containsText" text="Not yet due">
      <formula>NOT(ISERROR(SEARCH("Not yet due",E53)))</formula>
    </cfRule>
    <cfRule type="containsText" dxfId="534" priority="690" operator="containsText" text="Update not Provided">
      <formula>NOT(ISERROR(SEARCH("Update not Provided",E53)))</formula>
    </cfRule>
    <cfRule type="containsText" dxfId="533" priority="691" operator="containsText" text="Not yet due">
      <formula>NOT(ISERROR(SEARCH("Not yet due",E53)))</formula>
    </cfRule>
    <cfRule type="containsText" dxfId="532" priority="692" operator="containsText" text="Completed Behind Schedule">
      <formula>NOT(ISERROR(SEARCH("Completed Behind Schedule",E53)))</formula>
    </cfRule>
    <cfRule type="containsText" dxfId="531" priority="693" operator="containsText" text="Off Target">
      <formula>NOT(ISERROR(SEARCH("Off Target",E53)))</formula>
    </cfRule>
    <cfRule type="containsText" dxfId="530" priority="694" operator="containsText" text="On Track to be Achieved">
      <formula>NOT(ISERROR(SEARCH("On Track to be Achieved",E53)))</formula>
    </cfRule>
    <cfRule type="containsText" dxfId="529" priority="695" operator="containsText" text="Fully Achieved">
      <formula>NOT(ISERROR(SEARCH("Fully Achieved",E53)))</formula>
    </cfRule>
    <cfRule type="containsText" dxfId="528" priority="696" operator="containsText" text="Not yet due">
      <formula>NOT(ISERROR(SEARCH("Not yet due",E53)))</formula>
    </cfRule>
    <cfRule type="containsText" dxfId="527" priority="697" operator="containsText" text="Not Yet Due">
      <formula>NOT(ISERROR(SEARCH("Not Yet Due",E53)))</formula>
    </cfRule>
    <cfRule type="containsText" dxfId="526" priority="698" operator="containsText" text="Deferred">
      <formula>NOT(ISERROR(SEARCH("Deferred",E53)))</formula>
    </cfRule>
    <cfRule type="containsText" dxfId="525" priority="699" operator="containsText" text="Deleted">
      <formula>NOT(ISERROR(SEARCH("Deleted",E53)))</formula>
    </cfRule>
    <cfRule type="containsText" dxfId="524" priority="700" operator="containsText" text="In Danger of Falling Behind Target">
      <formula>NOT(ISERROR(SEARCH("In Danger of Falling Behind Target",E53)))</formula>
    </cfRule>
    <cfRule type="containsText" dxfId="523" priority="701" operator="containsText" text="Not yet due">
      <formula>NOT(ISERROR(SEARCH("Not yet due",E53)))</formula>
    </cfRule>
    <cfRule type="containsText" dxfId="522" priority="702" operator="containsText" text="Completed Behind Schedule">
      <formula>NOT(ISERROR(SEARCH("Completed Behind Schedule",E53)))</formula>
    </cfRule>
    <cfRule type="containsText" dxfId="521" priority="703" operator="containsText" text="Off Target">
      <formula>NOT(ISERROR(SEARCH("Off Target",E53)))</formula>
    </cfRule>
    <cfRule type="containsText" dxfId="520" priority="704" operator="containsText" text="In Danger of Falling Behind Target">
      <formula>NOT(ISERROR(SEARCH("In Danger of Falling Behind Target",E53)))</formula>
    </cfRule>
    <cfRule type="containsText" dxfId="519" priority="705" operator="containsText" text="On Track to be Achieved">
      <formula>NOT(ISERROR(SEARCH("On Track to be Achieved",E53)))</formula>
    </cfRule>
    <cfRule type="containsText" dxfId="518" priority="706" operator="containsText" text="Fully Achieved">
      <formula>NOT(ISERROR(SEARCH("Fully Achieved",E53)))</formula>
    </cfRule>
    <cfRule type="containsText" dxfId="517" priority="707" operator="containsText" text="Update not Provided">
      <formula>NOT(ISERROR(SEARCH("Update not Provided",E53)))</formula>
    </cfRule>
    <cfRule type="containsText" dxfId="516" priority="708" operator="containsText" text="Not yet due">
      <formula>NOT(ISERROR(SEARCH("Not yet due",E53)))</formula>
    </cfRule>
    <cfRule type="containsText" dxfId="515" priority="709" operator="containsText" text="Completed Behind Schedule">
      <formula>NOT(ISERROR(SEARCH("Completed Behind Schedule",E53)))</formula>
    </cfRule>
    <cfRule type="containsText" dxfId="514" priority="710" operator="containsText" text="Off Target">
      <formula>NOT(ISERROR(SEARCH("Off Target",E53)))</formula>
    </cfRule>
    <cfRule type="containsText" dxfId="513" priority="711" operator="containsText" text="In Danger of Falling Behind Target">
      <formula>NOT(ISERROR(SEARCH("In Danger of Falling Behind Target",E53)))</formula>
    </cfRule>
    <cfRule type="containsText" dxfId="512" priority="712" operator="containsText" text="On Track to be Achieved">
      <formula>NOT(ISERROR(SEARCH("On Track to be Achieved",E53)))</formula>
    </cfRule>
    <cfRule type="containsText" dxfId="511" priority="713" operator="containsText" text="Fully Achieved">
      <formula>NOT(ISERROR(SEARCH("Fully Achieved",E53)))</formula>
    </cfRule>
    <cfRule type="containsText" dxfId="510" priority="714" operator="containsText" text="Fully Achieved">
      <formula>NOT(ISERROR(SEARCH("Fully Achieved",E53)))</formula>
    </cfRule>
    <cfRule type="containsText" dxfId="509" priority="715" operator="containsText" text="Fully Achieved">
      <formula>NOT(ISERROR(SEARCH("Fully Achieved",E53)))</formula>
    </cfRule>
    <cfRule type="containsText" dxfId="508" priority="716" operator="containsText" text="Deferred">
      <formula>NOT(ISERROR(SEARCH("Deferred",E53)))</formula>
    </cfRule>
    <cfRule type="containsText" dxfId="507" priority="717" operator="containsText" text="Deleted">
      <formula>NOT(ISERROR(SEARCH("Deleted",E53)))</formula>
    </cfRule>
    <cfRule type="containsText" dxfId="506" priority="718" operator="containsText" text="In Danger of Falling Behind Target">
      <formula>NOT(ISERROR(SEARCH("In Danger of Falling Behind Target",E53)))</formula>
    </cfRule>
    <cfRule type="containsText" dxfId="505" priority="719" operator="containsText" text="Not yet due">
      <formula>NOT(ISERROR(SEARCH("Not yet due",E53)))</formula>
    </cfRule>
    <cfRule type="containsText" dxfId="504" priority="720" operator="containsText" text="Update not Provided">
      <formula>NOT(ISERROR(SEARCH("Update not Provided",E53)))</formula>
    </cfRule>
  </conditionalFormatting>
  <conditionalFormatting sqref="E55:E56">
    <cfRule type="containsText" dxfId="503" priority="649" operator="containsText" text="On track to be achieved">
      <formula>NOT(ISERROR(SEARCH("On track to be achieved",E55)))</formula>
    </cfRule>
    <cfRule type="containsText" dxfId="502" priority="650" operator="containsText" text="Deferred">
      <formula>NOT(ISERROR(SEARCH("Deferred",E55)))</formula>
    </cfRule>
    <cfRule type="containsText" dxfId="501" priority="651" operator="containsText" text="Deleted">
      <formula>NOT(ISERROR(SEARCH("Deleted",E55)))</formula>
    </cfRule>
    <cfRule type="containsText" dxfId="500" priority="652" operator="containsText" text="In Danger of Falling Behind Target">
      <formula>NOT(ISERROR(SEARCH("In Danger of Falling Behind Target",E55)))</formula>
    </cfRule>
    <cfRule type="containsText" dxfId="499" priority="653" operator="containsText" text="Not yet due">
      <formula>NOT(ISERROR(SEARCH("Not yet due",E55)))</formula>
    </cfRule>
    <cfRule type="containsText" dxfId="498" priority="654" operator="containsText" text="Update not Provided">
      <formula>NOT(ISERROR(SEARCH("Update not Provided",E55)))</formula>
    </cfRule>
    <cfRule type="containsText" dxfId="497" priority="655" operator="containsText" text="Not yet due">
      <formula>NOT(ISERROR(SEARCH("Not yet due",E55)))</formula>
    </cfRule>
    <cfRule type="containsText" dxfId="496" priority="656" operator="containsText" text="Completed Behind Schedule">
      <formula>NOT(ISERROR(SEARCH("Completed Behind Schedule",E55)))</formula>
    </cfRule>
    <cfRule type="containsText" dxfId="495" priority="657" operator="containsText" text="Off Target">
      <formula>NOT(ISERROR(SEARCH("Off Target",E55)))</formula>
    </cfRule>
    <cfRule type="containsText" dxfId="494" priority="658" operator="containsText" text="On Track to be Achieved">
      <formula>NOT(ISERROR(SEARCH("On Track to be Achieved",E55)))</formula>
    </cfRule>
    <cfRule type="containsText" dxfId="493" priority="659" operator="containsText" text="Fully Achieved">
      <formula>NOT(ISERROR(SEARCH("Fully Achieved",E55)))</formula>
    </cfRule>
    <cfRule type="containsText" dxfId="492" priority="660" operator="containsText" text="Not yet due">
      <formula>NOT(ISERROR(SEARCH("Not yet due",E55)))</formula>
    </cfRule>
    <cfRule type="containsText" dxfId="491" priority="661" operator="containsText" text="Not Yet Due">
      <formula>NOT(ISERROR(SEARCH("Not Yet Due",E55)))</formula>
    </cfRule>
    <cfRule type="containsText" dxfId="490" priority="662" operator="containsText" text="Deferred">
      <formula>NOT(ISERROR(SEARCH("Deferred",E55)))</formula>
    </cfRule>
    <cfRule type="containsText" dxfId="489" priority="663" operator="containsText" text="Deleted">
      <formula>NOT(ISERROR(SEARCH("Deleted",E55)))</formula>
    </cfRule>
    <cfRule type="containsText" dxfId="488" priority="664" operator="containsText" text="In Danger of Falling Behind Target">
      <formula>NOT(ISERROR(SEARCH("In Danger of Falling Behind Target",E55)))</formula>
    </cfRule>
    <cfRule type="containsText" dxfId="487" priority="665" operator="containsText" text="Not yet due">
      <formula>NOT(ISERROR(SEARCH("Not yet due",E55)))</formula>
    </cfRule>
    <cfRule type="containsText" dxfId="486" priority="666" operator="containsText" text="Completed Behind Schedule">
      <formula>NOT(ISERROR(SEARCH("Completed Behind Schedule",E55)))</formula>
    </cfRule>
    <cfRule type="containsText" dxfId="485" priority="667" operator="containsText" text="Off Target">
      <formula>NOT(ISERROR(SEARCH("Off Target",E55)))</formula>
    </cfRule>
    <cfRule type="containsText" dxfId="484" priority="668" operator="containsText" text="In Danger of Falling Behind Target">
      <formula>NOT(ISERROR(SEARCH("In Danger of Falling Behind Target",E55)))</formula>
    </cfRule>
    <cfRule type="containsText" dxfId="483" priority="669" operator="containsText" text="On Track to be Achieved">
      <formula>NOT(ISERROR(SEARCH("On Track to be Achieved",E55)))</formula>
    </cfRule>
    <cfRule type="containsText" dxfId="482" priority="670" operator="containsText" text="Fully Achieved">
      <formula>NOT(ISERROR(SEARCH("Fully Achieved",E55)))</formula>
    </cfRule>
    <cfRule type="containsText" dxfId="481" priority="671" operator="containsText" text="Update not Provided">
      <formula>NOT(ISERROR(SEARCH("Update not Provided",E55)))</formula>
    </cfRule>
    <cfRule type="containsText" dxfId="480" priority="672" operator="containsText" text="Not yet due">
      <formula>NOT(ISERROR(SEARCH("Not yet due",E55)))</formula>
    </cfRule>
    <cfRule type="containsText" dxfId="479" priority="673" operator="containsText" text="Completed Behind Schedule">
      <formula>NOT(ISERROR(SEARCH("Completed Behind Schedule",E55)))</formula>
    </cfRule>
    <cfRule type="containsText" dxfId="478" priority="674" operator="containsText" text="Off Target">
      <formula>NOT(ISERROR(SEARCH("Off Target",E55)))</formula>
    </cfRule>
    <cfRule type="containsText" dxfId="477" priority="675" operator="containsText" text="In Danger of Falling Behind Target">
      <formula>NOT(ISERROR(SEARCH("In Danger of Falling Behind Target",E55)))</formula>
    </cfRule>
    <cfRule type="containsText" dxfId="476" priority="676" operator="containsText" text="On Track to be Achieved">
      <formula>NOT(ISERROR(SEARCH("On Track to be Achieved",E55)))</formula>
    </cfRule>
    <cfRule type="containsText" dxfId="475" priority="677" operator="containsText" text="Fully Achieved">
      <formula>NOT(ISERROR(SEARCH("Fully Achieved",E55)))</formula>
    </cfRule>
    <cfRule type="containsText" dxfId="474" priority="678" operator="containsText" text="Fully Achieved">
      <formula>NOT(ISERROR(SEARCH("Fully Achieved",E55)))</formula>
    </cfRule>
    <cfRule type="containsText" dxfId="473" priority="679" operator="containsText" text="Fully Achieved">
      <formula>NOT(ISERROR(SEARCH("Fully Achieved",E55)))</formula>
    </cfRule>
    <cfRule type="containsText" dxfId="472" priority="680" operator="containsText" text="Deferred">
      <formula>NOT(ISERROR(SEARCH("Deferred",E55)))</formula>
    </cfRule>
    <cfRule type="containsText" dxfId="471" priority="681" operator="containsText" text="Deleted">
      <formula>NOT(ISERROR(SEARCH("Deleted",E55)))</formula>
    </cfRule>
    <cfRule type="containsText" dxfId="470" priority="682" operator="containsText" text="In Danger of Falling Behind Target">
      <formula>NOT(ISERROR(SEARCH("In Danger of Falling Behind Target",E55)))</formula>
    </cfRule>
    <cfRule type="containsText" dxfId="469" priority="683" operator="containsText" text="Not yet due">
      <formula>NOT(ISERROR(SEARCH("Not yet due",E55)))</formula>
    </cfRule>
    <cfRule type="containsText" dxfId="468" priority="684" operator="containsText" text="Update not Provided">
      <formula>NOT(ISERROR(SEARCH("Update not Provided",E55)))</formula>
    </cfRule>
  </conditionalFormatting>
  <conditionalFormatting sqref="E58">
    <cfRule type="containsText" dxfId="467" priority="613" operator="containsText" text="On track to be achieved">
      <formula>NOT(ISERROR(SEARCH("On track to be achieved",E58)))</formula>
    </cfRule>
    <cfRule type="containsText" dxfId="466" priority="614" operator="containsText" text="Deferred">
      <formula>NOT(ISERROR(SEARCH("Deferred",E58)))</formula>
    </cfRule>
    <cfRule type="containsText" dxfId="465" priority="615" operator="containsText" text="Deleted">
      <formula>NOT(ISERROR(SEARCH("Deleted",E58)))</formula>
    </cfRule>
    <cfRule type="containsText" dxfId="464" priority="616" operator="containsText" text="In Danger of Falling Behind Target">
      <formula>NOT(ISERROR(SEARCH("In Danger of Falling Behind Target",E58)))</formula>
    </cfRule>
    <cfRule type="containsText" dxfId="463" priority="617" operator="containsText" text="Not yet due">
      <formula>NOT(ISERROR(SEARCH("Not yet due",E58)))</formula>
    </cfRule>
    <cfRule type="containsText" dxfId="462" priority="618" operator="containsText" text="Update not Provided">
      <formula>NOT(ISERROR(SEARCH("Update not Provided",E58)))</formula>
    </cfRule>
    <cfRule type="containsText" dxfId="461" priority="619" operator="containsText" text="Not yet due">
      <formula>NOT(ISERROR(SEARCH("Not yet due",E58)))</formula>
    </cfRule>
    <cfRule type="containsText" dxfId="460" priority="620" operator="containsText" text="Completed Behind Schedule">
      <formula>NOT(ISERROR(SEARCH("Completed Behind Schedule",E58)))</formula>
    </cfRule>
    <cfRule type="containsText" dxfId="459" priority="621" operator="containsText" text="Off Target">
      <formula>NOT(ISERROR(SEARCH("Off Target",E58)))</formula>
    </cfRule>
    <cfRule type="containsText" dxfId="458" priority="622" operator="containsText" text="On Track to be Achieved">
      <formula>NOT(ISERROR(SEARCH("On Track to be Achieved",E58)))</formula>
    </cfRule>
    <cfRule type="containsText" dxfId="457" priority="623" operator="containsText" text="Fully Achieved">
      <formula>NOT(ISERROR(SEARCH("Fully Achieved",E58)))</formula>
    </cfRule>
    <cfRule type="containsText" dxfId="456" priority="624" operator="containsText" text="Not yet due">
      <formula>NOT(ISERROR(SEARCH("Not yet due",E58)))</formula>
    </cfRule>
    <cfRule type="containsText" dxfId="455" priority="625" operator="containsText" text="Not Yet Due">
      <formula>NOT(ISERROR(SEARCH("Not Yet Due",E58)))</formula>
    </cfRule>
    <cfRule type="containsText" dxfId="454" priority="626" operator="containsText" text="Deferred">
      <formula>NOT(ISERROR(SEARCH("Deferred",E58)))</formula>
    </cfRule>
    <cfRule type="containsText" dxfId="453" priority="627" operator="containsText" text="Deleted">
      <formula>NOT(ISERROR(SEARCH("Deleted",E58)))</formula>
    </cfRule>
    <cfRule type="containsText" dxfId="452" priority="628" operator="containsText" text="In Danger of Falling Behind Target">
      <formula>NOT(ISERROR(SEARCH("In Danger of Falling Behind Target",E58)))</formula>
    </cfRule>
    <cfRule type="containsText" dxfId="451" priority="629" operator="containsText" text="Not yet due">
      <formula>NOT(ISERROR(SEARCH("Not yet due",E58)))</formula>
    </cfRule>
    <cfRule type="containsText" dxfId="450" priority="630" operator="containsText" text="Completed Behind Schedule">
      <formula>NOT(ISERROR(SEARCH("Completed Behind Schedule",E58)))</formula>
    </cfRule>
    <cfRule type="containsText" dxfId="449" priority="631" operator="containsText" text="Off Target">
      <formula>NOT(ISERROR(SEARCH("Off Target",E58)))</formula>
    </cfRule>
    <cfRule type="containsText" dxfId="448" priority="632" operator="containsText" text="In Danger of Falling Behind Target">
      <formula>NOT(ISERROR(SEARCH("In Danger of Falling Behind Target",E58)))</formula>
    </cfRule>
    <cfRule type="containsText" dxfId="447" priority="633" operator="containsText" text="On Track to be Achieved">
      <formula>NOT(ISERROR(SEARCH("On Track to be Achieved",E58)))</formula>
    </cfRule>
    <cfRule type="containsText" dxfId="446" priority="634" operator="containsText" text="Fully Achieved">
      <formula>NOT(ISERROR(SEARCH("Fully Achieved",E58)))</formula>
    </cfRule>
    <cfRule type="containsText" dxfId="445" priority="635" operator="containsText" text="Update not Provided">
      <formula>NOT(ISERROR(SEARCH("Update not Provided",E58)))</formula>
    </cfRule>
    <cfRule type="containsText" dxfId="444" priority="636" operator="containsText" text="Not yet due">
      <formula>NOT(ISERROR(SEARCH("Not yet due",E58)))</formula>
    </cfRule>
    <cfRule type="containsText" dxfId="443" priority="637" operator="containsText" text="Completed Behind Schedule">
      <formula>NOT(ISERROR(SEARCH("Completed Behind Schedule",E58)))</formula>
    </cfRule>
    <cfRule type="containsText" dxfId="442" priority="638" operator="containsText" text="Off Target">
      <formula>NOT(ISERROR(SEARCH("Off Target",E58)))</formula>
    </cfRule>
    <cfRule type="containsText" dxfId="441" priority="639" operator="containsText" text="In Danger of Falling Behind Target">
      <formula>NOT(ISERROR(SEARCH("In Danger of Falling Behind Target",E58)))</formula>
    </cfRule>
    <cfRule type="containsText" dxfId="440" priority="640" operator="containsText" text="On Track to be Achieved">
      <formula>NOT(ISERROR(SEARCH("On Track to be Achieved",E58)))</formula>
    </cfRule>
    <cfRule type="containsText" dxfId="439" priority="641" operator="containsText" text="Fully Achieved">
      <formula>NOT(ISERROR(SEARCH("Fully Achieved",E58)))</formula>
    </cfRule>
    <cfRule type="containsText" dxfId="438" priority="642" operator="containsText" text="Fully Achieved">
      <formula>NOT(ISERROR(SEARCH("Fully Achieved",E58)))</formula>
    </cfRule>
    <cfRule type="containsText" dxfId="437" priority="643" operator="containsText" text="Fully Achieved">
      <formula>NOT(ISERROR(SEARCH("Fully Achieved",E58)))</formula>
    </cfRule>
    <cfRule type="containsText" dxfId="436" priority="644" operator="containsText" text="Deferred">
      <formula>NOT(ISERROR(SEARCH("Deferred",E58)))</formula>
    </cfRule>
    <cfRule type="containsText" dxfId="435" priority="645" operator="containsText" text="Deleted">
      <formula>NOT(ISERROR(SEARCH("Deleted",E58)))</formula>
    </cfRule>
    <cfRule type="containsText" dxfId="434" priority="646" operator="containsText" text="In Danger of Falling Behind Target">
      <formula>NOT(ISERROR(SEARCH("In Danger of Falling Behind Target",E58)))</formula>
    </cfRule>
    <cfRule type="containsText" dxfId="433" priority="647" operator="containsText" text="Not yet due">
      <formula>NOT(ISERROR(SEARCH("Not yet due",E58)))</formula>
    </cfRule>
    <cfRule type="containsText" dxfId="432" priority="648" operator="containsText" text="Update not Provided">
      <formula>NOT(ISERROR(SEARCH("Update not Provided",E58)))</formula>
    </cfRule>
  </conditionalFormatting>
  <conditionalFormatting sqref="E60">
    <cfRule type="containsText" dxfId="431" priority="577" operator="containsText" text="On track to be achieved">
      <formula>NOT(ISERROR(SEARCH("On track to be achieved",E60)))</formula>
    </cfRule>
    <cfRule type="containsText" dxfId="430" priority="578" operator="containsText" text="Deferred">
      <formula>NOT(ISERROR(SEARCH("Deferred",E60)))</formula>
    </cfRule>
    <cfRule type="containsText" dxfId="429" priority="579" operator="containsText" text="Deleted">
      <formula>NOT(ISERROR(SEARCH("Deleted",E60)))</formula>
    </cfRule>
    <cfRule type="containsText" dxfId="428" priority="580" operator="containsText" text="In Danger of Falling Behind Target">
      <formula>NOT(ISERROR(SEARCH("In Danger of Falling Behind Target",E60)))</formula>
    </cfRule>
    <cfRule type="containsText" dxfId="427" priority="581" operator="containsText" text="Not yet due">
      <formula>NOT(ISERROR(SEARCH("Not yet due",E60)))</formula>
    </cfRule>
    <cfRule type="containsText" dxfId="426" priority="582" operator="containsText" text="Update not Provided">
      <formula>NOT(ISERROR(SEARCH("Update not Provided",E60)))</formula>
    </cfRule>
    <cfRule type="containsText" dxfId="425" priority="583" operator="containsText" text="Not yet due">
      <formula>NOT(ISERROR(SEARCH("Not yet due",E60)))</formula>
    </cfRule>
    <cfRule type="containsText" dxfId="424" priority="584" operator="containsText" text="Completed Behind Schedule">
      <formula>NOT(ISERROR(SEARCH("Completed Behind Schedule",E60)))</formula>
    </cfRule>
    <cfRule type="containsText" dxfId="423" priority="585" operator="containsText" text="Off Target">
      <formula>NOT(ISERROR(SEARCH("Off Target",E60)))</formula>
    </cfRule>
    <cfRule type="containsText" dxfId="422" priority="586" operator="containsText" text="On Track to be Achieved">
      <formula>NOT(ISERROR(SEARCH("On Track to be Achieved",E60)))</formula>
    </cfRule>
    <cfRule type="containsText" dxfId="421" priority="587" operator="containsText" text="Fully Achieved">
      <formula>NOT(ISERROR(SEARCH("Fully Achieved",E60)))</formula>
    </cfRule>
    <cfRule type="containsText" dxfId="420" priority="588" operator="containsText" text="Not yet due">
      <formula>NOT(ISERROR(SEARCH("Not yet due",E60)))</formula>
    </cfRule>
    <cfRule type="containsText" dxfId="419" priority="589" operator="containsText" text="Not Yet Due">
      <formula>NOT(ISERROR(SEARCH("Not Yet Due",E60)))</formula>
    </cfRule>
    <cfRule type="containsText" dxfId="418" priority="590" operator="containsText" text="Deferred">
      <formula>NOT(ISERROR(SEARCH("Deferred",E60)))</formula>
    </cfRule>
    <cfRule type="containsText" dxfId="417" priority="591" operator="containsText" text="Deleted">
      <formula>NOT(ISERROR(SEARCH("Deleted",E60)))</formula>
    </cfRule>
    <cfRule type="containsText" dxfId="416" priority="592" operator="containsText" text="In Danger of Falling Behind Target">
      <formula>NOT(ISERROR(SEARCH("In Danger of Falling Behind Target",E60)))</formula>
    </cfRule>
    <cfRule type="containsText" dxfId="415" priority="593" operator="containsText" text="Not yet due">
      <formula>NOT(ISERROR(SEARCH("Not yet due",E60)))</formula>
    </cfRule>
    <cfRule type="containsText" dxfId="414" priority="594" operator="containsText" text="Completed Behind Schedule">
      <formula>NOT(ISERROR(SEARCH("Completed Behind Schedule",E60)))</formula>
    </cfRule>
    <cfRule type="containsText" dxfId="413" priority="595" operator="containsText" text="Off Target">
      <formula>NOT(ISERROR(SEARCH("Off Target",E60)))</formula>
    </cfRule>
    <cfRule type="containsText" dxfId="412" priority="596" operator="containsText" text="In Danger of Falling Behind Target">
      <formula>NOT(ISERROR(SEARCH("In Danger of Falling Behind Target",E60)))</formula>
    </cfRule>
    <cfRule type="containsText" dxfId="411" priority="597" operator="containsText" text="On Track to be Achieved">
      <formula>NOT(ISERROR(SEARCH("On Track to be Achieved",E60)))</formula>
    </cfRule>
    <cfRule type="containsText" dxfId="410" priority="598" operator="containsText" text="Fully Achieved">
      <formula>NOT(ISERROR(SEARCH("Fully Achieved",E60)))</formula>
    </cfRule>
    <cfRule type="containsText" dxfId="409" priority="599" operator="containsText" text="Update not Provided">
      <formula>NOT(ISERROR(SEARCH("Update not Provided",E60)))</formula>
    </cfRule>
    <cfRule type="containsText" dxfId="408" priority="600" operator="containsText" text="Not yet due">
      <formula>NOT(ISERROR(SEARCH("Not yet due",E60)))</formula>
    </cfRule>
    <cfRule type="containsText" dxfId="407" priority="601" operator="containsText" text="Completed Behind Schedule">
      <formula>NOT(ISERROR(SEARCH("Completed Behind Schedule",E60)))</formula>
    </cfRule>
    <cfRule type="containsText" dxfId="406" priority="602" operator="containsText" text="Off Target">
      <formula>NOT(ISERROR(SEARCH("Off Target",E60)))</formula>
    </cfRule>
    <cfRule type="containsText" dxfId="405" priority="603" operator="containsText" text="In Danger of Falling Behind Target">
      <formula>NOT(ISERROR(SEARCH("In Danger of Falling Behind Target",E60)))</formula>
    </cfRule>
    <cfRule type="containsText" dxfId="404" priority="604" operator="containsText" text="On Track to be Achieved">
      <formula>NOT(ISERROR(SEARCH("On Track to be Achieved",E60)))</formula>
    </cfRule>
    <cfRule type="containsText" dxfId="403" priority="605" operator="containsText" text="Fully Achieved">
      <formula>NOT(ISERROR(SEARCH("Fully Achieved",E60)))</formula>
    </cfRule>
    <cfRule type="containsText" dxfId="402" priority="606" operator="containsText" text="Fully Achieved">
      <formula>NOT(ISERROR(SEARCH("Fully Achieved",E60)))</formula>
    </cfRule>
    <cfRule type="containsText" dxfId="401" priority="607" operator="containsText" text="Fully Achieved">
      <formula>NOT(ISERROR(SEARCH("Fully Achieved",E60)))</formula>
    </cfRule>
    <cfRule type="containsText" dxfId="400" priority="608" operator="containsText" text="Deferred">
      <formula>NOT(ISERROR(SEARCH("Deferred",E60)))</formula>
    </cfRule>
    <cfRule type="containsText" dxfId="399" priority="609" operator="containsText" text="Deleted">
      <formula>NOT(ISERROR(SEARCH("Deleted",E60)))</formula>
    </cfRule>
    <cfRule type="containsText" dxfId="398" priority="610" operator="containsText" text="In Danger of Falling Behind Target">
      <formula>NOT(ISERROR(SEARCH("In Danger of Falling Behind Target",E60)))</formula>
    </cfRule>
    <cfRule type="containsText" dxfId="397" priority="611" operator="containsText" text="Not yet due">
      <formula>NOT(ISERROR(SEARCH("Not yet due",E60)))</formula>
    </cfRule>
    <cfRule type="containsText" dxfId="396" priority="612" operator="containsText" text="Update not Provided">
      <formula>NOT(ISERROR(SEARCH("Update not Provided",E60)))</formula>
    </cfRule>
  </conditionalFormatting>
  <conditionalFormatting sqref="E62:E71">
    <cfRule type="containsText" dxfId="395" priority="541" operator="containsText" text="On track to be achieved">
      <formula>NOT(ISERROR(SEARCH("On track to be achieved",E62)))</formula>
    </cfRule>
    <cfRule type="containsText" dxfId="394" priority="542" operator="containsText" text="Deferred">
      <formula>NOT(ISERROR(SEARCH("Deferred",E62)))</formula>
    </cfRule>
    <cfRule type="containsText" dxfId="393" priority="543" operator="containsText" text="Deleted">
      <formula>NOT(ISERROR(SEARCH("Deleted",E62)))</formula>
    </cfRule>
    <cfRule type="containsText" dxfId="392" priority="544" operator="containsText" text="In Danger of Falling Behind Target">
      <formula>NOT(ISERROR(SEARCH("In Danger of Falling Behind Target",E62)))</formula>
    </cfRule>
    <cfRule type="containsText" dxfId="391" priority="545" operator="containsText" text="Not yet due">
      <formula>NOT(ISERROR(SEARCH("Not yet due",E62)))</formula>
    </cfRule>
    <cfRule type="containsText" dxfId="390" priority="546" operator="containsText" text="Update not Provided">
      <formula>NOT(ISERROR(SEARCH("Update not Provided",E62)))</formula>
    </cfRule>
    <cfRule type="containsText" dxfId="389" priority="547" operator="containsText" text="Not yet due">
      <formula>NOT(ISERROR(SEARCH("Not yet due",E62)))</formula>
    </cfRule>
    <cfRule type="containsText" dxfId="388" priority="548" operator="containsText" text="Completed Behind Schedule">
      <formula>NOT(ISERROR(SEARCH("Completed Behind Schedule",E62)))</formula>
    </cfRule>
    <cfRule type="containsText" dxfId="387" priority="549" operator="containsText" text="Off Target">
      <formula>NOT(ISERROR(SEARCH("Off Target",E62)))</formula>
    </cfRule>
    <cfRule type="containsText" dxfId="386" priority="550" operator="containsText" text="On Track to be Achieved">
      <formula>NOT(ISERROR(SEARCH("On Track to be Achieved",E62)))</formula>
    </cfRule>
    <cfRule type="containsText" dxfId="385" priority="551" operator="containsText" text="Fully Achieved">
      <formula>NOT(ISERROR(SEARCH("Fully Achieved",E62)))</formula>
    </cfRule>
    <cfRule type="containsText" dxfId="384" priority="552" operator="containsText" text="Not yet due">
      <formula>NOT(ISERROR(SEARCH("Not yet due",E62)))</formula>
    </cfRule>
    <cfRule type="containsText" dxfId="383" priority="553" operator="containsText" text="Not Yet Due">
      <formula>NOT(ISERROR(SEARCH("Not Yet Due",E62)))</formula>
    </cfRule>
    <cfRule type="containsText" dxfId="382" priority="554" operator="containsText" text="Deferred">
      <formula>NOT(ISERROR(SEARCH("Deferred",E62)))</formula>
    </cfRule>
    <cfRule type="containsText" dxfId="381" priority="555" operator="containsText" text="Deleted">
      <formula>NOT(ISERROR(SEARCH("Deleted",E62)))</formula>
    </cfRule>
    <cfRule type="containsText" dxfId="380" priority="556" operator="containsText" text="In Danger of Falling Behind Target">
      <formula>NOT(ISERROR(SEARCH("In Danger of Falling Behind Target",E62)))</formula>
    </cfRule>
    <cfRule type="containsText" dxfId="379" priority="557" operator="containsText" text="Not yet due">
      <formula>NOT(ISERROR(SEARCH("Not yet due",E62)))</formula>
    </cfRule>
    <cfRule type="containsText" dxfId="378" priority="558" operator="containsText" text="Completed Behind Schedule">
      <formula>NOT(ISERROR(SEARCH("Completed Behind Schedule",E62)))</formula>
    </cfRule>
    <cfRule type="containsText" dxfId="377" priority="559" operator="containsText" text="Off Target">
      <formula>NOT(ISERROR(SEARCH("Off Target",E62)))</formula>
    </cfRule>
    <cfRule type="containsText" dxfId="376" priority="560" operator="containsText" text="In Danger of Falling Behind Target">
      <formula>NOT(ISERROR(SEARCH("In Danger of Falling Behind Target",E62)))</formula>
    </cfRule>
    <cfRule type="containsText" dxfId="375" priority="561" operator="containsText" text="On Track to be Achieved">
      <formula>NOT(ISERROR(SEARCH("On Track to be Achieved",E62)))</formula>
    </cfRule>
    <cfRule type="containsText" dxfId="374" priority="562" operator="containsText" text="Fully Achieved">
      <formula>NOT(ISERROR(SEARCH("Fully Achieved",E62)))</formula>
    </cfRule>
    <cfRule type="containsText" dxfId="373" priority="563" operator="containsText" text="Update not Provided">
      <formula>NOT(ISERROR(SEARCH("Update not Provided",E62)))</formula>
    </cfRule>
    <cfRule type="containsText" dxfId="372" priority="564" operator="containsText" text="Not yet due">
      <formula>NOT(ISERROR(SEARCH("Not yet due",E62)))</formula>
    </cfRule>
    <cfRule type="containsText" dxfId="371" priority="565" operator="containsText" text="Completed Behind Schedule">
      <formula>NOT(ISERROR(SEARCH("Completed Behind Schedule",E62)))</formula>
    </cfRule>
    <cfRule type="containsText" dxfId="370" priority="566" operator="containsText" text="Off Target">
      <formula>NOT(ISERROR(SEARCH("Off Target",E62)))</formula>
    </cfRule>
    <cfRule type="containsText" dxfId="369" priority="567" operator="containsText" text="In Danger of Falling Behind Target">
      <formula>NOT(ISERROR(SEARCH("In Danger of Falling Behind Target",E62)))</formula>
    </cfRule>
    <cfRule type="containsText" dxfId="368" priority="568" operator="containsText" text="On Track to be Achieved">
      <formula>NOT(ISERROR(SEARCH("On Track to be Achieved",E62)))</formula>
    </cfRule>
    <cfRule type="containsText" dxfId="367" priority="569" operator="containsText" text="Fully Achieved">
      <formula>NOT(ISERROR(SEARCH("Fully Achieved",E62)))</formula>
    </cfRule>
    <cfRule type="containsText" dxfId="366" priority="570" operator="containsText" text="Fully Achieved">
      <formula>NOT(ISERROR(SEARCH("Fully Achieved",E62)))</formula>
    </cfRule>
    <cfRule type="containsText" dxfId="365" priority="571" operator="containsText" text="Fully Achieved">
      <formula>NOT(ISERROR(SEARCH("Fully Achieved",E62)))</formula>
    </cfRule>
    <cfRule type="containsText" dxfId="364" priority="572" operator="containsText" text="Deferred">
      <formula>NOT(ISERROR(SEARCH("Deferred",E62)))</formula>
    </cfRule>
    <cfRule type="containsText" dxfId="363" priority="573" operator="containsText" text="Deleted">
      <formula>NOT(ISERROR(SEARCH("Deleted",E62)))</formula>
    </cfRule>
    <cfRule type="containsText" dxfId="362" priority="574" operator="containsText" text="In Danger of Falling Behind Target">
      <formula>NOT(ISERROR(SEARCH("In Danger of Falling Behind Target",E62)))</formula>
    </cfRule>
    <cfRule type="containsText" dxfId="361" priority="575" operator="containsText" text="Not yet due">
      <formula>NOT(ISERROR(SEARCH("Not yet due",E62)))</formula>
    </cfRule>
    <cfRule type="containsText" dxfId="360" priority="576" operator="containsText" text="Update not Provided">
      <formula>NOT(ISERROR(SEARCH("Update not Provided",E62)))</formula>
    </cfRule>
  </conditionalFormatting>
  <conditionalFormatting sqref="E73:E74">
    <cfRule type="containsText" dxfId="359" priority="505" operator="containsText" text="On track to be achieved">
      <formula>NOT(ISERROR(SEARCH("On track to be achieved",E73)))</formula>
    </cfRule>
    <cfRule type="containsText" dxfId="358" priority="506" operator="containsText" text="Deferred">
      <formula>NOT(ISERROR(SEARCH("Deferred",E73)))</formula>
    </cfRule>
    <cfRule type="containsText" dxfId="357" priority="507" operator="containsText" text="Deleted">
      <formula>NOT(ISERROR(SEARCH("Deleted",E73)))</formula>
    </cfRule>
    <cfRule type="containsText" dxfId="356" priority="508" operator="containsText" text="In Danger of Falling Behind Target">
      <formula>NOT(ISERROR(SEARCH("In Danger of Falling Behind Target",E73)))</formula>
    </cfRule>
    <cfRule type="containsText" dxfId="355" priority="509" operator="containsText" text="Not yet due">
      <formula>NOT(ISERROR(SEARCH("Not yet due",E73)))</formula>
    </cfRule>
    <cfRule type="containsText" dxfId="354" priority="510" operator="containsText" text="Update not Provided">
      <formula>NOT(ISERROR(SEARCH("Update not Provided",E73)))</formula>
    </cfRule>
    <cfRule type="containsText" dxfId="353" priority="511" operator="containsText" text="Not yet due">
      <formula>NOT(ISERROR(SEARCH("Not yet due",E73)))</formula>
    </cfRule>
    <cfRule type="containsText" dxfId="352" priority="512" operator="containsText" text="Completed Behind Schedule">
      <formula>NOT(ISERROR(SEARCH("Completed Behind Schedule",E73)))</formula>
    </cfRule>
    <cfRule type="containsText" dxfId="351" priority="513" operator="containsText" text="Off Target">
      <formula>NOT(ISERROR(SEARCH("Off Target",E73)))</formula>
    </cfRule>
    <cfRule type="containsText" dxfId="350" priority="514" operator="containsText" text="On Track to be Achieved">
      <formula>NOT(ISERROR(SEARCH("On Track to be Achieved",E73)))</formula>
    </cfRule>
    <cfRule type="containsText" dxfId="349" priority="515" operator="containsText" text="Fully Achieved">
      <formula>NOT(ISERROR(SEARCH("Fully Achieved",E73)))</formula>
    </cfRule>
    <cfRule type="containsText" dxfId="348" priority="516" operator="containsText" text="Not yet due">
      <formula>NOT(ISERROR(SEARCH("Not yet due",E73)))</formula>
    </cfRule>
    <cfRule type="containsText" dxfId="347" priority="517" operator="containsText" text="Not Yet Due">
      <formula>NOT(ISERROR(SEARCH("Not Yet Due",E73)))</formula>
    </cfRule>
    <cfRule type="containsText" dxfId="346" priority="518" operator="containsText" text="Deferred">
      <formula>NOT(ISERROR(SEARCH("Deferred",E73)))</formula>
    </cfRule>
    <cfRule type="containsText" dxfId="345" priority="519" operator="containsText" text="Deleted">
      <formula>NOT(ISERROR(SEARCH("Deleted",E73)))</formula>
    </cfRule>
    <cfRule type="containsText" dxfId="344" priority="520" operator="containsText" text="In Danger of Falling Behind Target">
      <formula>NOT(ISERROR(SEARCH("In Danger of Falling Behind Target",E73)))</formula>
    </cfRule>
    <cfRule type="containsText" dxfId="343" priority="521" operator="containsText" text="Not yet due">
      <formula>NOT(ISERROR(SEARCH("Not yet due",E73)))</formula>
    </cfRule>
    <cfRule type="containsText" dxfId="342" priority="522" operator="containsText" text="Completed Behind Schedule">
      <formula>NOT(ISERROR(SEARCH("Completed Behind Schedule",E73)))</formula>
    </cfRule>
    <cfRule type="containsText" dxfId="341" priority="523" operator="containsText" text="Off Target">
      <formula>NOT(ISERROR(SEARCH("Off Target",E73)))</formula>
    </cfRule>
    <cfRule type="containsText" dxfId="340" priority="524" operator="containsText" text="In Danger of Falling Behind Target">
      <formula>NOT(ISERROR(SEARCH("In Danger of Falling Behind Target",E73)))</formula>
    </cfRule>
    <cfRule type="containsText" dxfId="339" priority="525" operator="containsText" text="On Track to be Achieved">
      <formula>NOT(ISERROR(SEARCH("On Track to be Achieved",E73)))</formula>
    </cfRule>
    <cfRule type="containsText" dxfId="338" priority="526" operator="containsText" text="Fully Achieved">
      <formula>NOT(ISERROR(SEARCH("Fully Achieved",E73)))</formula>
    </cfRule>
    <cfRule type="containsText" dxfId="337" priority="527" operator="containsText" text="Update not Provided">
      <formula>NOT(ISERROR(SEARCH("Update not Provided",E73)))</formula>
    </cfRule>
    <cfRule type="containsText" dxfId="336" priority="528" operator="containsText" text="Not yet due">
      <formula>NOT(ISERROR(SEARCH("Not yet due",E73)))</formula>
    </cfRule>
    <cfRule type="containsText" dxfId="335" priority="529" operator="containsText" text="Completed Behind Schedule">
      <formula>NOT(ISERROR(SEARCH("Completed Behind Schedule",E73)))</formula>
    </cfRule>
    <cfRule type="containsText" dxfId="334" priority="530" operator="containsText" text="Off Target">
      <formula>NOT(ISERROR(SEARCH("Off Target",E73)))</formula>
    </cfRule>
    <cfRule type="containsText" dxfId="333" priority="531" operator="containsText" text="In Danger of Falling Behind Target">
      <formula>NOT(ISERROR(SEARCH("In Danger of Falling Behind Target",E73)))</formula>
    </cfRule>
    <cfRule type="containsText" dxfId="332" priority="532" operator="containsText" text="On Track to be Achieved">
      <formula>NOT(ISERROR(SEARCH("On Track to be Achieved",E73)))</formula>
    </cfRule>
    <cfRule type="containsText" dxfId="331" priority="533" operator="containsText" text="Fully Achieved">
      <formula>NOT(ISERROR(SEARCH("Fully Achieved",E73)))</formula>
    </cfRule>
    <cfRule type="containsText" dxfId="330" priority="534" operator="containsText" text="Fully Achieved">
      <formula>NOT(ISERROR(SEARCH("Fully Achieved",E73)))</formula>
    </cfRule>
    <cfRule type="containsText" dxfId="329" priority="535" operator="containsText" text="Fully Achieved">
      <formula>NOT(ISERROR(SEARCH("Fully Achieved",E73)))</formula>
    </cfRule>
    <cfRule type="containsText" dxfId="328" priority="536" operator="containsText" text="Deferred">
      <formula>NOT(ISERROR(SEARCH("Deferred",E73)))</formula>
    </cfRule>
    <cfRule type="containsText" dxfId="327" priority="537" operator="containsText" text="Deleted">
      <formula>NOT(ISERROR(SEARCH("Deleted",E73)))</formula>
    </cfRule>
    <cfRule type="containsText" dxfId="326" priority="538" operator="containsText" text="In Danger of Falling Behind Target">
      <formula>NOT(ISERROR(SEARCH("In Danger of Falling Behind Target",E73)))</formula>
    </cfRule>
    <cfRule type="containsText" dxfId="325" priority="539" operator="containsText" text="Not yet due">
      <formula>NOT(ISERROR(SEARCH("Not yet due",E73)))</formula>
    </cfRule>
    <cfRule type="containsText" dxfId="324" priority="540" operator="containsText" text="Update not Provided">
      <formula>NOT(ISERROR(SEARCH("Update not Provided",E73)))</formula>
    </cfRule>
  </conditionalFormatting>
  <conditionalFormatting sqref="E75:E76">
    <cfRule type="containsText" dxfId="323" priority="469" operator="containsText" text="On track to be achieved">
      <formula>NOT(ISERROR(SEARCH("On track to be achieved",E75)))</formula>
    </cfRule>
    <cfRule type="containsText" dxfId="322" priority="470" operator="containsText" text="Deferred">
      <formula>NOT(ISERROR(SEARCH("Deferred",E75)))</formula>
    </cfRule>
    <cfRule type="containsText" dxfId="321" priority="471" operator="containsText" text="Deleted">
      <formula>NOT(ISERROR(SEARCH("Deleted",E75)))</formula>
    </cfRule>
    <cfRule type="containsText" dxfId="320" priority="472" operator="containsText" text="In Danger of Falling Behind Target">
      <formula>NOT(ISERROR(SEARCH("In Danger of Falling Behind Target",E75)))</formula>
    </cfRule>
    <cfRule type="containsText" dxfId="319" priority="473" operator="containsText" text="Not yet due">
      <formula>NOT(ISERROR(SEARCH("Not yet due",E75)))</formula>
    </cfRule>
    <cfRule type="containsText" dxfId="318" priority="474" operator="containsText" text="Update not Provided">
      <formula>NOT(ISERROR(SEARCH("Update not Provided",E75)))</formula>
    </cfRule>
    <cfRule type="containsText" dxfId="317" priority="475" operator="containsText" text="Not yet due">
      <formula>NOT(ISERROR(SEARCH("Not yet due",E75)))</formula>
    </cfRule>
    <cfRule type="containsText" dxfId="316" priority="476" operator="containsText" text="Completed Behind Schedule">
      <formula>NOT(ISERROR(SEARCH("Completed Behind Schedule",E75)))</formula>
    </cfRule>
    <cfRule type="containsText" dxfId="315" priority="477" operator="containsText" text="Off Target">
      <formula>NOT(ISERROR(SEARCH("Off Target",E75)))</formula>
    </cfRule>
    <cfRule type="containsText" dxfId="314" priority="478" operator="containsText" text="On Track to be Achieved">
      <formula>NOT(ISERROR(SEARCH("On Track to be Achieved",E75)))</formula>
    </cfRule>
    <cfRule type="containsText" dxfId="313" priority="479" operator="containsText" text="Fully Achieved">
      <formula>NOT(ISERROR(SEARCH("Fully Achieved",E75)))</formula>
    </cfRule>
    <cfRule type="containsText" dxfId="312" priority="480" operator="containsText" text="Not yet due">
      <formula>NOT(ISERROR(SEARCH("Not yet due",E75)))</formula>
    </cfRule>
    <cfRule type="containsText" dxfId="311" priority="481" operator="containsText" text="Not Yet Due">
      <formula>NOT(ISERROR(SEARCH("Not Yet Due",E75)))</formula>
    </cfRule>
    <cfRule type="containsText" dxfId="310" priority="482" operator="containsText" text="Deferred">
      <formula>NOT(ISERROR(SEARCH("Deferred",E75)))</formula>
    </cfRule>
    <cfRule type="containsText" dxfId="309" priority="483" operator="containsText" text="Deleted">
      <formula>NOT(ISERROR(SEARCH("Deleted",E75)))</formula>
    </cfRule>
    <cfRule type="containsText" dxfId="308" priority="484" operator="containsText" text="In Danger of Falling Behind Target">
      <formula>NOT(ISERROR(SEARCH("In Danger of Falling Behind Target",E75)))</formula>
    </cfRule>
    <cfRule type="containsText" dxfId="307" priority="485" operator="containsText" text="Not yet due">
      <formula>NOT(ISERROR(SEARCH("Not yet due",E75)))</formula>
    </cfRule>
    <cfRule type="containsText" dxfId="306" priority="486" operator="containsText" text="Completed Behind Schedule">
      <formula>NOT(ISERROR(SEARCH("Completed Behind Schedule",E75)))</formula>
    </cfRule>
    <cfRule type="containsText" dxfId="305" priority="487" operator="containsText" text="Off Target">
      <formula>NOT(ISERROR(SEARCH("Off Target",E75)))</formula>
    </cfRule>
    <cfRule type="containsText" dxfId="304" priority="488" operator="containsText" text="In Danger of Falling Behind Target">
      <formula>NOT(ISERROR(SEARCH("In Danger of Falling Behind Target",E75)))</formula>
    </cfRule>
    <cfRule type="containsText" dxfId="303" priority="489" operator="containsText" text="On Track to be Achieved">
      <formula>NOT(ISERROR(SEARCH("On Track to be Achieved",E75)))</formula>
    </cfRule>
    <cfRule type="containsText" dxfId="302" priority="490" operator="containsText" text="Fully Achieved">
      <formula>NOT(ISERROR(SEARCH("Fully Achieved",E75)))</formula>
    </cfRule>
    <cfRule type="containsText" dxfId="301" priority="491" operator="containsText" text="Update not Provided">
      <formula>NOT(ISERROR(SEARCH("Update not Provided",E75)))</formula>
    </cfRule>
    <cfRule type="containsText" dxfId="300" priority="492" operator="containsText" text="Not yet due">
      <formula>NOT(ISERROR(SEARCH("Not yet due",E75)))</formula>
    </cfRule>
    <cfRule type="containsText" dxfId="299" priority="493" operator="containsText" text="Completed Behind Schedule">
      <formula>NOT(ISERROR(SEARCH("Completed Behind Schedule",E75)))</formula>
    </cfRule>
    <cfRule type="containsText" dxfId="298" priority="494" operator="containsText" text="Off Target">
      <formula>NOT(ISERROR(SEARCH("Off Target",E75)))</formula>
    </cfRule>
    <cfRule type="containsText" dxfId="297" priority="495" operator="containsText" text="In Danger of Falling Behind Target">
      <formula>NOT(ISERROR(SEARCH("In Danger of Falling Behind Target",E75)))</formula>
    </cfRule>
    <cfRule type="containsText" dxfId="296" priority="496" operator="containsText" text="On Track to be Achieved">
      <formula>NOT(ISERROR(SEARCH("On Track to be Achieved",E75)))</formula>
    </cfRule>
    <cfRule type="containsText" dxfId="295" priority="497" operator="containsText" text="Fully Achieved">
      <formula>NOT(ISERROR(SEARCH("Fully Achieved",E75)))</formula>
    </cfRule>
    <cfRule type="containsText" dxfId="294" priority="498" operator="containsText" text="Fully Achieved">
      <formula>NOT(ISERROR(SEARCH("Fully Achieved",E75)))</formula>
    </cfRule>
    <cfRule type="containsText" dxfId="293" priority="499" operator="containsText" text="Fully Achieved">
      <formula>NOT(ISERROR(SEARCH("Fully Achieved",E75)))</formula>
    </cfRule>
    <cfRule type="containsText" dxfId="292" priority="500" operator="containsText" text="Deferred">
      <formula>NOT(ISERROR(SEARCH("Deferred",E75)))</formula>
    </cfRule>
    <cfRule type="containsText" dxfId="291" priority="501" operator="containsText" text="Deleted">
      <formula>NOT(ISERROR(SEARCH("Deleted",E75)))</formula>
    </cfRule>
    <cfRule type="containsText" dxfId="290" priority="502" operator="containsText" text="In Danger of Falling Behind Target">
      <formula>NOT(ISERROR(SEARCH("In Danger of Falling Behind Target",E75)))</formula>
    </cfRule>
    <cfRule type="containsText" dxfId="289" priority="503" operator="containsText" text="Not yet due">
      <formula>NOT(ISERROR(SEARCH("Not yet due",E75)))</formula>
    </cfRule>
    <cfRule type="containsText" dxfId="288" priority="504" operator="containsText" text="Update not Provided">
      <formula>NOT(ISERROR(SEARCH("Update not Provided",E75)))</formula>
    </cfRule>
  </conditionalFormatting>
  <conditionalFormatting sqref="E80:E81">
    <cfRule type="containsText" dxfId="287" priority="433" operator="containsText" text="On track to be achieved">
      <formula>NOT(ISERROR(SEARCH("On track to be achieved",E80)))</formula>
    </cfRule>
    <cfRule type="containsText" dxfId="286" priority="434" operator="containsText" text="Deferred">
      <formula>NOT(ISERROR(SEARCH("Deferred",E80)))</formula>
    </cfRule>
    <cfRule type="containsText" dxfId="285" priority="435" operator="containsText" text="Deleted">
      <formula>NOT(ISERROR(SEARCH("Deleted",E80)))</formula>
    </cfRule>
    <cfRule type="containsText" dxfId="284" priority="436" operator="containsText" text="In Danger of Falling Behind Target">
      <formula>NOT(ISERROR(SEARCH("In Danger of Falling Behind Target",E80)))</formula>
    </cfRule>
    <cfRule type="containsText" dxfId="283" priority="437" operator="containsText" text="Not yet due">
      <formula>NOT(ISERROR(SEARCH("Not yet due",E80)))</formula>
    </cfRule>
    <cfRule type="containsText" dxfId="282" priority="438" operator="containsText" text="Update not Provided">
      <formula>NOT(ISERROR(SEARCH("Update not Provided",E80)))</formula>
    </cfRule>
    <cfRule type="containsText" dxfId="281" priority="439" operator="containsText" text="Not yet due">
      <formula>NOT(ISERROR(SEARCH("Not yet due",E80)))</formula>
    </cfRule>
    <cfRule type="containsText" dxfId="280" priority="440" operator="containsText" text="Completed Behind Schedule">
      <formula>NOT(ISERROR(SEARCH("Completed Behind Schedule",E80)))</formula>
    </cfRule>
    <cfRule type="containsText" dxfId="279" priority="441" operator="containsText" text="Off Target">
      <formula>NOT(ISERROR(SEARCH("Off Target",E80)))</formula>
    </cfRule>
    <cfRule type="containsText" dxfId="278" priority="442" operator="containsText" text="On Track to be Achieved">
      <formula>NOT(ISERROR(SEARCH("On Track to be Achieved",E80)))</formula>
    </cfRule>
    <cfRule type="containsText" dxfId="277" priority="443" operator="containsText" text="Fully Achieved">
      <formula>NOT(ISERROR(SEARCH("Fully Achieved",E80)))</formula>
    </cfRule>
    <cfRule type="containsText" dxfId="276" priority="444" operator="containsText" text="Not yet due">
      <formula>NOT(ISERROR(SEARCH("Not yet due",E80)))</formula>
    </cfRule>
    <cfRule type="containsText" dxfId="275" priority="445" operator="containsText" text="Not Yet Due">
      <formula>NOT(ISERROR(SEARCH("Not Yet Due",E80)))</formula>
    </cfRule>
    <cfRule type="containsText" dxfId="274" priority="446" operator="containsText" text="Deferred">
      <formula>NOT(ISERROR(SEARCH("Deferred",E80)))</formula>
    </cfRule>
    <cfRule type="containsText" dxfId="273" priority="447" operator="containsText" text="Deleted">
      <formula>NOT(ISERROR(SEARCH("Deleted",E80)))</formula>
    </cfRule>
    <cfRule type="containsText" dxfId="272" priority="448" operator="containsText" text="In Danger of Falling Behind Target">
      <formula>NOT(ISERROR(SEARCH("In Danger of Falling Behind Target",E80)))</formula>
    </cfRule>
    <cfRule type="containsText" dxfId="271" priority="449" operator="containsText" text="Not yet due">
      <formula>NOT(ISERROR(SEARCH("Not yet due",E80)))</formula>
    </cfRule>
    <cfRule type="containsText" dxfId="270" priority="450" operator="containsText" text="Completed Behind Schedule">
      <formula>NOT(ISERROR(SEARCH("Completed Behind Schedule",E80)))</formula>
    </cfRule>
    <cfRule type="containsText" dxfId="269" priority="451" operator="containsText" text="Off Target">
      <formula>NOT(ISERROR(SEARCH("Off Target",E80)))</formula>
    </cfRule>
    <cfRule type="containsText" dxfId="268" priority="452" operator="containsText" text="In Danger of Falling Behind Target">
      <formula>NOT(ISERROR(SEARCH("In Danger of Falling Behind Target",E80)))</formula>
    </cfRule>
    <cfRule type="containsText" dxfId="267" priority="453" operator="containsText" text="On Track to be Achieved">
      <formula>NOT(ISERROR(SEARCH("On Track to be Achieved",E80)))</formula>
    </cfRule>
    <cfRule type="containsText" dxfId="266" priority="454" operator="containsText" text="Fully Achieved">
      <formula>NOT(ISERROR(SEARCH("Fully Achieved",E80)))</formula>
    </cfRule>
    <cfRule type="containsText" dxfId="265" priority="455" operator="containsText" text="Update not Provided">
      <formula>NOT(ISERROR(SEARCH("Update not Provided",E80)))</formula>
    </cfRule>
    <cfRule type="containsText" dxfId="264" priority="456" operator="containsText" text="Not yet due">
      <formula>NOT(ISERROR(SEARCH("Not yet due",E80)))</formula>
    </cfRule>
    <cfRule type="containsText" dxfId="263" priority="457" operator="containsText" text="Completed Behind Schedule">
      <formula>NOT(ISERROR(SEARCH("Completed Behind Schedule",E80)))</formula>
    </cfRule>
    <cfRule type="containsText" dxfId="262" priority="458" operator="containsText" text="Off Target">
      <formula>NOT(ISERROR(SEARCH("Off Target",E80)))</formula>
    </cfRule>
    <cfRule type="containsText" dxfId="261" priority="459" operator="containsText" text="In Danger of Falling Behind Target">
      <formula>NOT(ISERROR(SEARCH("In Danger of Falling Behind Target",E80)))</formula>
    </cfRule>
    <cfRule type="containsText" dxfId="260" priority="460" operator="containsText" text="On Track to be Achieved">
      <formula>NOT(ISERROR(SEARCH("On Track to be Achieved",E80)))</formula>
    </cfRule>
    <cfRule type="containsText" dxfId="259" priority="461" operator="containsText" text="Fully Achieved">
      <formula>NOT(ISERROR(SEARCH("Fully Achieved",E80)))</formula>
    </cfRule>
    <cfRule type="containsText" dxfId="258" priority="462" operator="containsText" text="Fully Achieved">
      <formula>NOT(ISERROR(SEARCH("Fully Achieved",E80)))</formula>
    </cfRule>
    <cfRule type="containsText" dxfId="257" priority="463" operator="containsText" text="Fully Achieved">
      <formula>NOT(ISERROR(SEARCH("Fully Achieved",E80)))</formula>
    </cfRule>
    <cfRule type="containsText" dxfId="256" priority="464" operator="containsText" text="Deferred">
      <formula>NOT(ISERROR(SEARCH("Deferred",E80)))</formula>
    </cfRule>
    <cfRule type="containsText" dxfId="255" priority="465" operator="containsText" text="Deleted">
      <formula>NOT(ISERROR(SEARCH("Deleted",E80)))</formula>
    </cfRule>
    <cfRule type="containsText" dxfId="254" priority="466" operator="containsText" text="In Danger of Falling Behind Target">
      <formula>NOT(ISERROR(SEARCH("In Danger of Falling Behind Target",E80)))</formula>
    </cfRule>
    <cfRule type="containsText" dxfId="253" priority="467" operator="containsText" text="Not yet due">
      <formula>NOT(ISERROR(SEARCH("Not yet due",E80)))</formula>
    </cfRule>
    <cfRule type="containsText" dxfId="252" priority="468" operator="containsText" text="Update not Provided">
      <formula>NOT(ISERROR(SEARCH("Update not Provided",E80)))</formula>
    </cfRule>
  </conditionalFormatting>
  <conditionalFormatting sqref="E83">
    <cfRule type="containsText" dxfId="251" priority="397" operator="containsText" text="On track to be achieved">
      <formula>NOT(ISERROR(SEARCH("On track to be achieved",E83)))</formula>
    </cfRule>
    <cfRule type="containsText" dxfId="250" priority="398" operator="containsText" text="Deferred">
      <formula>NOT(ISERROR(SEARCH("Deferred",E83)))</formula>
    </cfRule>
    <cfRule type="containsText" dxfId="249" priority="399" operator="containsText" text="Deleted">
      <formula>NOT(ISERROR(SEARCH("Deleted",E83)))</formula>
    </cfRule>
    <cfRule type="containsText" dxfId="248" priority="400" operator="containsText" text="In Danger of Falling Behind Target">
      <formula>NOT(ISERROR(SEARCH("In Danger of Falling Behind Target",E83)))</formula>
    </cfRule>
    <cfRule type="containsText" dxfId="247" priority="401" operator="containsText" text="Not yet due">
      <formula>NOT(ISERROR(SEARCH("Not yet due",E83)))</formula>
    </cfRule>
    <cfRule type="containsText" dxfId="246" priority="402" operator="containsText" text="Update not Provided">
      <formula>NOT(ISERROR(SEARCH("Update not Provided",E83)))</formula>
    </cfRule>
    <cfRule type="containsText" dxfId="245" priority="403" operator="containsText" text="Not yet due">
      <formula>NOT(ISERROR(SEARCH("Not yet due",E83)))</formula>
    </cfRule>
    <cfRule type="containsText" dxfId="244" priority="404" operator="containsText" text="Completed Behind Schedule">
      <formula>NOT(ISERROR(SEARCH("Completed Behind Schedule",E83)))</formula>
    </cfRule>
    <cfRule type="containsText" dxfId="243" priority="405" operator="containsText" text="Off Target">
      <formula>NOT(ISERROR(SEARCH("Off Target",E83)))</formula>
    </cfRule>
    <cfRule type="containsText" dxfId="242" priority="406" operator="containsText" text="On Track to be Achieved">
      <formula>NOT(ISERROR(SEARCH("On Track to be Achieved",E83)))</formula>
    </cfRule>
    <cfRule type="containsText" dxfId="241" priority="407" operator="containsText" text="Fully Achieved">
      <formula>NOT(ISERROR(SEARCH("Fully Achieved",E83)))</formula>
    </cfRule>
    <cfRule type="containsText" dxfId="240" priority="408" operator="containsText" text="Not yet due">
      <formula>NOT(ISERROR(SEARCH("Not yet due",E83)))</formula>
    </cfRule>
    <cfRule type="containsText" dxfId="239" priority="409" operator="containsText" text="Not Yet Due">
      <formula>NOT(ISERROR(SEARCH("Not Yet Due",E83)))</formula>
    </cfRule>
    <cfRule type="containsText" dxfId="238" priority="410" operator="containsText" text="Deferred">
      <formula>NOT(ISERROR(SEARCH("Deferred",E83)))</formula>
    </cfRule>
    <cfRule type="containsText" dxfId="237" priority="411" operator="containsText" text="Deleted">
      <formula>NOT(ISERROR(SEARCH("Deleted",E83)))</formula>
    </cfRule>
    <cfRule type="containsText" dxfId="236" priority="412" operator="containsText" text="In Danger of Falling Behind Target">
      <formula>NOT(ISERROR(SEARCH("In Danger of Falling Behind Target",E83)))</formula>
    </cfRule>
    <cfRule type="containsText" dxfId="235" priority="413" operator="containsText" text="Not yet due">
      <formula>NOT(ISERROR(SEARCH("Not yet due",E83)))</formula>
    </cfRule>
    <cfRule type="containsText" dxfId="234" priority="414" operator="containsText" text="Completed Behind Schedule">
      <formula>NOT(ISERROR(SEARCH("Completed Behind Schedule",E83)))</formula>
    </cfRule>
    <cfRule type="containsText" dxfId="233" priority="415" operator="containsText" text="Off Target">
      <formula>NOT(ISERROR(SEARCH("Off Target",E83)))</formula>
    </cfRule>
    <cfRule type="containsText" dxfId="232" priority="416" operator="containsText" text="In Danger of Falling Behind Target">
      <formula>NOT(ISERROR(SEARCH("In Danger of Falling Behind Target",E83)))</formula>
    </cfRule>
    <cfRule type="containsText" dxfId="231" priority="417" operator="containsText" text="On Track to be Achieved">
      <formula>NOT(ISERROR(SEARCH("On Track to be Achieved",E83)))</formula>
    </cfRule>
    <cfRule type="containsText" dxfId="230" priority="418" operator="containsText" text="Fully Achieved">
      <formula>NOT(ISERROR(SEARCH("Fully Achieved",E83)))</formula>
    </cfRule>
    <cfRule type="containsText" dxfId="229" priority="419" operator="containsText" text="Update not Provided">
      <formula>NOT(ISERROR(SEARCH("Update not Provided",E83)))</formula>
    </cfRule>
    <cfRule type="containsText" dxfId="228" priority="420" operator="containsText" text="Not yet due">
      <formula>NOT(ISERROR(SEARCH("Not yet due",E83)))</formula>
    </cfRule>
    <cfRule type="containsText" dxfId="227" priority="421" operator="containsText" text="Completed Behind Schedule">
      <formula>NOT(ISERROR(SEARCH("Completed Behind Schedule",E83)))</formula>
    </cfRule>
    <cfRule type="containsText" dxfId="226" priority="422" operator="containsText" text="Off Target">
      <formula>NOT(ISERROR(SEARCH("Off Target",E83)))</formula>
    </cfRule>
    <cfRule type="containsText" dxfId="225" priority="423" operator="containsText" text="In Danger of Falling Behind Target">
      <formula>NOT(ISERROR(SEARCH("In Danger of Falling Behind Target",E83)))</formula>
    </cfRule>
    <cfRule type="containsText" dxfId="224" priority="424" operator="containsText" text="On Track to be Achieved">
      <formula>NOT(ISERROR(SEARCH("On Track to be Achieved",E83)))</formula>
    </cfRule>
    <cfRule type="containsText" dxfId="223" priority="425" operator="containsText" text="Fully Achieved">
      <formula>NOT(ISERROR(SEARCH("Fully Achieved",E83)))</formula>
    </cfRule>
    <cfRule type="containsText" dxfId="222" priority="426" operator="containsText" text="Fully Achieved">
      <formula>NOT(ISERROR(SEARCH("Fully Achieved",E83)))</formula>
    </cfRule>
    <cfRule type="containsText" dxfId="221" priority="427" operator="containsText" text="Fully Achieved">
      <formula>NOT(ISERROR(SEARCH("Fully Achieved",E83)))</formula>
    </cfRule>
    <cfRule type="containsText" dxfId="220" priority="428" operator="containsText" text="Deferred">
      <formula>NOT(ISERROR(SEARCH("Deferred",E83)))</formula>
    </cfRule>
    <cfRule type="containsText" dxfId="219" priority="429" operator="containsText" text="Deleted">
      <formula>NOT(ISERROR(SEARCH("Deleted",E83)))</formula>
    </cfRule>
    <cfRule type="containsText" dxfId="218" priority="430" operator="containsText" text="In Danger of Falling Behind Target">
      <formula>NOT(ISERROR(SEARCH("In Danger of Falling Behind Target",E83)))</formula>
    </cfRule>
    <cfRule type="containsText" dxfId="217" priority="431" operator="containsText" text="Not yet due">
      <formula>NOT(ISERROR(SEARCH("Not yet due",E83)))</formula>
    </cfRule>
    <cfRule type="containsText" dxfId="216" priority="432" operator="containsText" text="Update not Provided">
      <formula>NOT(ISERROR(SEARCH("Update not Provided",E83)))</formula>
    </cfRule>
  </conditionalFormatting>
  <conditionalFormatting sqref="E89">
    <cfRule type="containsText" dxfId="215" priority="361" operator="containsText" text="On track to be achieved">
      <formula>NOT(ISERROR(SEARCH("On track to be achieved",E89)))</formula>
    </cfRule>
    <cfRule type="containsText" dxfId="214" priority="362" operator="containsText" text="Deferred">
      <formula>NOT(ISERROR(SEARCH("Deferred",E89)))</formula>
    </cfRule>
    <cfRule type="containsText" dxfId="213" priority="363" operator="containsText" text="Deleted">
      <formula>NOT(ISERROR(SEARCH("Deleted",E89)))</formula>
    </cfRule>
    <cfRule type="containsText" dxfId="212" priority="364" operator="containsText" text="In Danger of Falling Behind Target">
      <formula>NOT(ISERROR(SEARCH("In Danger of Falling Behind Target",E89)))</formula>
    </cfRule>
    <cfRule type="containsText" dxfId="211" priority="365" operator="containsText" text="Not yet due">
      <formula>NOT(ISERROR(SEARCH("Not yet due",E89)))</formula>
    </cfRule>
    <cfRule type="containsText" dxfId="210" priority="366" operator="containsText" text="Update not Provided">
      <formula>NOT(ISERROR(SEARCH("Update not Provided",E89)))</formula>
    </cfRule>
    <cfRule type="containsText" dxfId="209" priority="367" operator="containsText" text="Not yet due">
      <formula>NOT(ISERROR(SEARCH("Not yet due",E89)))</formula>
    </cfRule>
    <cfRule type="containsText" dxfId="208" priority="368" operator="containsText" text="Completed Behind Schedule">
      <formula>NOT(ISERROR(SEARCH("Completed Behind Schedule",E89)))</formula>
    </cfRule>
    <cfRule type="containsText" dxfId="207" priority="369" operator="containsText" text="Off Target">
      <formula>NOT(ISERROR(SEARCH("Off Target",E89)))</formula>
    </cfRule>
    <cfRule type="containsText" dxfId="206" priority="370" operator="containsText" text="On Track to be Achieved">
      <formula>NOT(ISERROR(SEARCH("On Track to be Achieved",E89)))</formula>
    </cfRule>
    <cfRule type="containsText" dxfId="205" priority="371" operator="containsText" text="Fully Achieved">
      <formula>NOT(ISERROR(SEARCH("Fully Achieved",E89)))</formula>
    </cfRule>
    <cfRule type="containsText" dxfId="204" priority="372" operator="containsText" text="Not yet due">
      <formula>NOT(ISERROR(SEARCH("Not yet due",E89)))</formula>
    </cfRule>
    <cfRule type="containsText" dxfId="203" priority="373" operator="containsText" text="Not Yet Due">
      <formula>NOT(ISERROR(SEARCH("Not Yet Due",E89)))</formula>
    </cfRule>
    <cfRule type="containsText" dxfId="202" priority="374" operator="containsText" text="Deferred">
      <formula>NOT(ISERROR(SEARCH("Deferred",E89)))</formula>
    </cfRule>
    <cfRule type="containsText" dxfId="201" priority="375" operator="containsText" text="Deleted">
      <formula>NOT(ISERROR(SEARCH("Deleted",E89)))</formula>
    </cfRule>
    <cfRule type="containsText" dxfId="200" priority="376" operator="containsText" text="In Danger of Falling Behind Target">
      <formula>NOT(ISERROR(SEARCH("In Danger of Falling Behind Target",E89)))</formula>
    </cfRule>
    <cfRule type="containsText" dxfId="199" priority="377" operator="containsText" text="Not yet due">
      <formula>NOT(ISERROR(SEARCH("Not yet due",E89)))</formula>
    </cfRule>
    <cfRule type="containsText" dxfId="198" priority="378" operator="containsText" text="Completed Behind Schedule">
      <formula>NOT(ISERROR(SEARCH("Completed Behind Schedule",E89)))</formula>
    </cfRule>
    <cfRule type="containsText" dxfId="197" priority="379" operator="containsText" text="Off Target">
      <formula>NOT(ISERROR(SEARCH("Off Target",E89)))</formula>
    </cfRule>
    <cfRule type="containsText" dxfId="196" priority="380" operator="containsText" text="In Danger of Falling Behind Target">
      <formula>NOT(ISERROR(SEARCH("In Danger of Falling Behind Target",E89)))</formula>
    </cfRule>
    <cfRule type="containsText" dxfId="195" priority="381" operator="containsText" text="On Track to be Achieved">
      <formula>NOT(ISERROR(SEARCH("On Track to be Achieved",E89)))</formula>
    </cfRule>
    <cfRule type="containsText" dxfId="194" priority="382" operator="containsText" text="Fully Achieved">
      <formula>NOT(ISERROR(SEARCH("Fully Achieved",E89)))</formula>
    </cfRule>
    <cfRule type="containsText" dxfId="193" priority="383" operator="containsText" text="Update not Provided">
      <formula>NOT(ISERROR(SEARCH("Update not Provided",E89)))</formula>
    </cfRule>
    <cfRule type="containsText" dxfId="192" priority="384" operator="containsText" text="Not yet due">
      <formula>NOT(ISERROR(SEARCH("Not yet due",E89)))</formula>
    </cfRule>
    <cfRule type="containsText" dxfId="191" priority="385" operator="containsText" text="Completed Behind Schedule">
      <formula>NOT(ISERROR(SEARCH("Completed Behind Schedule",E89)))</formula>
    </cfRule>
    <cfRule type="containsText" dxfId="190" priority="386" operator="containsText" text="Off Target">
      <formula>NOT(ISERROR(SEARCH("Off Target",E89)))</formula>
    </cfRule>
    <cfRule type="containsText" dxfId="189" priority="387" operator="containsText" text="In Danger of Falling Behind Target">
      <formula>NOT(ISERROR(SEARCH("In Danger of Falling Behind Target",E89)))</formula>
    </cfRule>
    <cfRule type="containsText" dxfId="188" priority="388" operator="containsText" text="On Track to be Achieved">
      <formula>NOT(ISERROR(SEARCH("On Track to be Achieved",E89)))</formula>
    </cfRule>
    <cfRule type="containsText" dxfId="187" priority="389" operator="containsText" text="Fully Achieved">
      <formula>NOT(ISERROR(SEARCH("Fully Achieved",E89)))</formula>
    </cfRule>
    <cfRule type="containsText" dxfId="186" priority="390" operator="containsText" text="Fully Achieved">
      <formula>NOT(ISERROR(SEARCH("Fully Achieved",E89)))</formula>
    </cfRule>
    <cfRule type="containsText" dxfId="185" priority="391" operator="containsText" text="Fully Achieved">
      <formula>NOT(ISERROR(SEARCH("Fully Achieved",E89)))</formula>
    </cfRule>
    <cfRule type="containsText" dxfId="184" priority="392" operator="containsText" text="Deferred">
      <formula>NOT(ISERROR(SEARCH("Deferred",E89)))</formula>
    </cfRule>
    <cfRule type="containsText" dxfId="183" priority="393" operator="containsText" text="Deleted">
      <formula>NOT(ISERROR(SEARCH("Deleted",E89)))</formula>
    </cfRule>
    <cfRule type="containsText" dxfId="182" priority="394" operator="containsText" text="In Danger of Falling Behind Target">
      <formula>NOT(ISERROR(SEARCH("In Danger of Falling Behind Target",E89)))</formula>
    </cfRule>
    <cfRule type="containsText" dxfId="181" priority="395" operator="containsText" text="Not yet due">
      <formula>NOT(ISERROR(SEARCH("Not yet due",E89)))</formula>
    </cfRule>
    <cfRule type="containsText" dxfId="180" priority="396" operator="containsText" text="Update not Provided">
      <formula>NOT(ISERROR(SEARCH("Update not Provided",E89)))</formula>
    </cfRule>
  </conditionalFormatting>
  <conditionalFormatting sqref="E91">
    <cfRule type="containsText" dxfId="179" priority="325" operator="containsText" text="On track to be achieved">
      <formula>NOT(ISERROR(SEARCH("On track to be achieved",E91)))</formula>
    </cfRule>
    <cfRule type="containsText" dxfId="178" priority="326" operator="containsText" text="Deferred">
      <formula>NOT(ISERROR(SEARCH("Deferred",E91)))</formula>
    </cfRule>
    <cfRule type="containsText" dxfId="177" priority="327" operator="containsText" text="Deleted">
      <formula>NOT(ISERROR(SEARCH("Deleted",E91)))</formula>
    </cfRule>
    <cfRule type="containsText" dxfId="176" priority="328" operator="containsText" text="In Danger of Falling Behind Target">
      <formula>NOT(ISERROR(SEARCH("In Danger of Falling Behind Target",E91)))</formula>
    </cfRule>
    <cfRule type="containsText" dxfId="175" priority="329" operator="containsText" text="Not yet due">
      <formula>NOT(ISERROR(SEARCH("Not yet due",E91)))</formula>
    </cfRule>
    <cfRule type="containsText" dxfId="174" priority="330" operator="containsText" text="Update not Provided">
      <formula>NOT(ISERROR(SEARCH("Update not Provided",E91)))</formula>
    </cfRule>
    <cfRule type="containsText" dxfId="173" priority="331" operator="containsText" text="Not yet due">
      <formula>NOT(ISERROR(SEARCH("Not yet due",E91)))</formula>
    </cfRule>
    <cfRule type="containsText" dxfId="172" priority="332" operator="containsText" text="Completed Behind Schedule">
      <formula>NOT(ISERROR(SEARCH("Completed Behind Schedule",E91)))</formula>
    </cfRule>
    <cfRule type="containsText" dxfId="171" priority="333" operator="containsText" text="Off Target">
      <formula>NOT(ISERROR(SEARCH("Off Target",E91)))</formula>
    </cfRule>
    <cfRule type="containsText" dxfId="170" priority="334" operator="containsText" text="On Track to be Achieved">
      <formula>NOT(ISERROR(SEARCH("On Track to be Achieved",E91)))</formula>
    </cfRule>
    <cfRule type="containsText" dxfId="169" priority="335" operator="containsText" text="Fully Achieved">
      <formula>NOT(ISERROR(SEARCH("Fully Achieved",E91)))</formula>
    </cfRule>
    <cfRule type="containsText" dxfId="168" priority="336" operator="containsText" text="Not yet due">
      <formula>NOT(ISERROR(SEARCH("Not yet due",E91)))</formula>
    </cfRule>
    <cfRule type="containsText" dxfId="167" priority="337" operator="containsText" text="Not Yet Due">
      <formula>NOT(ISERROR(SEARCH("Not Yet Due",E91)))</formula>
    </cfRule>
    <cfRule type="containsText" dxfId="166" priority="338" operator="containsText" text="Deferred">
      <formula>NOT(ISERROR(SEARCH("Deferred",E91)))</formula>
    </cfRule>
    <cfRule type="containsText" dxfId="165" priority="339" operator="containsText" text="Deleted">
      <formula>NOT(ISERROR(SEARCH("Deleted",E91)))</formula>
    </cfRule>
    <cfRule type="containsText" dxfId="164" priority="340" operator="containsText" text="In Danger of Falling Behind Target">
      <formula>NOT(ISERROR(SEARCH("In Danger of Falling Behind Target",E91)))</formula>
    </cfRule>
    <cfRule type="containsText" dxfId="163" priority="341" operator="containsText" text="Not yet due">
      <formula>NOT(ISERROR(SEARCH("Not yet due",E91)))</formula>
    </cfRule>
    <cfRule type="containsText" dxfId="162" priority="342" operator="containsText" text="Completed Behind Schedule">
      <formula>NOT(ISERROR(SEARCH("Completed Behind Schedule",E91)))</formula>
    </cfRule>
    <cfRule type="containsText" dxfId="161" priority="343" operator="containsText" text="Off Target">
      <formula>NOT(ISERROR(SEARCH("Off Target",E91)))</formula>
    </cfRule>
    <cfRule type="containsText" dxfId="160" priority="344" operator="containsText" text="In Danger of Falling Behind Target">
      <formula>NOT(ISERROR(SEARCH("In Danger of Falling Behind Target",E91)))</formula>
    </cfRule>
    <cfRule type="containsText" dxfId="159" priority="345" operator="containsText" text="On Track to be Achieved">
      <formula>NOT(ISERROR(SEARCH("On Track to be Achieved",E91)))</formula>
    </cfRule>
    <cfRule type="containsText" dxfId="158" priority="346" operator="containsText" text="Fully Achieved">
      <formula>NOT(ISERROR(SEARCH("Fully Achieved",E91)))</formula>
    </cfRule>
    <cfRule type="containsText" dxfId="157" priority="347" operator="containsText" text="Update not Provided">
      <formula>NOT(ISERROR(SEARCH("Update not Provided",E91)))</formula>
    </cfRule>
    <cfRule type="containsText" dxfId="156" priority="348" operator="containsText" text="Not yet due">
      <formula>NOT(ISERROR(SEARCH("Not yet due",E91)))</formula>
    </cfRule>
    <cfRule type="containsText" dxfId="155" priority="349" operator="containsText" text="Completed Behind Schedule">
      <formula>NOT(ISERROR(SEARCH("Completed Behind Schedule",E91)))</formula>
    </cfRule>
    <cfRule type="containsText" dxfId="154" priority="350" operator="containsText" text="Off Target">
      <formula>NOT(ISERROR(SEARCH("Off Target",E91)))</formula>
    </cfRule>
    <cfRule type="containsText" dxfId="153" priority="351" operator="containsText" text="In Danger of Falling Behind Target">
      <formula>NOT(ISERROR(SEARCH("In Danger of Falling Behind Target",E91)))</formula>
    </cfRule>
    <cfRule type="containsText" dxfId="152" priority="352" operator="containsText" text="On Track to be Achieved">
      <formula>NOT(ISERROR(SEARCH("On Track to be Achieved",E91)))</formula>
    </cfRule>
    <cfRule type="containsText" dxfId="151" priority="353" operator="containsText" text="Fully Achieved">
      <formula>NOT(ISERROR(SEARCH("Fully Achieved",E91)))</formula>
    </cfRule>
    <cfRule type="containsText" dxfId="150" priority="354" operator="containsText" text="Fully Achieved">
      <formula>NOT(ISERROR(SEARCH("Fully Achieved",E91)))</formula>
    </cfRule>
    <cfRule type="containsText" dxfId="149" priority="355" operator="containsText" text="Fully Achieved">
      <formula>NOT(ISERROR(SEARCH("Fully Achieved",E91)))</formula>
    </cfRule>
    <cfRule type="containsText" dxfId="148" priority="356" operator="containsText" text="Deferred">
      <formula>NOT(ISERROR(SEARCH("Deferred",E91)))</formula>
    </cfRule>
    <cfRule type="containsText" dxfId="147" priority="357" operator="containsText" text="Deleted">
      <formula>NOT(ISERROR(SEARCH("Deleted",E91)))</formula>
    </cfRule>
    <cfRule type="containsText" dxfId="146" priority="358" operator="containsText" text="In Danger of Falling Behind Target">
      <formula>NOT(ISERROR(SEARCH("In Danger of Falling Behind Target",E91)))</formula>
    </cfRule>
    <cfRule type="containsText" dxfId="145" priority="359" operator="containsText" text="Not yet due">
      <formula>NOT(ISERROR(SEARCH("Not yet due",E91)))</formula>
    </cfRule>
    <cfRule type="containsText" dxfId="144" priority="360" operator="containsText" text="Update not Provided">
      <formula>NOT(ISERROR(SEARCH("Update not Provided",E91)))</formula>
    </cfRule>
  </conditionalFormatting>
  <conditionalFormatting sqref="E96:E97">
    <cfRule type="containsText" dxfId="143" priority="289" operator="containsText" text="On track to be achieved">
      <formula>NOT(ISERROR(SEARCH("On track to be achieved",E96)))</formula>
    </cfRule>
    <cfRule type="containsText" dxfId="142" priority="290" operator="containsText" text="Deferred">
      <formula>NOT(ISERROR(SEARCH("Deferred",E96)))</formula>
    </cfRule>
    <cfRule type="containsText" dxfId="141" priority="291" operator="containsText" text="Deleted">
      <formula>NOT(ISERROR(SEARCH("Deleted",E96)))</formula>
    </cfRule>
    <cfRule type="containsText" dxfId="140" priority="292" operator="containsText" text="In Danger of Falling Behind Target">
      <formula>NOT(ISERROR(SEARCH("In Danger of Falling Behind Target",E96)))</formula>
    </cfRule>
    <cfRule type="containsText" dxfId="139" priority="293" operator="containsText" text="Not yet due">
      <formula>NOT(ISERROR(SEARCH("Not yet due",E96)))</formula>
    </cfRule>
    <cfRule type="containsText" dxfId="138" priority="294" operator="containsText" text="Update not Provided">
      <formula>NOT(ISERROR(SEARCH("Update not Provided",E96)))</formula>
    </cfRule>
    <cfRule type="containsText" dxfId="137" priority="295" operator="containsText" text="Not yet due">
      <formula>NOT(ISERROR(SEARCH("Not yet due",E96)))</formula>
    </cfRule>
    <cfRule type="containsText" dxfId="136" priority="296" operator="containsText" text="Completed Behind Schedule">
      <formula>NOT(ISERROR(SEARCH("Completed Behind Schedule",E96)))</formula>
    </cfRule>
    <cfRule type="containsText" dxfId="135" priority="297" operator="containsText" text="Off Target">
      <formula>NOT(ISERROR(SEARCH("Off Target",E96)))</formula>
    </cfRule>
    <cfRule type="containsText" dxfId="134" priority="298" operator="containsText" text="On Track to be Achieved">
      <formula>NOT(ISERROR(SEARCH("On Track to be Achieved",E96)))</formula>
    </cfRule>
    <cfRule type="containsText" dxfId="133" priority="299" operator="containsText" text="Fully Achieved">
      <formula>NOT(ISERROR(SEARCH("Fully Achieved",E96)))</formula>
    </cfRule>
    <cfRule type="containsText" dxfId="132" priority="300" operator="containsText" text="Not yet due">
      <formula>NOT(ISERROR(SEARCH("Not yet due",E96)))</formula>
    </cfRule>
    <cfRule type="containsText" dxfId="131" priority="301" operator="containsText" text="Not Yet Due">
      <formula>NOT(ISERROR(SEARCH("Not Yet Due",E96)))</formula>
    </cfRule>
    <cfRule type="containsText" dxfId="130" priority="302" operator="containsText" text="Deferred">
      <formula>NOT(ISERROR(SEARCH("Deferred",E96)))</formula>
    </cfRule>
    <cfRule type="containsText" dxfId="129" priority="303" operator="containsText" text="Deleted">
      <formula>NOT(ISERROR(SEARCH("Deleted",E96)))</formula>
    </cfRule>
    <cfRule type="containsText" dxfId="128" priority="304" operator="containsText" text="In Danger of Falling Behind Target">
      <formula>NOT(ISERROR(SEARCH("In Danger of Falling Behind Target",E96)))</formula>
    </cfRule>
    <cfRule type="containsText" dxfId="127" priority="305" operator="containsText" text="Not yet due">
      <formula>NOT(ISERROR(SEARCH("Not yet due",E96)))</formula>
    </cfRule>
    <cfRule type="containsText" dxfId="126" priority="306" operator="containsText" text="Completed Behind Schedule">
      <formula>NOT(ISERROR(SEARCH("Completed Behind Schedule",E96)))</formula>
    </cfRule>
    <cfRule type="containsText" dxfId="125" priority="307" operator="containsText" text="Off Target">
      <formula>NOT(ISERROR(SEARCH("Off Target",E96)))</formula>
    </cfRule>
    <cfRule type="containsText" dxfId="124" priority="308" operator="containsText" text="In Danger of Falling Behind Target">
      <formula>NOT(ISERROR(SEARCH("In Danger of Falling Behind Target",E96)))</formula>
    </cfRule>
    <cfRule type="containsText" dxfId="123" priority="309" operator="containsText" text="On Track to be Achieved">
      <formula>NOT(ISERROR(SEARCH("On Track to be Achieved",E96)))</formula>
    </cfRule>
    <cfRule type="containsText" dxfId="122" priority="310" operator="containsText" text="Fully Achieved">
      <formula>NOT(ISERROR(SEARCH("Fully Achieved",E96)))</formula>
    </cfRule>
    <cfRule type="containsText" dxfId="121" priority="311" operator="containsText" text="Update not Provided">
      <formula>NOT(ISERROR(SEARCH("Update not Provided",E96)))</formula>
    </cfRule>
    <cfRule type="containsText" dxfId="120" priority="312" operator="containsText" text="Not yet due">
      <formula>NOT(ISERROR(SEARCH("Not yet due",E96)))</formula>
    </cfRule>
    <cfRule type="containsText" dxfId="119" priority="313" operator="containsText" text="Completed Behind Schedule">
      <formula>NOT(ISERROR(SEARCH("Completed Behind Schedule",E96)))</formula>
    </cfRule>
    <cfRule type="containsText" dxfId="118" priority="314" operator="containsText" text="Off Target">
      <formula>NOT(ISERROR(SEARCH("Off Target",E96)))</formula>
    </cfRule>
    <cfRule type="containsText" dxfId="117" priority="315" operator="containsText" text="In Danger of Falling Behind Target">
      <formula>NOT(ISERROR(SEARCH("In Danger of Falling Behind Target",E96)))</formula>
    </cfRule>
    <cfRule type="containsText" dxfId="116" priority="316" operator="containsText" text="On Track to be Achieved">
      <formula>NOT(ISERROR(SEARCH("On Track to be Achieved",E96)))</formula>
    </cfRule>
    <cfRule type="containsText" dxfId="115" priority="317" operator="containsText" text="Fully Achieved">
      <formula>NOT(ISERROR(SEARCH("Fully Achieved",E96)))</formula>
    </cfRule>
    <cfRule type="containsText" dxfId="114" priority="318" operator="containsText" text="Fully Achieved">
      <formula>NOT(ISERROR(SEARCH("Fully Achieved",E96)))</formula>
    </cfRule>
    <cfRule type="containsText" dxfId="113" priority="319" operator="containsText" text="Fully Achieved">
      <formula>NOT(ISERROR(SEARCH("Fully Achieved",E96)))</formula>
    </cfRule>
    <cfRule type="containsText" dxfId="112" priority="320" operator="containsText" text="Deferred">
      <formula>NOT(ISERROR(SEARCH("Deferred",E96)))</formula>
    </cfRule>
    <cfRule type="containsText" dxfId="111" priority="321" operator="containsText" text="Deleted">
      <formula>NOT(ISERROR(SEARCH("Deleted",E96)))</formula>
    </cfRule>
    <cfRule type="containsText" dxfId="110" priority="322" operator="containsText" text="In Danger of Falling Behind Target">
      <formula>NOT(ISERROR(SEARCH("In Danger of Falling Behind Target",E96)))</formula>
    </cfRule>
    <cfRule type="containsText" dxfId="109" priority="323" operator="containsText" text="Not yet due">
      <formula>NOT(ISERROR(SEARCH("Not yet due",E96)))</formula>
    </cfRule>
    <cfRule type="containsText" dxfId="108" priority="324" operator="containsText" text="Update not Provided">
      <formula>NOT(ISERROR(SEARCH("Update not Provided",E96)))</formula>
    </cfRule>
  </conditionalFormatting>
  <conditionalFormatting sqref="E99:E101">
    <cfRule type="containsText" dxfId="107" priority="253" operator="containsText" text="On track to be achieved">
      <formula>NOT(ISERROR(SEARCH("On track to be achieved",E99)))</formula>
    </cfRule>
    <cfRule type="containsText" dxfId="106" priority="254" operator="containsText" text="Deferred">
      <formula>NOT(ISERROR(SEARCH("Deferred",E99)))</formula>
    </cfRule>
    <cfRule type="containsText" dxfId="105" priority="255" operator="containsText" text="Deleted">
      <formula>NOT(ISERROR(SEARCH("Deleted",E99)))</formula>
    </cfRule>
    <cfRule type="containsText" dxfId="104" priority="256" operator="containsText" text="In Danger of Falling Behind Target">
      <formula>NOT(ISERROR(SEARCH("In Danger of Falling Behind Target",E99)))</formula>
    </cfRule>
    <cfRule type="containsText" dxfId="103" priority="257" operator="containsText" text="Not yet due">
      <formula>NOT(ISERROR(SEARCH("Not yet due",E99)))</formula>
    </cfRule>
    <cfRule type="containsText" dxfId="102" priority="258" operator="containsText" text="Update not Provided">
      <formula>NOT(ISERROR(SEARCH("Update not Provided",E99)))</formula>
    </cfRule>
    <cfRule type="containsText" dxfId="101" priority="259" operator="containsText" text="Not yet due">
      <formula>NOT(ISERROR(SEARCH("Not yet due",E99)))</formula>
    </cfRule>
    <cfRule type="containsText" dxfId="100" priority="260" operator="containsText" text="Completed Behind Schedule">
      <formula>NOT(ISERROR(SEARCH("Completed Behind Schedule",E99)))</formula>
    </cfRule>
    <cfRule type="containsText" dxfId="99" priority="261" operator="containsText" text="Off Target">
      <formula>NOT(ISERROR(SEARCH("Off Target",E99)))</formula>
    </cfRule>
    <cfRule type="containsText" dxfId="98" priority="262" operator="containsText" text="On Track to be Achieved">
      <formula>NOT(ISERROR(SEARCH("On Track to be Achieved",E99)))</formula>
    </cfRule>
    <cfRule type="containsText" dxfId="97" priority="263" operator="containsText" text="Fully Achieved">
      <formula>NOT(ISERROR(SEARCH("Fully Achieved",E99)))</formula>
    </cfRule>
    <cfRule type="containsText" dxfId="96" priority="264" operator="containsText" text="Not yet due">
      <formula>NOT(ISERROR(SEARCH("Not yet due",E99)))</formula>
    </cfRule>
    <cfRule type="containsText" dxfId="95" priority="265" operator="containsText" text="Not Yet Due">
      <formula>NOT(ISERROR(SEARCH("Not Yet Due",E99)))</formula>
    </cfRule>
    <cfRule type="containsText" dxfId="94" priority="266" operator="containsText" text="Deferred">
      <formula>NOT(ISERROR(SEARCH("Deferred",E99)))</formula>
    </cfRule>
    <cfRule type="containsText" dxfId="93" priority="267" operator="containsText" text="Deleted">
      <formula>NOT(ISERROR(SEARCH("Deleted",E99)))</formula>
    </cfRule>
    <cfRule type="containsText" dxfId="92" priority="268" operator="containsText" text="In Danger of Falling Behind Target">
      <formula>NOT(ISERROR(SEARCH("In Danger of Falling Behind Target",E99)))</formula>
    </cfRule>
    <cfRule type="containsText" dxfId="91" priority="269" operator="containsText" text="Not yet due">
      <formula>NOT(ISERROR(SEARCH("Not yet due",E99)))</formula>
    </cfRule>
    <cfRule type="containsText" dxfId="90" priority="270" operator="containsText" text="Completed Behind Schedule">
      <formula>NOT(ISERROR(SEARCH("Completed Behind Schedule",E99)))</formula>
    </cfRule>
    <cfRule type="containsText" dxfId="89" priority="271" operator="containsText" text="Off Target">
      <formula>NOT(ISERROR(SEARCH("Off Target",E99)))</formula>
    </cfRule>
    <cfRule type="containsText" dxfId="88" priority="272" operator="containsText" text="In Danger of Falling Behind Target">
      <formula>NOT(ISERROR(SEARCH("In Danger of Falling Behind Target",E99)))</formula>
    </cfRule>
    <cfRule type="containsText" dxfId="87" priority="273" operator="containsText" text="On Track to be Achieved">
      <formula>NOT(ISERROR(SEARCH("On Track to be Achieved",E99)))</formula>
    </cfRule>
    <cfRule type="containsText" dxfId="86" priority="274" operator="containsText" text="Fully Achieved">
      <formula>NOT(ISERROR(SEARCH("Fully Achieved",E99)))</formula>
    </cfRule>
    <cfRule type="containsText" dxfId="85" priority="275" operator="containsText" text="Update not Provided">
      <formula>NOT(ISERROR(SEARCH("Update not Provided",E99)))</formula>
    </cfRule>
    <cfRule type="containsText" dxfId="84" priority="276" operator="containsText" text="Not yet due">
      <formula>NOT(ISERROR(SEARCH("Not yet due",E99)))</formula>
    </cfRule>
    <cfRule type="containsText" dxfId="83" priority="277" operator="containsText" text="Completed Behind Schedule">
      <formula>NOT(ISERROR(SEARCH("Completed Behind Schedule",E99)))</formula>
    </cfRule>
    <cfRule type="containsText" dxfId="82" priority="278" operator="containsText" text="Off Target">
      <formula>NOT(ISERROR(SEARCH("Off Target",E99)))</formula>
    </cfRule>
    <cfRule type="containsText" dxfId="81" priority="279" operator="containsText" text="In Danger of Falling Behind Target">
      <formula>NOT(ISERROR(SEARCH("In Danger of Falling Behind Target",E99)))</formula>
    </cfRule>
    <cfRule type="containsText" dxfId="80" priority="280" operator="containsText" text="On Track to be Achieved">
      <formula>NOT(ISERROR(SEARCH("On Track to be Achieved",E99)))</formula>
    </cfRule>
    <cfRule type="containsText" dxfId="79" priority="281" operator="containsText" text="Fully Achieved">
      <formula>NOT(ISERROR(SEARCH("Fully Achieved",E99)))</formula>
    </cfRule>
    <cfRule type="containsText" dxfId="78" priority="282" operator="containsText" text="Fully Achieved">
      <formula>NOT(ISERROR(SEARCH("Fully Achieved",E99)))</formula>
    </cfRule>
    <cfRule type="containsText" dxfId="77" priority="283" operator="containsText" text="Fully Achieved">
      <formula>NOT(ISERROR(SEARCH("Fully Achieved",E99)))</formula>
    </cfRule>
    <cfRule type="containsText" dxfId="76" priority="284" operator="containsText" text="Deferred">
      <formula>NOT(ISERROR(SEARCH("Deferred",E99)))</formula>
    </cfRule>
    <cfRule type="containsText" dxfId="75" priority="285" operator="containsText" text="Deleted">
      <formula>NOT(ISERROR(SEARCH("Deleted",E99)))</formula>
    </cfRule>
    <cfRule type="containsText" dxfId="74" priority="286" operator="containsText" text="In Danger of Falling Behind Target">
      <formula>NOT(ISERROR(SEARCH("In Danger of Falling Behind Target",E99)))</formula>
    </cfRule>
    <cfRule type="containsText" dxfId="73" priority="287" operator="containsText" text="Not yet due">
      <formula>NOT(ISERROR(SEARCH("Not yet due",E99)))</formula>
    </cfRule>
    <cfRule type="containsText" dxfId="72" priority="288" operator="containsText" text="Update not Provided">
      <formula>NOT(ISERROR(SEARCH("Update not Provided",E99)))</formula>
    </cfRule>
  </conditionalFormatting>
  <conditionalFormatting sqref="E104:E109">
    <cfRule type="containsText" dxfId="71" priority="217" operator="containsText" text="On track to be achieved">
      <formula>NOT(ISERROR(SEARCH("On track to be achieved",E104)))</formula>
    </cfRule>
    <cfRule type="containsText" dxfId="70" priority="218" operator="containsText" text="Deferred">
      <formula>NOT(ISERROR(SEARCH("Deferred",E104)))</formula>
    </cfRule>
    <cfRule type="containsText" dxfId="69" priority="219" operator="containsText" text="Deleted">
      <formula>NOT(ISERROR(SEARCH("Deleted",E104)))</formula>
    </cfRule>
    <cfRule type="containsText" dxfId="68" priority="220" operator="containsText" text="In Danger of Falling Behind Target">
      <formula>NOT(ISERROR(SEARCH("In Danger of Falling Behind Target",E104)))</formula>
    </cfRule>
    <cfRule type="containsText" dxfId="67" priority="221" operator="containsText" text="Not yet due">
      <formula>NOT(ISERROR(SEARCH("Not yet due",E104)))</formula>
    </cfRule>
    <cfRule type="containsText" dxfId="66" priority="222" operator="containsText" text="Update not Provided">
      <formula>NOT(ISERROR(SEARCH("Update not Provided",E104)))</formula>
    </cfRule>
    <cfRule type="containsText" dxfId="65" priority="223" operator="containsText" text="Not yet due">
      <formula>NOT(ISERROR(SEARCH("Not yet due",E104)))</formula>
    </cfRule>
    <cfRule type="containsText" dxfId="64" priority="224" operator="containsText" text="Completed Behind Schedule">
      <formula>NOT(ISERROR(SEARCH("Completed Behind Schedule",E104)))</formula>
    </cfRule>
    <cfRule type="containsText" dxfId="63" priority="225" operator="containsText" text="Off Target">
      <formula>NOT(ISERROR(SEARCH("Off Target",E104)))</formula>
    </cfRule>
    <cfRule type="containsText" dxfId="62" priority="226" operator="containsText" text="On Track to be Achieved">
      <formula>NOT(ISERROR(SEARCH("On Track to be Achieved",E104)))</formula>
    </cfRule>
    <cfRule type="containsText" dxfId="61" priority="227" operator="containsText" text="Fully Achieved">
      <formula>NOT(ISERROR(SEARCH("Fully Achieved",E104)))</formula>
    </cfRule>
    <cfRule type="containsText" dxfId="60" priority="228" operator="containsText" text="Not yet due">
      <formula>NOT(ISERROR(SEARCH("Not yet due",E104)))</formula>
    </cfRule>
    <cfRule type="containsText" dxfId="59" priority="229" operator="containsText" text="Not Yet Due">
      <formula>NOT(ISERROR(SEARCH("Not Yet Due",E104)))</formula>
    </cfRule>
    <cfRule type="containsText" dxfId="58" priority="230" operator="containsText" text="Deferred">
      <formula>NOT(ISERROR(SEARCH("Deferred",E104)))</formula>
    </cfRule>
    <cfRule type="containsText" dxfId="57" priority="231" operator="containsText" text="Deleted">
      <formula>NOT(ISERROR(SEARCH("Deleted",E104)))</formula>
    </cfRule>
    <cfRule type="containsText" dxfId="56" priority="232" operator="containsText" text="In Danger of Falling Behind Target">
      <formula>NOT(ISERROR(SEARCH("In Danger of Falling Behind Target",E104)))</formula>
    </cfRule>
    <cfRule type="containsText" dxfId="55" priority="233" operator="containsText" text="Not yet due">
      <formula>NOT(ISERROR(SEARCH("Not yet due",E104)))</formula>
    </cfRule>
    <cfRule type="containsText" dxfId="54" priority="234" operator="containsText" text="Completed Behind Schedule">
      <formula>NOT(ISERROR(SEARCH("Completed Behind Schedule",E104)))</formula>
    </cfRule>
    <cfRule type="containsText" dxfId="53" priority="235" operator="containsText" text="Off Target">
      <formula>NOT(ISERROR(SEARCH("Off Target",E104)))</formula>
    </cfRule>
    <cfRule type="containsText" dxfId="52" priority="236" operator="containsText" text="In Danger of Falling Behind Target">
      <formula>NOT(ISERROR(SEARCH("In Danger of Falling Behind Target",E104)))</formula>
    </cfRule>
    <cfRule type="containsText" dxfId="51" priority="237" operator="containsText" text="On Track to be Achieved">
      <formula>NOT(ISERROR(SEARCH("On Track to be Achieved",E104)))</formula>
    </cfRule>
    <cfRule type="containsText" dxfId="50" priority="238" operator="containsText" text="Fully Achieved">
      <formula>NOT(ISERROR(SEARCH("Fully Achieved",E104)))</formula>
    </cfRule>
    <cfRule type="containsText" dxfId="49" priority="239" operator="containsText" text="Update not Provided">
      <formula>NOT(ISERROR(SEARCH("Update not Provided",E104)))</formula>
    </cfRule>
    <cfRule type="containsText" dxfId="48" priority="240" operator="containsText" text="Not yet due">
      <formula>NOT(ISERROR(SEARCH("Not yet due",E104)))</formula>
    </cfRule>
    <cfRule type="containsText" dxfId="47" priority="241" operator="containsText" text="Completed Behind Schedule">
      <formula>NOT(ISERROR(SEARCH("Completed Behind Schedule",E104)))</formula>
    </cfRule>
    <cfRule type="containsText" dxfId="46" priority="242" operator="containsText" text="Off Target">
      <formula>NOT(ISERROR(SEARCH("Off Target",E104)))</formula>
    </cfRule>
    <cfRule type="containsText" dxfId="45" priority="243" operator="containsText" text="In Danger of Falling Behind Target">
      <formula>NOT(ISERROR(SEARCH("In Danger of Falling Behind Target",E104)))</formula>
    </cfRule>
    <cfRule type="containsText" dxfId="44" priority="244" operator="containsText" text="On Track to be Achieved">
      <formula>NOT(ISERROR(SEARCH("On Track to be Achieved",E104)))</formula>
    </cfRule>
    <cfRule type="containsText" dxfId="43" priority="245" operator="containsText" text="Fully Achieved">
      <formula>NOT(ISERROR(SEARCH("Fully Achieved",E104)))</formula>
    </cfRule>
    <cfRule type="containsText" dxfId="42" priority="246" operator="containsText" text="Fully Achieved">
      <formula>NOT(ISERROR(SEARCH("Fully Achieved",E104)))</formula>
    </cfRule>
    <cfRule type="containsText" dxfId="41" priority="247" operator="containsText" text="Fully Achieved">
      <formula>NOT(ISERROR(SEARCH("Fully Achieved",E104)))</formula>
    </cfRule>
    <cfRule type="containsText" dxfId="40" priority="248" operator="containsText" text="Deferred">
      <formula>NOT(ISERROR(SEARCH("Deferred",E104)))</formula>
    </cfRule>
    <cfRule type="containsText" dxfId="39" priority="249" operator="containsText" text="Deleted">
      <formula>NOT(ISERROR(SEARCH("Deleted",E104)))</formula>
    </cfRule>
    <cfRule type="containsText" dxfId="38" priority="250" operator="containsText" text="In Danger of Falling Behind Target">
      <formula>NOT(ISERROR(SEARCH("In Danger of Falling Behind Target",E104)))</formula>
    </cfRule>
    <cfRule type="containsText" dxfId="37" priority="251" operator="containsText" text="Not yet due">
      <formula>NOT(ISERROR(SEARCH("Not yet due",E104)))</formula>
    </cfRule>
    <cfRule type="containsText" dxfId="36" priority="252" operator="containsText" text="Update not Provided">
      <formula>NOT(ISERROR(SEARCH("Update not Provided",E104)))</formula>
    </cfRule>
  </conditionalFormatting>
  <conditionalFormatting sqref="E7">
    <cfRule type="containsText" dxfId="35" priority="1" operator="containsText" text="On track to be achieved">
      <formula>NOT(ISERROR(SEARCH("On track to be achieved",E7)))</formula>
    </cfRule>
    <cfRule type="containsText" dxfId="34" priority="2" operator="containsText" text="Deferred">
      <formula>NOT(ISERROR(SEARCH("Deferred",E7)))</formula>
    </cfRule>
    <cfRule type="containsText" dxfId="33" priority="3" operator="containsText" text="Deleted">
      <formula>NOT(ISERROR(SEARCH("Deleted",E7)))</formula>
    </cfRule>
    <cfRule type="containsText" dxfId="32" priority="4" operator="containsText" text="In Danger of Falling Behind Target">
      <formula>NOT(ISERROR(SEARCH("In Danger of Falling Behind Target",E7)))</formula>
    </cfRule>
    <cfRule type="containsText" dxfId="31" priority="5" operator="containsText" text="Not yet due">
      <formula>NOT(ISERROR(SEARCH("Not yet due",E7)))</formula>
    </cfRule>
    <cfRule type="containsText" dxfId="30" priority="6" operator="containsText" text="Update not Provided">
      <formula>NOT(ISERROR(SEARCH("Update not Provided",E7)))</formula>
    </cfRule>
    <cfRule type="containsText" dxfId="29" priority="7" operator="containsText" text="Not yet due">
      <formula>NOT(ISERROR(SEARCH("Not yet due",E7)))</formula>
    </cfRule>
    <cfRule type="containsText" dxfId="28" priority="8" operator="containsText" text="Completed Behind Schedule">
      <formula>NOT(ISERROR(SEARCH("Completed Behind Schedule",E7)))</formula>
    </cfRule>
    <cfRule type="containsText" dxfId="27" priority="9" operator="containsText" text="Off Target">
      <formula>NOT(ISERROR(SEARCH("Off Target",E7)))</formula>
    </cfRule>
    <cfRule type="containsText" dxfId="26" priority="10" operator="containsText" text="On Track to be Achieved">
      <formula>NOT(ISERROR(SEARCH("On Track to be Achieved",E7)))</formula>
    </cfRule>
    <cfRule type="containsText" dxfId="25" priority="11" operator="containsText" text="Fully Achieved">
      <formula>NOT(ISERROR(SEARCH("Fully Achieved",E7)))</formula>
    </cfRule>
    <cfRule type="containsText" dxfId="24" priority="12" operator="containsText" text="Not yet due">
      <formula>NOT(ISERROR(SEARCH("Not yet due",E7)))</formula>
    </cfRule>
    <cfRule type="containsText" dxfId="23" priority="13" operator="containsText" text="Not Yet Due">
      <formula>NOT(ISERROR(SEARCH("Not Yet Due",E7)))</formula>
    </cfRule>
    <cfRule type="containsText" dxfId="22" priority="14" operator="containsText" text="Deferred">
      <formula>NOT(ISERROR(SEARCH("Deferred",E7)))</formula>
    </cfRule>
    <cfRule type="containsText" dxfId="21" priority="15" operator="containsText" text="Deleted">
      <formula>NOT(ISERROR(SEARCH("Deleted",E7)))</formula>
    </cfRule>
    <cfRule type="containsText" dxfId="20" priority="16" operator="containsText" text="In Danger of Falling Behind Target">
      <formula>NOT(ISERROR(SEARCH("In Danger of Falling Behind Target",E7)))</formula>
    </cfRule>
    <cfRule type="containsText" dxfId="19" priority="17" operator="containsText" text="Not yet due">
      <formula>NOT(ISERROR(SEARCH("Not yet due",E7)))</formula>
    </cfRule>
    <cfRule type="containsText" dxfId="18" priority="18" operator="containsText" text="Completed Behind Schedule">
      <formula>NOT(ISERROR(SEARCH("Completed Behind Schedule",E7)))</formula>
    </cfRule>
    <cfRule type="containsText" dxfId="17" priority="19" operator="containsText" text="Off Target">
      <formula>NOT(ISERROR(SEARCH("Off Target",E7)))</formula>
    </cfRule>
    <cfRule type="containsText" dxfId="16" priority="20" operator="containsText" text="In Danger of Falling Behind Target">
      <formula>NOT(ISERROR(SEARCH("In Danger of Falling Behind Target",E7)))</formula>
    </cfRule>
    <cfRule type="containsText" dxfId="15" priority="21" operator="containsText" text="On Track to be Achieved">
      <formula>NOT(ISERROR(SEARCH("On Track to be Achieved",E7)))</formula>
    </cfRule>
    <cfRule type="containsText" dxfId="14" priority="22" operator="containsText" text="Fully Achieved">
      <formula>NOT(ISERROR(SEARCH("Fully Achieved",E7)))</formula>
    </cfRule>
    <cfRule type="containsText" dxfId="13" priority="23" operator="containsText" text="Update not Provided">
      <formula>NOT(ISERROR(SEARCH("Update not Provided",E7)))</formula>
    </cfRule>
    <cfRule type="containsText" dxfId="12" priority="24" operator="containsText" text="Not yet due">
      <formula>NOT(ISERROR(SEARCH("Not yet due",E7)))</formula>
    </cfRule>
    <cfRule type="containsText" dxfId="11" priority="25" operator="containsText" text="Completed Behind Schedule">
      <formula>NOT(ISERROR(SEARCH("Completed Behind Schedule",E7)))</formula>
    </cfRule>
    <cfRule type="containsText" dxfId="10" priority="26" operator="containsText" text="Off Target">
      <formula>NOT(ISERROR(SEARCH("Off Target",E7)))</formula>
    </cfRule>
    <cfRule type="containsText" dxfId="9" priority="27" operator="containsText" text="In Danger of Falling Behind Target">
      <formula>NOT(ISERROR(SEARCH("In Danger of Falling Behind Target",E7)))</formula>
    </cfRule>
    <cfRule type="containsText" dxfId="8" priority="28" operator="containsText" text="On Track to be Achieved">
      <formula>NOT(ISERROR(SEARCH("On Track to be Achieved",E7)))</formula>
    </cfRule>
    <cfRule type="containsText" dxfId="7" priority="29" operator="containsText" text="Fully Achieved">
      <formula>NOT(ISERROR(SEARCH("Fully Achieved",E7)))</formula>
    </cfRule>
    <cfRule type="containsText" dxfId="6" priority="30" operator="containsText" text="Fully Achieved">
      <formula>NOT(ISERROR(SEARCH("Fully Achieved",E7)))</formula>
    </cfRule>
    <cfRule type="containsText" dxfId="5" priority="31" operator="containsText" text="Fully Achieved">
      <formula>NOT(ISERROR(SEARCH("Fully Achieved",E7)))</formula>
    </cfRule>
    <cfRule type="containsText" dxfId="4" priority="32" operator="containsText" text="Deferred">
      <formula>NOT(ISERROR(SEARCH("Deferred",E7)))</formula>
    </cfRule>
    <cfRule type="containsText" dxfId="3" priority="33" operator="containsText" text="Deleted">
      <formula>NOT(ISERROR(SEARCH("Deleted",E7)))</formula>
    </cfRule>
    <cfRule type="containsText" dxfId="2" priority="34" operator="containsText" text="In Danger of Falling Behind Target">
      <formula>NOT(ISERROR(SEARCH("In Danger of Falling Behind Target",E7)))</formula>
    </cfRule>
    <cfRule type="containsText" dxfId="1" priority="35" operator="containsText" text="Not yet due">
      <formula>NOT(ISERROR(SEARCH("Not yet due",E7)))</formula>
    </cfRule>
    <cfRule type="containsText" dxfId="0" priority="36" operator="containsText" text="Update not Provided">
      <formula>NOT(ISERROR(SEARCH("Update not Provided",E7)))</formula>
    </cfRule>
  </conditionalFormatting>
  <dataValidations count="2">
    <dataValidation type="list" allowBlank="1" showInputMessage="1" showErrorMessage="1" promptTitle="Is target on track?" prompt="Please choose an option from the drop down list that best describes the current situation for this target." sqref="R82 M82">
      <formula1>$A$111:$A$116</formula1>
    </dataValidation>
    <dataValidation type="list" allowBlank="1" showInputMessage="1" showErrorMessage="1" promptTitle="Is target on track?" prompt="Please choose an option from the drop down list that best describes the current situation for this target." sqref="V82">
      <formula1>#REF!</formula1>
    </dataValidation>
  </dataValidations>
  <hyperlinks>
    <hyperlink ref="A1" location="INDEX!A1" display="Back to index"/>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heetViews>
  <sheetFormatPr defaultRowHeight="14.4"/>
  <cols>
    <col min="1" max="1" width="17" bestFit="1" customWidth="1"/>
  </cols>
  <sheetData>
    <row r="1" spans="1:3">
      <c r="A1" s="134"/>
      <c r="B1" s="135"/>
      <c r="C1" s="136"/>
    </row>
    <row r="2" spans="1:3">
      <c r="A2" s="137"/>
      <c r="B2" s="138"/>
      <c r="C2" s="139"/>
    </row>
    <row r="3" spans="1:3">
      <c r="A3" s="137"/>
      <c r="B3" s="138"/>
      <c r="C3" s="139"/>
    </row>
    <row r="4" spans="1:3">
      <c r="A4" s="137"/>
      <c r="B4" s="138"/>
      <c r="C4" s="139"/>
    </row>
    <row r="5" spans="1:3">
      <c r="A5" s="137"/>
      <c r="B5" s="138"/>
      <c r="C5" s="139"/>
    </row>
    <row r="6" spans="1:3">
      <c r="A6" s="137"/>
      <c r="B6" s="138"/>
      <c r="C6" s="139"/>
    </row>
    <row r="7" spans="1:3">
      <c r="A7" s="137"/>
      <c r="B7" s="138"/>
      <c r="C7" s="139"/>
    </row>
    <row r="8" spans="1:3">
      <c r="A8" s="137"/>
      <c r="B8" s="138"/>
      <c r="C8" s="139"/>
    </row>
    <row r="9" spans="1:3">
      <c r="A9" s="137"/>
      <c r="B9" s="138"/>
      <c r="C9" s="139"/>
    </row>
    <row r="10" spans="1:3">
      <c r="A10" s="137"/>
      <c r="B10" s="138"/>
      <c r="C10" s="139"/>
    </row>
    <row r="11" spans="1:3">
      <c r="A11" s="137"/>
      <c r="B11" s="138"/>
      <c r="C11" s="139"/>
    </row>
    <row r="12" spans="1:3">
      <c r="A12" s="137"/>
      <c r="B12" s="138"/>
      <c r="C12" s="139"/>
    </row>
    <row r="13" spans="1:3">
      <c r="A13" s="137"/>
      <c r="B13" s="138"/>
      <c r="C13" s="139"/>
    </row>
    <row r="14" spans="1:3">
      <c r="A14" s="137"/>
      <c r="B14" s="138"/>
      <c r="C14" s="139"/>
    </row>
    <row r="15" spans="1:3">
      <c r="A15" s="137"/>
      <c r="B15" s="138"/>
      <c r="C15" s="139"/>
    </row>
    <row r="16" spans="1:3">
      <c r="A16" s="137"/>
      <c r="B16" s="138"/>
      <c r="C16" s="139"/>
    </row>
    <row r="17" spans="1:3">
      <c r="A17" s="137"/>
      <c r="B17" s="138"/>
      <c r="C17" s="139"/>
    </row>
    <row r="18" spans="1:3">
      <c r="A18" s="140"/>
      <c r="B18" s="141"/>
      <c r="C18" s="1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zoomScale="60" zoomScaleNormal="60" workbookViewId="0">
      <selection activeCell="C8" sqref="C8"/>
    </sheetView>
  </sheetViews>
  <sheetFormatPr defaultColWidth="9.33203125" defaultRowHeight="14.4"/>
  <cols>
    <col min="1" max="1" width="9.33203125" style="30"/>
    <col min="2" max="2" width="49.5546875" style="4" customWidth="1"/>
    <col min="3" max="3" width="27.33203125" style="4" customWidth="1"/>
    <col min="4" max="4" width="27.33203125" style="53" customWidth="1"/>
    <col min="5" max="8" width="27.33203125" style="4" customWidth="1"/>
    <col min="9" max="40" width="9.33203125" style="30"/>
    <col min="41" max="16384" width="9.33203125" style="4"/>
  </cols>
  <sheetData>
    <row r="1" spans="1:40" s="30" customFormat="1" ht="33" customHeight="1" thickBot="1">
      <c r="B1" s="31"/>
      <c r="D1" s="32"/>
    </row>
    <row r="2" spans="1:40" ht="40.5" customHeight="1" thickTop="1" thickBot="1">
      <c r="B2" s="394" t="s">
        <v>394</v>
      </c>
      <c r="C2" s="396" t="s">
        <v>49</v>
      </c>
      <c r="D2" s="397"/>
      <c r="E2" s="398" t="s">
        <v>50</v>
      </c>
      <c r="F2" s="399"/>
      <c r="G2" s="400" t="s">
        <v>51</v>
      </c>
      <c r="H2" s="400"/>
    </row>
    <row r="3" spans="1:40" ht="50.25" customHeight="1" thickTop="1" thickBot="1">
      <c r="B3" s="395"/>
      <c r="C3" s="33" t="s">
        <v>52</v>
      </c>
      <c r="D3" s="34" t="s">
        <v>53</v>
      </c>
      <c r="E3" s="35" t="s">
        <v>52</v>
      </c>
      <c r="F3" s="36" t="s">
        <v>53</v>
      </c>
      <c r="G3" s="54" t="s">
        <v>52</v>
      </c>
      <c r="H3" s="55" t="s">
        <v>53</v>
      </c>
    </row>
    <row r="4" spans="1:40" s="41" customFormat="1" ht="22.2" thickTop="1" thickBot="1">
      <c r="A4" s="37"/>
      <c r="B4" s="38" t="s">
        <v>54</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55</v>
      </c>
      <c r="C5" s="60">
        <f>'2a. % By Priority'!C5+'2a. % By Priority'!C6</f>
        <v>75</v>
      </c>
      <c r="D5" s="45">
        <f>'2a. % By Priority'!G5</f>
        <v>0.94936708860759489</v>
      </c>
      <c r="E5" s="46">
        <f>'2a. % By Priority'!C7</f>
        <v>1</v>
      </c>
      <c r="F5" s="36">
        <f>'2a. % By Priority'!G7</f>
        <v>1.2658227848101266E-2</v>
      </c>
      <c r="G5" s="56">
        <f>'2a. % By Priority'!C10+'2a. % By Priority'!C11</f>
        <v>3</v>
      </c>
      <c r="H5" s="57">
        <f>'2a. % By Priority'!G10</f>
        <v>3.7974683544303799E-2</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2.2" thickTop="1" thickBot="1">
      <c r="A6" s="42"/>
      <c r="B6" s="48" t="s">
        <v>56</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383" t="s">
        <v>126</v>
      </c>
      <c r="C7" s="60">
        <f>'2a. % By Priority'!C23+'2a. % By Priority'!C24</f>
        <v>11</v>
      </c>
      <c r="D7" s="45">
        <f>'2a. % By Priority'!G23</f>
        <v>0.84615384615384615</v>
      </c>
      <c r="E7" s="52">
        <f>'2a. % By Priority'!C25</f>
        <v>0</v>
      </c>
      <c r="F7" s="36">
        <f>'2a. % By Priority'!G25</f>
        <v>0</v>
      </c>
      <c r="G7" s="56">
        <f>'2a. % By Priority'!C28+'2a. % By Priority'!C29</f>
        <v>2</v>
      </c>
      <c r="H7" s="57">
        <f>'2a. % By Priority'!G28</f>
        <v>0.15384615384615385</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122</v>
      </c>
      <c r="C8" s="44">
        <f>'2a. % By Priority'!C41+'2a. % By Priority'!C42</f>
        <v>17</v>
      </c>
      <c r="D8" s="45">
        <f>'2a. % By Priority'!G41</f>
        <v>0.94444444444444442</v>
      </c>
      <c r="E8" s="52">
        <f>'2a. % By Priority'!C43</f>
        <v>1</v>
      </c>
      <c r="F8" s="36">
        <f>'2a. % By Priority'!G43</f>
        <v>5.5555555555555552E-2</v>
      </c>
      <c r="G8" s="56">
        <f>'2a. % By Priority'!C46+'2a. % By Priority'!C47</f>
        <v>0</v>
      </c>
      <c r="H8" s="57">
        <f>'2a. % By Priority'!G46</f>
        <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123</v>
      </c>
      <c r="C9" s="44">
        <f>'2a. % By Priority'!C59+'2a. % By Priority'!C60</f>
        <v>15</v>
      </c>
      <c r="D9" s="45">
        <f>'2a. % By Priority'!G59</f>
        <v>1</v>
      </c>
      <c r="E9" s="52">
        <f>'2a. % By Priority'!C61</f>
        <v>0</v>
      </c>
      <c r="F9" s="36">
        <f>'2a. % By Priority'!G61</f>
        <v>0</v>
      </c>
      <c r="G9" s="56">
        <f>'2a. % By Priority'!C64+'2a. % By Priority'!C65</f>
        <v>0</v>
      </c>
      <c r="H9" s="57">
        <f>'2a. % By Priority'!G64</f>
        <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87" t="s">
        <v>124</v>
      </c>
      <c r="C10" s="44">
        <f>'2a. % By Priority'!C77+'2a. % By Priority'!C78</f>
        <v>9</v>
      </c>
      <c r="D10" s="45">
        <f>'2a. % By Priority'!G77</f>
        <v>0.9</v>
      </c>
      <c r="E10" s="52">
        <f>'2a. % By Priority'!C79</f>
        <v>0</v>
      </c>
      <c r="F10" s="36">
        <f>'2a. % By Priority'!G79</f>
        <v>0</v>
      </c>
      <c r="G10" s="56">
        <f>'2a. % By Priority'!C82+'2a. % By Priority'!C83</f>
        <v>1</v>
      </c>
      <c r="H10" s="57">
        <f>'2a. % By Priority'!G82</f>
        <v>0.1</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87" t="s">
        <v>125</v>
      </c>
      <c r="C11" s="44">
        <f>'2a. % By Priority'!C95+'2a. % By Priority'!C96</f>
        <v>23</v>
      </c>
      <c r="D11" s="45">
        <f>'2a. % By Priority'!G95</f>
        <v>1</v>
      </c>
      <c r="E11" s="52">
        <f>'2a. % By Priority'!C97</f>
        <v>0</v>
      </c>
      <c r="F11" s="36">
        <f>'2a. % By Priority'!G97</f>
        <v>0</v>
      </c>
      <c r="G11" s="56">
        <f>'2a. % By Priority'!C100+'2a. % By Priority'!C101</f>
        <v>0</v>
      </c>
      <c r="H11" s="57">
        <f>'2a. % By Priority'!G100</f>
        <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2.2" thickTop="1" thickBot="1">
      <c r="A12" s="42"/>
      <c r="B12" s="48" t="s">
        <v>130</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117</v>
      </c>
      <c r="C13" s="60">
        <f>'3a. % by Portfolio'!C5+'3a. % by Portfolio'!C6</f>
        <v>9</v>
      </c>
      <c r="D13" s="61">
        <f>'3a. % by Portfolio'!G5</f>
        <v>1</v>
      </c>
      <c r="E13" s="62">
        <f>'3a. % by Portfolio'!C7</f>
        <v>0</v>
      </c>
      <c r="F13" s="63">
        <f>'3a. % by Portfolio'!G7</f>
        <v>0</v>
      </c>
      <c r="G13" s="64">
        <f>'3a. % by Portfolio'!C10+'3a. % by Portfolio'!C11</f>
        <v>0</v>
      </c>
      <c r="H13" s="65">
        <f>'3a. % by Portfolio'!G10</f>
        <v>0</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95</v>
      </c>
      <c r="C14" s="60">
        <f>'3a. % by Portfolio'!C24+'3a. % by Portfolio'!C25</f>
        <v>16</v>
      </c>
      <c r="D14" s="61">
        <f>'3a. % by Portfolio'!G24</f>
        <v>1</v>
      </c>
      <c r="E14" s="66">
        <f>'3a. % by Portfolio'!C26</f>
        <v>0</v>
      </c>
      <c r="F14" s="63">
        <f>'3a. % by Portfolio'!G26</f>
        <v>0</v>
      </c>
      <c r="G14" s="64">
        <f>'3a. % by Portfolio'!C29+'3a. % by Portfolio'!C30</f>
        <v>0</v>
      </c>
      <c r="H14" s="65">
        <f>'3a. % by Portfolio'!G29</f>
        <v>0</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118</v>
      </c>
      <c r="C15" s="60">
        <f>'3a. % by Portfolio'!C42+'3a. % by Portfolio'!C43</f>
        <v>8</v>
      </c>
      <c r="D15" s="61">
        <f>'3a. % by Portfolio'!G42</f>
        <v>0.88888888888888884</v>
      </c>
      <c r="E15" s="66">
        <f>'3a. % by Portfolio'!C44</f>
        <v>0</v>
      </c>
      <c r="F15" s="63">
        <f>'3a. % by Portfolio'!G44</f>
        <v>0</v>
      </c>
      <c r="G15" s="64">
        <f>'3a. % by Portfolio'!C47+'3a. % by Portfolio'!C48</f>
        <v>1</v>
      </c>
      <c r="H15" s="65">
        <f>'3a. % by Portfolio'!G47</f>
        <v>0.1111111111111111</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129</v>
      </c>
      <c r="C16" s="60">
        <f>'3a. % by Portfolio'!C60+'3a. % by Portfolio'!C61</f>
        <v>12</v>
      </c>
      <c r="D16" s="61">
        <f>'3a. % by Portfolio'!G60</f>
        <v>1</v>
      </c>
      <c r="E16" s="66">
        <f>'3a. % by Portfolio'!C62</f>
        <v>0</v>
      </c>
      <c r="F16" s="63">
        <f>'3a. % by Portfolio'!G62</f>
        <v>0</v>
      </c>
      <c r="G16" s="64">
        <f>'3a. % by Portfolio'!C65+'3a. % by Portfolio'!C66</f>
        <v>0</v>
      </c>
      <c r="H16" s="65">
        <f>'3a. % by Portfolio'!G65</f>
        <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116</v>
      </c>
      <c r="C17" s="60">
        <f>'3a. % by Portfolio'!C78+'3a. % by Portfolio'!C79</f>
        <v>17</v>
      </c>
      <c r="D17" s="61">
        <f>'3a. % by Portfolio'!G78</f>
        <v>0.89473684210526305</v>
      </c>
      <c r="E17" s="66">
        <f>'3a. % by Portfolio'!C80</f>
        <v>1</v>
      </c>
      <c r="F17" s="63">
        <f>'3a. % by Portfolio'!G80</f>
        <v>5.2631578947368418E-2</v>
      </c>
      <c r="G17" s="64">
        <f>'3a. % by Portfolio'!C83+'3a. % by Portfolio'!C84</f>
        <v>1</v>
      </c>
      <c r="H17" s="65">
        <f>'3a. % by Portfolio'!G83</f>
        <v>5.2631578947368418E-2</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94</v>
      </c>
      <c r="C18" s="60">
        <f>'3a. % by Portfolio'!C96+'3a. % by Portfolio'!C97</f>
        <v>13</v>
      </c>
      <c r="D18" s="61">
        <f>'3a. % by Portfolio'!G96</f>
        <v>0.92857142857142849</v>
      </c>
      <c r="E18" s="66">
        <f>'3a. % by Portfolio'!C98</f>
        <v>0</v>
      </c>
      <c r="F18" s="63">
        <f>'3a. % by Portfolio'!G98</f>
        <v>0</v>
      </c>
      <c r="G18" s="64">
        <f>'3a. % by Portfolio'!C101+'3a. % by Portfolio'!C102</f>
        <v>1</v>
      </c>
      <c r="H18" s="65">
        <f>'3a. % by Portfolio'!G101</f>
        <v>7.1428571428571425E-2</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 thickTop="1">
      <c r="D19" s="32"/>
      <c r="E19" s="311"/>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zoomScale="70" zoomScaleNormal="70" workbookViewId="0">
      <selection activeCell="G5" sqref="G5"/>
    </sheetView>
  </sheetViews>
  <sheetFormatPr defaultColWidth="9.33203125" defaultRowHeight="14.4"/>
  <cols>
    <col min="1" max="1" width="9.33203125" style="30"/>
    <col min="2" max="2" width="49.5546875" style="4" customWidth="1"/>
    <col min="3" max="3" width="27.33203125" style="4" customWidth="1"/>
    <col min="4" max="4" width="27.33203125" style="53" customWidth="1"/>
    <col min="5" max="8" width="27.33203125" style="4" customWidth="1"/>
    <col min="9" max="40" width="9.33203125" style="30"/>
    <col min="41" max="16384" width="9.33203125" style="4"/>
  </cols>
  <sheetData>
    <row r="1" spans="1:40" s="30" customFormat="1" ht="33" customHeight="1" thickBot="1">
      <c r="B1" s="31"/>
      <c r="D1" s="32"/>
    </row>
    <row r="2" spans="1:40" ht="40.5" customHeight="1" thickTop="1" thickBot="1">
      <c r="B2" s="394" t="s">
        <v>395</v>
      </c>
      <c r="C2" s="396" t="s">
        <v>49</v>
      </c>
      <c r="D2" s="397"/>
      <c r="E2" s="398" t="s">
        <v>50</v>
      </c>
      <c r="F2" s="399"/>
      <c r="G2" s="400" t="s">
        <v>51</v>
      </c>
      <c r="H2" s="400"/>
    </row>
    <row r="3" spans="1:40" ht="50.25" customHeight="1" thickTop="1" thickBot="1">
      <c r="B3" s="395"/>
      <c r="C3" s="33" t="s">
        <v>52</v>
      </c>
      <c r="D3" s="34" t="s">
        <v>53</v>
      </c>
      <c r="E3" s="35" t="s">
        <v>52</v>
      </c>
      <c r="F3" s="36" t="s">
        <v>53</v>
      </c>
      <c r="G3" s="54" t="s">
        <v>52</v>
      </c>
      <c r="H3" s="55" t="s">
        <v>53</v>
      </c>
    </row>
    <row r="4" spans="1:40" s="41" customFormat="1" ht="22.2" thickTop="1" thickBot="1">
      <c r="A4" s="37"/>
      <c r="B4" s="38" t="s">
        <v>54</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55</v>
      </c>
      <c r="C5" s="44">
        <f>'2a. % By Priority'!J5+'2a. % By Priority'!J6</f>
        <v>0</v>
      </c>
      <c r="D5" s="45" t="e">
        <f>'2a. % By Priority'!N5</f>
        <v>#DIV/0!</v>
      </c>
      <c r="E5" s="46">
        <f>'2a. % By Priority'!J7</f>
        <v>0</v>
      </c>
      <c r="F5" s="36" t="e">
        <f>'2a. % By Priority'!N7</f>
        <v>#DIV/0!</v>
      </c>
      <c r="G5" s="56">
        <f>'2a. % By Priority'!J10+'2a. % By Priority'!J11</f>
        <v>0</v>
      </c>
      <c r="H5" s="57" t="e">
        <f>'2a. % By Priority'!N10</f>
        <v>#DIV/0!</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2.2" thickTop="1" thickBot="1">
      <c r="A6" s="42"/>
      <c r="B6" s="48" t="s">
        <v>56</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126</v>
      </c>
      <c r="C7" s="44">
        <f>'2a. % By Priority'!J23+'2a. % By Priority'!J24</f>
        <v>0</v>
      </c>
      <c r="D7" s="45" t="e">
        <f>'2a. % By Priority'!N23</f>
        <v>#DIV/0!</v>
      </c>
      <c r="E7" s="52">
        <f>'2a. % By Priority'!J25</f>
        <v>0</v>
      </c>
      <c r="F7" s="36" t="e">
        <f>'2a. % By Priority'!N25</f>
        <v>#DIV/0!</v>
      </c>
      <c r="G7" s="56">
        <f>'2a. % By Priority'!J28+'2a. % By Priority'!J29</f>
        <v>0</v>
      </c>
      <c r="H7" s="57" t="e">
        <f>'2a. % By Priority'!N28</f>
        <v>#DIV/0!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122</v>
      </c>
      <c r="C8" s="44">
        <f>'2a. % By Priority'!J41+'2a. % By Priority'!J42</f>
        <v>0</v>
      </c>
      <c r="D8" s="45" t="e">
        <f>'2a. % By Priority'!N41</f>
        <v>#DIV/0!</v>
      </c>
      <c r="E8" s="52">
        <f>'2a. % By Priority'!J43</f>
        <v>0</v>
      </c>
      <c r="F8" s="36" t="e">
        <f>'2a. % By Priority'!N43</f>
        <v>#DIV/0!</v>
      </c>
      <c r="G8" s="56">
        <f>'2a. % By Priority'!J46+'2a. % By Priority'!J47</f>
        <v>0</v>
      </c>
      <c r="H8" s="57" t="e">
        <f>'2a. % By Priority'!N46</f>
        <v>#DIV/0!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123</v>
      </c>
      <c r="C9" s="44">
        <f>'2a. % By Priority'!J59+'2a. % By Priority'!J60</f>
        <v>0</v>
      </c>
      <c r="D9" s="45" t="e">
        <f>'2a. % By Priority'!N59</f>
        <v>#DIV/0!</v>
      </c>
      <c r="E9" s="52">
        <f>'2a. % By Priority'!J61</f>
        <v>0</v>
      </c>
      <c r="F9" s="36" t="e">
        <f>'2a. % By Priority'!N61</f>
        <v>#DIV/0!</v>
      </c>
      <c r="G9" s="56">
        <f>'2a. % By Priority'!J64+'2a. % By Priority'!J65</f>
        <v>0</v>
      </c>
      <c r="H9" s="57" t="e">
        <f>'2a. % By Priority'!N64</f>
        <v>#DIV/0!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87" t="s">
        <v>124</v>
      </c>
      <c r="C10" s="44">
        <f>'2a. % By Priority'!J77+'2a. % By Priority'!J78</f>
        <v>0</v>
      </c>
      <c r="D10" s="45" t="e">
        <f>'2a. % By Priority'!N77</f>
        <v>#DIV/0!</v>
      </c>
      <c r="E10" s="52">
        <f>'2a. % By Priority'!J79</f>
        <v>0</v>
      </c>
      <c r="F10" s="36" t="e">
        <f>'2a. % By Priority'!N79</f>
        <v>#DIV/0!</v>
      </c>
      <c r="G10" s="56">
        <f>'2a. % By Priority'!J82+'2a. % By Priority'!J83</f>
        <v>0</v>
      </c>
      <c r="H10" s="57" t="e">
        <f>'2a. % By Priority'!N82</f>
        <v>#DIV/0!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87" t="s">
        <v>125</v>
      </c>
      <c r="C11" s="44">
        <f>'2a. % By Priority'!J95+'2a. % By Priority'!J96</f>
        <v>0</v>
      </c>
      <c r="D11" s="45" t="e">
        <f>'2a. % By Priority'!N95</f>
        <v>#DIV/0!</v>
      </c>
      <c r="E11" s="52">
        <f>'2a. % By Priority'!J97</f>
        <v>0</v>
      </c>
      <c r="F11" s="36" t="e">
        <f>'2a. % By Priority'!N97</f>
        <v>#DIV/0!</v>
      </c>
      <c r="G11" s="56">
        <f>'2a. % By Priority'!J100+'2a. % By Priority'!J101</f>
        <v>0</v>
      </c>
      <c r="H11" s="57" t="e">
        <f>'2a. % By Priority'!N100</f>
        <v>#DIV/0!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2.2" thickTop="1" thickBot="1">
      <c r="A12" s="42"/>
      <c r="B12" s="48" t="s">
        <v>130</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117</v>
      </c>
      <c r="C13" s="60">
        <f>'3a. % by Portfolio'!J5+'3a. % by Portfolio'!J6</f>
        <v>0</v>
      </c>
      <c r="D13" s="61" t="e">
        <f>'3a. % by Portfolio'!N5</f>
        <v>#DIV/0!</v>
      </c>
      <c r="E13" s="62">
        <f>'3a. % by Portfolio'!J7</f>
        <v>0</v>
      </c>
      <c r="F13" s="63" t="e">
        <f>'3a. % by Portfolio'!N7</f>
        <v>#DIV/0!</v>
      </c>
      <c r="G13" s="64">
        <f>'3a. % by Portfolio'!J10+'3a. % by Portfolio'!J11</f>
        <v>0</v>
      </c>
      <c r="H13" s="65" t="e">
        <f>'3a. % by Portfolio'!N10</f>
        <v>#DIV/0!</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95</v>
      </c>
      <c r="C14" s="60">
        <f>'3a. % by Portfolio'!J24+'3a. % by Portfolio'!J25</f>
        <v>0</v>
      </c>
      <c r="D14" s="61" t="e">
        <f>'3a. % by Portfolio'!N24</f>
        <v>#DIV/0!</v>
      </c>
      <c r="E14" s="66">
        <f>'3a. % by Portfolio'!J26</f>
        <v>0</v>
      </c>
      <c r="F14" s="63" t="e">
        <f>'3a. % by Portfolio'!N26</f>
        <v>#DIV/0!</v>
      </c>
      <c r="G14" s="64">
        <f>'3a. % by Portfolio'!J29+'3a. % by Portfolio'!J30</f>
        <v>0</v>
      </c>
      <c r="H14" s="65" t="e">
        <f>'3a. % by Portfolio'!N29</f>
        <v>#DIV/0!</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118</v>
      </c>
      <c r="C15" s="60">
        <f>'3a. % by Portfolio'!J42+'3a. % by Portfolio'!J43</f>
        <v>0</v>
      </c>
      <c r="D15" s="61" t="e">
        <f>'3a. % by Portfolio'!N42</f>
        <v>#DIV/0!</v>
      </c>
      <c r="E15" s="66">
        <f>'3a. % by Portfolio'!J44</f>
        <v>0</v>
      </c>
      <c r="F15" s="63" t="e">
        <f>'3a. % by Portfolio'!N44</f>
        <v>#DIV/0!</v>
      </c>
      <c r="G15" s="64">
        <f>'3a. % by Portfolio'!J47+'3a. % by Portfolio'!J48</f>
        <v>0</v>
      </c>
      <c r="H15" s="65" t="e">
        <f>'3a. % by Portfolio'!N47</f>
        <v>#DIV/0!</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129</v>
      </c>
      <c r="C16" s="60">
        <f>'3a. % by Portfolio'!J60+'3a. % by Portfolio'!J61</f>
        <v>0</v>
      </c>
      <c r="D16" s="61" t="e">
        <f>'3a. % by Portfolio'!N60</f>
        <v>#DIV/0!</v>
      </c>
      <c r="E16" s="66">
        <f>'3a. % by Portfolio'!J62</f>
        <v>0</v>
      </c>
      <c r="F16" s="63" t="e">
        <f>'3a. % by Portfolio'!N62</f>
        <v>#DIV/0!</v>
      </c>
      <c r="G16" s="64">
        <f>'3a. % by Portfolio'!J65+'3a. % by Portfolio'!J66</f>
        <v>0</v>
      </c>
      <c r="H16" s="65" t="e">
        <f>'3a. % by Portfolio'!N65</f>
        <v>#DIV/0!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116</v>
      </c>
      <c r="C17" s="60">
        <f>'3a. % by Portfolio'!J78+'3a. % by Portfolio'!J79</f>
        <v>0</v>
      </c>
      <c r="D17" s="61" t="e">
        <f>'3a. % by Portfolio'!N78</f>
        <v>#DIV/0!</v>
      </c>
      <c r="E17" s="66">
        <f>'3a. % by Portfolio'!J80</f>
        <v>0</v>
      </c>
      <c r="F17" s="63" t="e">
        <f>'3a. % by Portfolio'!N80</f>
        <v>#DIV/0!</v>
      </c>
      <c r="G17" s="64">
        <f>'3a. % by Portfolio'!J83+'3a. % by Portfolio'!J84</f>
        <v>0</v>
      </c>
      <c r="H17" s="65" t="e">
        <f>'3a. % by Portfolio'!N83</f>
        <v>#DIV/0!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94</v>
      </c>
      <c r="C18" s="60">
        <f>'3a. % by Portfolio'!J96+'3a. % by Portfolio'!J97</f>
        <v>0</v>
      </c>
      <c r="D18" s="61" t="e">
        <f>'3a. % by Portfolio'!N96</f>
        <v>#DIV/0!</v>
      </c>
      <c r="E18" s="66">
        <f>'3a. % by Portfolio'!J98</f>
        <v>0</v>
      </c>
      <c r="F18" s="63" t="e">
        <f>'3a. % by Portfolio'!N98</f>
        <v>#DIV/0!</v>
      </c>
      <c r="G18" s="64">
        <f>'3a. % by Portfolio'!J101+'3a. % by Portfolio'!J102</f>
        <v>0</v>
      </c>
      <c r="H18" s="65" t="e">
        <f>'3a. % by Portfolio'!N101</f>
        <v>#DIV/0!</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 thickTop="1">
      <c r="D19" s="32"/>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zoomScale="70" zoomScaleNormal="70" workbookViewId="0">
      <selection activeCell="B2" sqref="B2:B3"/>
    </sheetView>
  </sheetViews>
  <sheetFormatPr defaultColWidth="9.33203125" defaultRowHeight="14.4"/>
  <cols>
    <col min="1" max="1" width="9.33203125" style="30"/>
    <col min="2" max="2" width="49.5546875" style="4" customWidth="1"/>
    <col min="3" max="3" width="27.33203125" style="4" customWidth="1"/>
    <col min="4" max="4" width="27.33203125" style="53" customWidth="1"/>
    <col min="5" max="8" width="27.33203125" style="4" customWidth="1"/>
    <col min="9" max="40" width="9.33203125" style="30"/>
    <col min="41" max="16384" width="9.33203125" style="4"/>
  </cols>
  <sheetData>
    <row r="1" spans="1:40" s="30" customFormat="1" ht="33" customHeight="1" thickBot="1">
      <c r="B1" s="31"/>
      <c r="D1" s="32"/>
    </row>
    <row r="2" spans="1:40" ht="40.5" customHeight="1" thickTop="1" thickBot="1">
      <c r="B2" s="394" t="s">
        <v>396</v>
      </c>
      <c r="C2" s="396" t="s">
        <v>49</v>
      </c>
      <c r="D2" s="397"/>
      <c r="E2" s="398" t="s">
        <v>50</v>
      </c>
      <c r="F2" s="399"/>
      <c r="G2" s="400" t="s">
        <v>51</v>
      </c>
      <c r="H2" s="400"/>
    </row>
    <row r="3" spans="1:40" ht="50.25" customHeight="1" thickTop="1" thickBot="1">
      <c r="B3" s="395"/>
      <c r="C3" s="33" t="s">
        <v>52</v>
      </c>
      <c r="D3" s="34" t="s">
        <v>53</v>
      </c>
      <c r="E3" s="35" t="s">
        <v>52</v>
      </c>
      <c r="F3" s="36" t="s">
        <v>53</v>
      </c>
      <c r="G3" s="54" t="s">
        <v>52</v>
      </c>
      <c r="H3" s="55" t="s">
        <v>53</v>
      </c>
    </row>
    <row r="4" spans="1:40" s="41" customFormat="1" ht="22.2" thickTop="1" thickBot="1">
      <c r="A4" s="37"/>
      <c r="B4" s="38" t="s">
        <v>54</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55</v>
      </c>
      <c r="C5" s="44">
        <f>'2a. % By Priority'!Q5+'2a. % By Priority'!Q6</f>
        <v>0</v>
      </c>
      <c r="D5" s="45" t="e">
        <f>'2a. % By Priority'!U5</f>
        <v>#DIV/0!</v>
      </c>
      <c r="E5" s="46">
        <f>'2a. % By Priority'!Q7</f>
        <v>0</v>
      </c>
      <c r="F5" s="36" t="e">
        <f>'2a. % By Priority'!U7</f>
        <v>#DIV/0!</v>
      </c>
      <c r="G5" s="56">
        <f>'2a. % By Priority'!Q10+'2a. % By Priority'!Q11</f>
        <v>0</v>
      </c>
      <c r="H5" s="57" t="e">
        <f>'2a. % By Priority'!U10</f>
        <v>#DIV/0!</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2.2" thickTop="1" thickBot="1">
      <c r="A6" s="42"/>
      <c r="B6" s="48" t="s">
        <v>56</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126</v>
      </c>
      <c r="C7" s="44">
        <f>'2a. % By Priority'!Q23+'2a. % By Priority'!Q24</f>
        <v>0</v>
      </c>
      <c r="D7" s="45" t="e">
        <f>'2a. % By Priority'!U23</f>
        <v>#DIV/0!</v>
      </c>
      <c r="E7" s="52">
        <f>'2a. % By Priority'!Q25</f>
        <v>0</v>
      </c>
      <c r="F7" s="36" t="e">
        <f>'2a. % By Priority'!U25</f>
        <v>#DIV/0!</v>
      </c>
      <c r="G7" s="56">
        <f>'2a. % By Priority'!Q28+'2a. % By Priority'!Q29</f>
        <v>0</v>
      </c>
      <c r="H7" s="57" t="e">
        <f>'2a. % By Priority'!U28</f>
        <v>#DIV/0!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122</v>
      </c>
      <c r="C8" s="44">
        <f>'2a. % By Priority'!Q41+'2a. % By Priority'!Q42</f>
        <v>0</v>
      </c>
      <c r="D8" s="45" t="e">
        <f>'2a. % By Priority'!U41</f>
        <v>#DIV/0!</v>
      </c>
      <c r="E8" s="52">
        <f>'2a. % By Priority'!Q43</f>
        <v>0</v>
      </c>
      <c r="F8" s="36" t="e">
        <f>'2a. % By Priority'!U43</f>
        <v>#DIV/0!</v>
      </c>
      <c r="G8" s="56">
        <f>'2a. % By Priority'!Q46+'2a. % By Priority'!Q47</f>
        <v>0</v>
      </c>
      <c r="H8" s="57" t="e">
        <f>'2a. % By Priority'!U46</f>
        <v>#DIV/0!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123</v>
      </c>
      <c r="C9" s="44">
        <f>'2a. % By Priority'!Q59+'2a. % By Priority'!Q60</f>
        <v>0</v>
      </c>
      <c r="D9" s="45" t="e">
        <f>'2a. % By Priority'!U59</f>
        <v>#DIV/0!</v>
      </c>
      <c r="E9" s="52">
        <f>'2a. % By Priority'!Q61</f>
        <v>0</v>
      </c>
      <c r="F9" s="36" t="e">
        <f>'2a. % By Priority'!U61</f>
        <v>#DIV/0!</v>
      </c>
      <c r="G9" s="56">
        <f>'2a. % By Priority'!Q64+'2a. % By Priority'!Q65</f>
        <v>0</v>
      </c>
      <c r="H9" s="57" t="e">
        <f>'2a. % By Priority'!U64</f>
        <v>#DIV/0!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87" t="s">
        <v>124</v>
      </c>
      <c r="C10" s="44">
        <f>'2a. % By Priority'!Q77+'2a. % By Priority'!Q78</f>
        <v>0</v>
      </c>
      <c r="D10" s="45" t="e">
        <f>'2a. % By Priority'!U77</f>
        <v>#DIV/0!</v>
      </c>
      <c r="E10" s="52">
        <f>'2a. % By Priority'!Q79</f>
        <v>0</v>
      </c>
      <c r="F10" s="36" t="e">
        <f>'2a. % By Priority'!U79</f>
        <v>#DIV/0!</v>
      </c>
      <c r="G10" s="56">
        <f>'2a. % By Priority'!Q82+'2a. % By Priority'!Q83</f>
        <v>0</v>
      </c>
      <c r="H10" s="57" t="e">
        <f>'2a. % By Priority'!U82</f>
        <v>#DIV/0!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87" t="s">
        <v>125</v>
      </c>
      <c r="C11" s="44">
        <f>'2a. % By Priority'!Q95+'2a. % By Priority'!Q96</f>
        <v>0</v>
      </c>
      <c r="D11" s="45" t="e">
        <f>'2a. % By Priority'!U95</f>
        <v>#DIV/0!</v>
      </c>
      <c r="E11" s="52">
        <f>'2a. % By Priority'!Q97</f>
        <v>0</v>
      </c>
      <c r="F11" s="36" t="e">
        <f>'2a. % By Priority'!U97</f>
        <v>#DIV/0!</v>
      </c>
      <c r="G11" s="56">
        <f>'2a. % By Priority'!Q100+'2a. % By Priority'!Q101</f>
        <v>0</v>
      </c>
      <c r="H11" s="57" t="e">
        <f>'2a. % By Priority'!U100</f>
        <v>#DIV/0!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2.2" thickTop="1" thickBot="1">
      <c r="A12" s="42"/>
      <c r="B12" s="48" t="s">
        <v>130</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117</v>
      </c>
      <c r="C13" s="60">
        <f>'3a. % by Portfolio'!Q5+'3a. % by Portfolio'!Q6</f>
        <v>0</v>
      </c>
      <c r="D13" s="61" t="e">
        <f>'3a. % by Portfolio'!U5</f>
        <v>#DIV/0!</v>
      </c>
      <c r="E13" s="62">
        <f>'3a. % by Portfolio'!Q7</f>
        <v>0</v>
      </c>
      <c r="F13" s="63" t="e">
        <f>'3a. % by Portfolio'!U7</f>
        <v>#DIV/0!</v>
      </c>
      <c r="G13" s="64">
        <f>'3a. % by Portfolio'!Q10+'3a. % by Portfolio'!Q11</f>
        <v>0</v>
      </c>
      <c r="H13" s="65" t="e">
        <f>'3a. % by Portfolio'!U10</f>
        <v>#DIV/0!</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95</v>
      </c>
      <c r="C14" s="60">
        <f>'3a. % by Portfolio'!Q24+'3a. % by Portfolio'!Q25</f>
        <v>0</v>
      </c>
      <c r="D14" s="61" t="e">
        <f>'3a. % by Portfolio'!U24</f>
        <v>#DIV/0!</v>
      </c>
      <c r="E14" s="66">
        <f>'3a. % by Portfolio'!Q26</f>
        <v>0</v>
      </c>
      <c r="F14" s="63" t="e">
        <f>'3a. % by Portfolio'!U26</f>
        <v>#DIV/0!</v>
      </c>
      <c r="G14" s="64">
        <f>'3a. % by Portfolio'!Q29+'3a. % by Portfolio'!Q30</f>
        <v>0</v>
      </c>
      <c r="H14" s="65" t="e">
        <f>'3a. % by Portfolio'!U29</f>
        <v>#DIV/0!</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118</v>
      </c>
      <c r="C15" s="60">
        <f>'3a. % by Portfolio'!Q42+'3a. % by Portfolio'!Q43</f>
        <v>0</v>
      </c>
      <c r="D15" s="61" t="e">
        <f>'3a. % by Portfolio'!U42</f>
        <v>#DIV/0!</v>
      </c>
      <c r="E15" s="66">
        <f>'3a. % by Portfolio'!Q44</f>
        <v>0</v>
      </c>
      <c r="F15" s="63" t="e">
        <f>'3a. % by Portfolio'!U44</f>
        <v>#DIV/0!</v>
      </c>
      <c r="G15" s="64">
        <f>'3a. % by Portfolio'!Q47+'3a. % by Portfolio'!Q48</f>
        <v>0</v>
      </c>
      <c r="H15" s="65" t="e">
        <f>'3a. % by Portfolio'!U47</f>
        <v>#DIV/0!</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129</v>
      </c>
      <c r="C16" s="60">
        <f>'3a. % by Portfolio'!Q60+'3a. % by Portfolio'!Q61</f>
        <v>0</v>
      </c>
      <c r="D16" s="61" t="e">
        <f>'3a. % by Portfolio'!U60</f>
        <v>#DIV/0!</v>
      </c>
      <c r="E16" s="66">
        <f>'3a. % by Portfolio'!Q62</f>
        <v>0</v>
      </c>
      <c r="F16" s="63" t="e">
        <f>'3a. % by Portfolio'!U62</f>
        <v>#DIV/0!</v>
      </c>
      <c r="G16" s="64">
        <f>'3a. % by Portfolio'!Q65+'3a. % by Portfolio'!Q66</f>
        <v>0</v>
      </c>
      <c r="H16" s="65" t="e">
        <f>'3a. % by Portfolio'!U65</f>
        <v>#DIV/0!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116</v>
      </c>
      <c r="C17" s="60">
        <f>'3a. % by Portfolio'!Q78+'3a. % by Portfolio'!Q79</f>
        <v>0</v>
      </c>
      <c r="D17" s="61" t="e">
        <f>'3a. % by Portfolio'!U78</f>
        <v>#DIV/0!</v>
      </c>
      <c r="E17" s="66">
        <f>'3a. % by Portfolio'!Q80</f>
        <v>0</v>
      </c>
      <c r="F17" s="63" t="e">
        <f>'3a. % by Portfolio'!U80</f>
        <v>#DIV/0!</v>
      </c>
      <c r="G17" s="64">
        <f>'3a. % by Portfolio'!Q83+'3a. % by Portfolio'!Q84</f>
        <v>0</v>
      </c>
      <c r="H17" s="65" t="e">
        <f>'3a. % by Portfolio'!U83</f>
        <v>#DIV/0!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94</v>
      </c>
      <c r="C18" s="60">
        <f>'3a. % by Portfolio'!Q96+'3a. % by Portfolio'!Q97</f>
        <v>0</v>
      </c>
      <c r="D18" s="61" t="e">
        <f>'3a. % by Portfolio'!U96</f>
        <v>#DIV/0!</v>
      </c>
      <c r="E18" s="66">
        <f>'3a. % by Portfolio'!Q98</f>
        <v>0</v>
      </c>
      <c r="F18" s="63" t="e">
        <f>'3a. % by Portfolio'!U98</f>
        <v>#DIV/0!</v>
      </c>
      <c r="G18" s="64">
        <f>'3a. % by Portfolio'!Q101+'3a. % by Portfolio'!Q102</f>
        <v>0</v>
      </c>
      <c r="H18" s="65" t="e">
        <f>'3a. % by Portfolio'!U101</f>
        <v>#DIV/0!</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 thickTop="1">
      <c r="D19" s="32"/>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workbookViewId="0"/>
  </sheetViews>
  <sheetFormatPr defaultColWidth="9.33203125" defaultRowHeight="14.4"/>
  <cols>
    <col min="1" max="1" width="9.33203125" style="30"/>
    <col min="2" max="2" width="49.5546875" style="4" customWidth="1"/>
    <col min="3" max="3" width="27.33203125" style="4" customWidth="1"/>
    <col min="4" max="4" width="27.33203125" style="53" customWidth="1"/>
    <col min="5" max="8" width="27.33203125" style="4" customWidth="1"/>
    <col min="9" max="40" width="9.33203125" style="30"/>
    <col min="41" max="16384" width="9.33203125" style="4"/>
  </cols>
  <sheetData>
    <row r="1" spans="1:40" s="30" customFormat="1" ht="33" customHeight="1" thickBot="1">
      <c r="B1" s="31"/>
      <c r="D1" s="32"/>
    </row>
    <row r="2" spans="1:40" ht="40.5" customHeight="1" thickTop="1" thickBot="1">
      <c r="B2" s="394" t="s">
        <v>135</v>
      </c>
      <c r="C2" s="396" t="s">
        <v>49</v>
      </c>
      <c r="D2" s="397"/>
      <c r="E2" s="398" t="s">
        <v>50</v>
      </c>
      <c r="F2" s="399"/>
      <c r="G2" s="400" t="s">
        <v>51</v>
      </c>
      <c r="H2" s="400"/>
    </row>
    <row r="3" spans="1:40" ht="50.25" customHeight="1" thickTop="1" thickBot="1">
      <c r="B3" s="395"/>
      <c r="C3" s="33" t="s">
        <v>52</v>
      </c>
      <c r="D3" s="34" t="s">
        <v>53</v>
      </c>
      <c r="E3" s="35" t="s">
        <v>52</v>
      </c>
      <c r="F3" s="36" t="s">
        <v>53</v>
      </c>
      <c r="G3" s="54" t="s">
        <v>52</v>
      </c>
      <c r="H3" s="55" t="s">
        <v>53</v>
      </c>
    </row>
    <row r="4" spans="1:40" s="41" customFormat="1" ht="22.2" thickTop="1" thickBot="1">
      <c r="A4" s="37"/>
      <c r="B4" s="38" t="s">
        <v>54</v>
      </c>
      <c r="C4" s="1"/>
      <c r="D4" s="39"/>
      <c r="E4" s="1"/>
      <c r="F4" s="1"/>
      <c r="G4" s="1"/>
      <c r="H4" s="40"/>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0" s="47" customFormat="1" ht="37.5" customHeight="1" thickTop="1" thickBot="1">
      <c r="A5" s="42"/>
      <c r="B5" s="43" t="s">
        <v>55</v>
      </c>
      <c r="C5" s="44">
        <f>'2a. % By Priority'!X5+'2a. % By Priority'!X6</f>
        <v>0</v>
      </c>
      <c r="D5" s="45" t="e">
        <f>'2a. % By Priority'!AB5</f>
        <v>#DIV/0!</v>
      </c>
      <c r="E5" s="46">
        <f>'2a. % By Priority'!X7+'2a. % By Priority'!X8+'2a. % By Priority'!X9</f>
        <v>0</v>
      </c>
      <c r="F5" s="36" t="e">
        <f>'2a. % By Priority'!AB7</f>
        <v>#DIV/0!</v>
      </c>
      <c r="G5" s="56">
        <f>'2a. % By Priority'!X10+'2a. % By Priority'!X11</f>
        <v>0</v>
      </c>
      <c r="H5" s="57" t="e">
        <f>'2a. % By Priority'!AB10</f>
        <v>#DIV/0!</v>
      </c>
      <c r="I5" s="42"/>
      <c r="J5" s="226"/>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s="47" customFormat="1" ht="22.2" thickTop="1" thickBot="1">
      <c r="A6" s="42"/>
      <c r="B6" s="48" t="s">
        <v>56</v>
      </c>
      <c r="C6" s="49"/>
      <c r="D6" s="50"/>
      <c r="E6" s="49"/>
      <c r="F6" s="50"/>
      <c r="G6" s="49"/>
      <c r="H6" s="51"/>
      <c r="I6" s="42"/>
      <c r="J6" s="226"/>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row>
    <row r="7" spans="1:40" s="47" customFormat="1" ht="37.5" customHeight="1" thickTop="1" thickBot="1">
      <c r="A7" s="42"/>
      <c r="B7" s="43" t="s">
        <v>126</v>
      </c>
      <c r="C7" s="44">
        <f>'2a. % By Priority'!X23+'2a. % By Priority'!X24</f>
        <v>0</v>
      </c>
      <c r="D7" s="45" t="e">
        <f>'2a. % By Priority'!AB23</f>
        <v>#DIV/0!</v>
      </c>
      <c r="E7" s="52">
        <f>'2a. % By Priority'!X25+'2a. % By Priority'!X26+'2a. % By Priority'!X27</f>
        <v>0</v>
      </c>
      <c r="F7" s="36" t="e">
        <f>'2a. % By Priority'!AB25</f>
        <v>#DIV/0!</v>
      </c>
      <c r="G7" s="56">
        <f>'2a. % By Priority'!X28+'2a. % By Priority'!X29</f>
        <v>0</v>
      </c>
      <c r="H7" s="57" t="e">
        <f>'2a. % By Priority'!AB28</f>
        <v>#DIV/0!</v>
      </c>
      <c r="I7" s="42"/>
      <c r="J7" s="226"/>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s="47" customFormat="1" ht="37.5" customHeight="1" thickTop="1" thickBot="1">
      <c r="A8" s="42"/>
      <c r="B8" s="43" t="s">
        <v>122</v>
      </c>
      <c r="C8" s="44">
        <f>'2a. % By Priority'!X41+'2a. % By Priority'!X42</f>
        <v>0</v>
      </c>
      <c r="D8" s="45" t="e">
        <f>'2a. % By Priority'!AB41</f>
        <v>#DIV/0!</v>
      </c>
      <c r="E8" s="52">
        <f>'2a. % By Priority'!X43+'2a. % By Priority'!X44+'2a. % By Priority'!X45</f>
        <v>0</v>
      </c>
      <c r="F8" s="36" t="e">
        <f>'2a. % By Priority'!AB43</f>
        <v>#DIV/0!</v>
      </c>
      <c r="G8" s="56">
        <f>'2a. % By Priority'!X46+'2a. % By Priority'!X47</f>
        <v>0</v>
      </c>
      <c r="H8" s="57" t="e">
        <f>'2a. % By Priority'!AB46</f>
        <v>#DIV/0!</v>
      </c>
      <c r="I8" s="42"/>
      <c r="J8" s="226"/>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s="47" customFormat="1" ht="37.5" customHeight="1" thickTop="1" thickBot="1">
      <c r="A9" s="42"/>
      <c r="B9" s="43" t="s">
        <v>123</v>
      </c>
      <c r="C9" s="44">
        <f>'2a. % By Priority'!X59+'2a. % By Priority'!X60</f>
        <v>0</v>
      </c>
      <c r="D9" s="45" t="e">
        <f>'2a. % By Priority'!AB59</f>
        <v>#DIV/0!</v>
      </c>
      <c r="E9" s="52">
        <f>'2a. % By Priority'!X61+'2a. % By Priority'!X62+'2a. % By Priority'!X63</f>
        <v>0</v>
      </c>
      <c r="F9" s="36" t="e">
        <f>'2a. % By Priority'!AB61</f>
        <v>#DIV/0!</v>
      </c>
      <c r="G9" s="56">
        <f>'2a. % By Priority'!X64+'2a. % By Priority'!X65</f>
        <v>0</v>
      </c>
      <c r="H9" s="57" t="e">
        <f>'2a. % By Priority'!AB64</f>
        <v>#DIV/0!</v>
      </c>
      <c r="I9" s="42"/>
      <c r="J9" s="226"/>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row>
    <row r="10" spans="1:40" s="47" customFormat="1" ht="37.5" customHeight="1" thickTop="1" thickBot="1">
      <c r="A10" s="42"/>
      <c r="B10" s="287" t="s">
        <v>124</v>
      </c>
      <c r="C10" s="44">
        <f>'2a. % By Priority'!X77+'2a. % By Priority'!X78</f>
        <v>0</v>
      </c>
      <c r="D10" s="45" t="e">
        <f>'2a. % By Priority'!AB77</f>
        <v>#DIV/0!</v>
      </c>
      <c r="E10" s="52">
        <f>'2a. % By Priority'!X79+'2a. % By Priority'!X80+'2a. % By Priority'!X81</f>
        <v>0</v>
      </c>
      <c r="F10" s="36" t="e">
        <f>'2a. % By Priority'!AB79</f>
        <v>#DIV/0!</v>
      </c>
      <c r="G10" s="56">
        <f>'2a. % By Priority'!X82+'2a. % By Priority'!X83</f>
        <v>0</v>
      </c>
      <c r="H10" s="57" t="e">
        <f>'2a. % By Priority'!AB82</f>
        <v>#DIV/0!</v>
      </c>
      <c r="I10" s="42"/>
      <c r="J10" s="226"/>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row>
    <row r="11" spans="1:40" s="47" customFormat="1" ht="37.5" customHeight="1" thickTop="1" thickBot="1">
      <c r="A11" s="42"/>
      <c r="B11" s="287" t="s">
        <v>125</v>
      </c>
      <c r="C11" s="44">
        <f>'2a. % By Priority'!X95+'2a. % By Priority'!X96</f>
        <v>0</v>
      </c>
      <c r="D11" s="45" t="e">
        <f>'2a. % By Priority'!AB95</f>
        <v>#DIV/0!</v>
      </c>
      <c r="E11" s="52">
        <f>'2a. % By Priority'!X97+'2a. % By Priority'!X98+'2a. % By Priority'!X99</f>
        <v>0</v>
      </c>
      <c r="F11" s="36" t="e">
        <f>'2a. % By Priority'!AB97</f>
        <v>#DIV/0!</v>
      </c>
      <c r="G11" s="56">
        <f>'2a. % By Priority'!X100+'2a. % By Priority'!X101</f>
        <v>0</v>
      </c>
      <c r="H11" s="57" t="e">
        <f>'2a. % By Priority'!AB100</f>
        <v>#DIV/0!</v>
      </c>
      <c r="I11" s="42"/>
      <c r="J11" s="226"/>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row>
    <row r="12" spans="1:40" s="47" customFormat="1" ht="22.2" thickTop="1" thickBot="1">
      <c r="A12" s="42"/>
      <c r="B12" s="48" t="s">
        <v>130</v>
      </c>
      <c r="C12" s="49"/>
      <c r="D12" s="50"/>
      <c r="E12" s="49"/>
      <c r="F12" s="50"/>
      <c r="G12" s="49"/>
      <c r="H12" s="51"/>
      <c r="I12" s="42"/>
      <c r="J12" s="226"/>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row>
    <row r="13" spans="1:40" s="47" customFormat="1" ht="37.5" customHeight="1" thickTop="1" thickBot="1">
      <c r="A13" s="42"/>
      <c r="B13" s="59" t="s">
        <v>117</v>
      </c>
      <c r="C13" s="60">
        <f>'3a. % by Portfolio'!X5+'3a. % by Portfolio'!X6</f>
        <v>0</v>
      </c>
      <c r="D13" s="61" t="e">
        <f>'3a. % by Portfolio'!AB5</f>
        <v>#DIV/0!</v>
      </c>
      <c r="E13" s="62">
        <f>'3a. % by Portfolio'!X7+'3a. % by Portfolio'!X8+'3a. % by Portfolio'!X9</f>
        <v>0</v>
      </c>
      <c r="F13" s="63" t="e">
        <f>'3a. % by Portfolio'!AB7</f>
        <v>#DIV/0!</v>
      </c>
      <c r="G13" s="64">
        <f>'3a. % by Portfolio'!X10+'3a. % by Portfolio'!X11</f>
        <v>0</v>
      </c>
      <c r="H13" s="65" t="e">
        <f>'3a. % by Portfolio'!AB10</f>
        <v>#DIV/0!</v>
      </c>
      <c r="I13" s="42"/>
      <c r="J13" s="226"/>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s="47" customFormat="1" ht="37.5" customHeight="1" thickTop="1" thickBot="1">
      <c r="A14" s="42"/>
      <c r="B14" s="59" t="s">
        <v>95</v>
      </c>
      <c r="C14" s="60">
        <f>'3a. % by Portfolio'!X24+'3a. % by Portfolio'!X25</f>
        <v>0</v>
      </c>
      <c r="D14" s="61" t="e">
        <f>'3a. % by Portfolio'!AB24</f>
        <v>#DIV/0!</v>
      </c>
      <c r="E14" s="66">
        <f>'3a. % by Portfolio'!X26+'3a. % by Portfolio'!X27+'3a. % by Portfolio'!X28</f>
        <v>0</v>
      </c>
      <c r="F14" s="63" t="e">
        <f>'3a. % by Portfolio'!AB26</f>
        <v>#DIV/0!</v>
      </c>
      <c r="G14" s="64">
        <f>'3a. % by Portfolio'!X29+'3a. % by Portfolio'!X30</f>
        <v>0</v>
      </c>
      <c r="H14" s="65" t="e">
        <f>'3a. % by Portfolio'!AB29</f>
        <v>#DIV/0!</v>
      </c>
      <c r="I14" s="42"/>
      <c r="J14" s="226"/>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row>
    <row r="15" spans="1:40" s="47" customFormat="1" ht="37.5" customHeight="1" thickTop="1" thickBot="1">
      <c r="A15" s="42"/>
      <c r="B15" s="59" t="s">
        <v>118</v>
      </c>
      <c r="C15" s="60">
        <f>'3a. % by Portfolio'!X42+'3a. % by Portfolio'!X43</f>
        <v>0</v>
      </c>
      <c r="D15" s="61" t="e">
        <f>'3a. % by Portfolio'!AB42</f>
        <v>#DIV/0!</v>
      </c>
      <c r="E15" s="66">
        <f>'3a. % by Portfolio'!X44+'3a. % by Portfolio'!X45+'3a. % by Portfolio'!X46</f>
        <v>0</v>
      </c>
      <c r="F15" s="63" t="e">
        <f>'3a. % by Portfolio'!AB44</f>
        <v>#DIV/0!</v>
      </c>
      <c r="G15" s="64">
        <f>'3a. % by Portfolio'!X47+'3a. % by Portfolio'!X48</f>
        <v>0</v>
      </c>
      <c r="H15" s="65" t="e">
        <f>'3a. % by Portfolio'!AB47</f>
        <v>#DIV/0!</v>
      </c>
      <c r="I15" s="42"/>
      <c r="J15" s="226"/>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s="47" customFormat="1" ht="37.5" customHeight="1" thickTop="1" thickBot="1">
      <c r="A16" s="42"/>
      <c r="B16" s="59" t="s">
        <v>129</v>
      </c>
      <c r="C16" s="60">
        <f>'3a. % by Portfolio'!X60+'3a. % by Portfolio'!X61</f>
        <v>0</v>
      </c>
      <c r="D16" s="61" t="e">
        <f>'3a. % by Portfolio'!AB60</f>
        <v>#DIV/0!</v>
      </c>
      <c r="E16" s="66">
        <f>'3a. % by Portfolio'!X62+'3a. % by Portfolio'!X63+'3a. % by Portfolio'!X64</f>
        <v>0</v>
      </c>
      <c r="F16" s="63" t="e">
        <f>'3a. % by Portfolio'!AB62</f>
        <v>#DIV/0!</v>
      </c>
      <c r="G16" s="64">
        <f>'3a. % by Portfolio'!X65+'3a. % by Portfolio'!X66</f>
        <v>0</v>
      </c>
      <c r="H16" s="65" t="e">
        <f>'3a. % by Portfolio'!AB65</f>
        <v>#DIV/0!</v>
      </c>
      <c r="I16" s="42"/>
      <c r="J16" s="226"/>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s="47" customFormat="1" ht="37.5" customHeight="1" thickTop="1" thickBot="1">
      <c r="A17" s="42"/>
      <c r="B17" s="59" t="s">
        <v>116</v>
      </c>
      <c r="C17" s="60">
        <f>'3a. % by Portfolio'!X78+'3a. % by Portfolio'!X79</f>
        <v>0</v>
      </c>
      <c r="D17" s="61" t="e">
        <f>'3a. % by Portfolio'!AB78</f>
        <v>#DIV/0!</v>
      </c>
      <c r="E17" s="66">
        <f>'3a. % by Portfolio'!X80+'3a. % by Portfolio'!X81+'3a. % by Portfolio'!X82</f>
        <v>0</v>
      </c>
      <c r="F17" s="63" t="e">
        <f>'3a. % by Portfolio'!AB80</f>
        <v>#DIV/0!</v>
      </c>
      <c r="G17" s="64">
        <f>'3a. % by Portfolio'!X83+'3a. % by Portfolio'!X84</f>
        <v>0</v>
      </c>
      <c r="H17" s="65" t="e">
        <f>'3a. % by Portfolio'!AB83</f>
        <v>#DIV/0!</v>
      </c>
      <c r="I17" s="42"/>
      <c r="J17" s="226"/>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s="47" customFormat="1" ht="37.5" customHeight="1" thickTop="1" thickBot="1">
      <c r="A18" s="42"/>
      <c r="B18" s="59" t="s">
        <v>94</v>
      </c>
      <c r="C18" s="60">
        <f>'3a. % by Portfolio'!X96+'3a. % by Portfolio'!X97</f>
        <v>0</v>
      </c>
      <c r="D18" s="61" t="e">
        <f>'3a. % by Portfolio'!AB96</f>
        <v>#DIV/0!</v>
      </c>
      <c r="E18" s="66">
        <f>'3a. % by Portfolio'!X98+'3a. % by Portfolio'!X99+'3a. % by Portfolio'!X100</f>
        <v>0</v>
      </c>
      <c r="F18" s="63" t="e">
        <f>'3a. % by Portfolio'!AB98</f>
        <v>#DIV/0!</v>
      </c>
      <c r="G18" s="64">
        <f>'3a. % by Portfolio'!X101+'3a. % by Portfolio'!X102</f>
        <v>0</v>
      </c>
      <c r="H18" s="65" t="e">
        <f>'3a. % by Portfolio'!AB101</f>
        <v>#DIV/0!</v>
      </c>
      <c r="I18" s="42"/>
      <c r="J18" s="226"/>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s="30" customFormat="1" ht="15" thickTop="1">
      <c r="D19" s="32"/>
    </row>
    <row r="20" spans="1:40" s="30" customFormat="1">
      <c r="D20" s="32"/>
    </row>
    <row r="21" spans="1:40" s="30" customFormat="1">
      <c r="D21" s="32"/>
    </row>
    <row r="22" spans="1:40" s="30" customFormat="1">
      <c r="D22" s="32"/>
    </row>
    <row r="23" spans="1:40" s="30" customFormat="1">
      <c r="D23" s="32"/>
    </row>
    <row r="24" spans="1:40" s="30" customFormat="1">
      <c r="D24" s="32"/>
    </row>
    <row r="25" spans="1:40" s="30" customFormat="1">
      <c r="D25" s="32"/>
    </row>
    <row r="26" spans="1:40" s="30" customFormat="1">
      <c r="D26" s="32"/>
    </row>
    <row r="27" spans="1:40" s="30" customFormat="1">
      <c r="D27" s="32"/>
    </row>
    <row r="28" spans="1:40" s="30" customFormat="1">
      <c r="D28" s="32"/>
    </row>
    <row r="29" spans="1:40" s="30" customFormat="1">
      <c r="D29" s="32"/>
    </row>
    <row r="30" spans="1:40" s="30" customFormat="1">
      <c r="D30" s="32"/>
    </row>
    <row r="31" spans="1:40" s="30" customFormat="1">
      <c r="D31" s="32"/>
    </row>
    <row r="32" spans="1:40" s="30" customFormat="1">
      <c r="D32" s="32"/>
    </row>
    <row r="33" spans="4:4" s="30" customFormat="1">
      <c r="D33" s="32"/>
    </row>
    <row r="34" spans="4:4" s="30" customFormat="1">
      <c r="D34" s="32"/>
    </row>
    <row r="35" spans="4:4" s="30" customFormat="1">
      <c r="D35" s="32"/>
    </row>
    <row r="36" spans="4:4" s="30" customFormat="1">
      <c r="D36" s="32"/>
    </row>
    <row r="37" spans="4:4" s="30" customFormat="1">
      <c r="D37" s="32"/>
    </row>
    <row r="38" spans="4:4" s="30" customFormat="1">
      <c r="D38" s="32"/>
    </row>
    <row r="39" spans="4:4" s="30" customFormat="1">
      <c r="D39" s="32"/>
    </row>
    <row r="40" spans="4:4" s="30" customFormat="1">
      <c r="D40" s="32"/>
    </row>
    <row r="41" spans="4:4" s="30" customFormat="1">
      <c r="D41" s="32"/>
    </row>
    <row r="42" spans="4:4" s="30" customFormat="1">
      <c r="D42" s="32"/>
    </row>
    <row r="43" spans="4:4" s="30" customFormat="1">
      <c r="D43" s="32"/>
    </row>
    <row r="44" spans="4:4" s="30" customFormat="1">
      <c r="D44" s="32"/>
    </row>
    <row r="45" spans="4:4" s="30" customFormat="1">
      <c r="D45" s="32"/>
    </row>
    <row r="46" spans="4:4" s="30" customFormat="1">
      <c r="D46" s="32"/>
    </row>
    <row r="47" spans="4:4" s="30" customFormat="1">
      <c r="D47" s="32"/>
    </row>
    <row r="48" spans="4:4" s="30" customFormat="1">
      <c r="D48" s="32"/>
    </row>
  </sheetData>
  <mergeCells count="4">
    <mergeCell ref="B2:B3"/>
    <mergeCell ref="C2:D2"/>
    <mergeCell ref="E2:F2"/>
    <mergeCell ref="G2:H2"/>
  </mergeCells>
  <pageMargins left="0.23622047244094491" right="0.23622047244094491" top="0.74803149606299213" bottom="0.74803149606299213" header="0.31496062992125984" footer="0.31496062992125984"/>
  <pageSetup paperSize="9" scale="6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5"/>
  <sheetViews>
    <sheetView zoomScale="70" zoomScaleNormal="70" workbookViewId="0">
      <pane xSplit="1" ySplit="1" topLeftCell="B9" activePane="bottomRight" state="frozen"/>
      <selection pane="topRight" activeCell="B1" sqref="B1"/>
      <selection pane="bottomLeft" activeCell="A2" sqref="A2"/>
      <selection pane="bottomRight" activeCell="B5" sqref="B5"/>
    </sheetView>
  </sheetViews>
  <sheetFormatPr defaultColWidth="9.33203125" defaultRowHeight="13.8"/>
  <cols>
    <col min="1" max="1" width="2.33203125" style="157" customWidth="1"/>
    <col min="2" max="2" width="38.6640625" style="157" customWidth="1"/>
    <col min="3" max="3" width="13.5546875" style="154" customWidth="1"/>
    <col min="4" max="4" width="13.6640625" style="154" customWidth="1"/>
    <col min="5" max="5" width="16.44140625" style="154" customWidth="1"/>
    <col min="6" max="6" width="14.33203125" style="154" customWidth="1"/>
    <col min="7" max="7" width="17.33203125" style="154" customWidth="1"/>
    <col min="8" max="8" width="4.5546875" style="154" customWidth="1"/>
    <col min="9" max="9" width="38.6640625" style="157" hidden="1" customWidth="1"/>
    <col min="10" max="10" width="13.5546875" style="154" hidden="1" customWidth="1"/>
    <col min="11" max="11" width="13.6640625" style="154" hidden="1" customWidth="1"/>
    <col min="12" max="12" width="16.44140625" style="154" hidden="1" customWidth="1"/>
    <col min="13" max="13" width="14.33203125" style="154" hidden="1" customWidth="1"/>
    <col min="14" max="14" width="17.33203125" style="154" hidden="1" customWidth="1"/>
    <col min="15" max="15" width="4.5546875" style="154" hidden="1" customWidth="1"/>
    <col min="16" max="16" width="38.6640625" style="157" hidden="1" customWidth="1"/>
    <col min="17" max="17" width="13.5546875" style="154" hidden="1" customWidth="1"/>
    <col min="18" max="18" width="13.6640625" style="154" hidden="1" customWidth="1"/>
    <col min="19" max="19" width="16.44140625" style="154" hidden="1" customWidth="1"/>
    <col min="20" max="20" width="14.33203125" style="154" hidden="1" customWidth="1"/>
    <col min="21" max="21" width="17.33203125" style="154" hidden="1" customWidth="1"/>
    <col min="22" max="22" width="4.5546875" style="154" hidden="1" customWidth="1"/>
    <col min="23" max="23" width="55.44140625" style="154" hidden="1" customWidth="1"/>
    <col min="24" max="24" width="14.5546875" style="154" hidden="1" customWidth="1"/>
    <col min="25" max="27" width="17.33203125" style="154" hidden="1" customWidth="1"/>
    <col min="28" max="28" width="17.33203125" style="181" hidden="1" customWidth="1"/>
    <col min="29" max="29" width="1.6640625" style="157" hidden="1" customWidth="1"/>
    <col min="30" max="30" width="12" style="157" hidden="1" customWidth="1"/>
    <col min="31" max="32" width="9.33203125" style="157" customWidth="1"/>
    <col min="33" max="16384" width="9.33203125" style="157"/>
  </cols>
  <sheetData>
    <row r="1" spans="2:31" s="151" customFormat="1" ht="21">
      <c r="B1" s="143" t="s">
        <v>398</v>
      </c>
      <c r="C1" s="144"/>
      <c r="D1" s="145"/>
      <c r="E1" s="145"/>
      <c r="F1" s="145"/>
      <c r="G1" s="145"/>
      <c r="H1" s="146"/>
      <c r="I1" s="143" t="s">
        <v>132</v>
      </c>
      <c r="J1" s="144"/>
      <c r="K1" s="145"/>
      <c r="L1" s="145"/>
      <c r="M1" s="145"/>
      <c r="N1" s="145"/>
      <c r="O1" s="146"/>
      <c r="P1" s="147" t="s">
        <v>133</v>
      </c>
      <c r="Q1" s="144"/>
      <c r="R1" s="145"/>
      <c r="S1" s="145"/>
      <c r="T1" s="145"/>
      <c r="U1" s="145"/>
      <c r="V1" s="146"/>
      <c r="W1" s="148" t="s">
        <v>134</v>
      </c>
      <c r="X1" s="149"/>
      <c r="Y1" s="149"/>
      <c r="Z1" s="149"/>
      <c r="AA1" s="149"/>
      <c r="AB1" s="150"/>
    </row>
    <row r="2" spans="2:31" ht="15.6">
      <c r="B2" s="152"/>
      <c r="C2" s="153"/>
      <c r="D2" s="153"/>
      <c r="E2" s="153"/>
      <c r="F2" s="153"/>
      <c r="G2" s="153"/>
      <c r="I2" s="152"/>
      <c r="J2" s="153"/>
      <c r="K2" s="153"/>
      <c r="L2" s="153"/>
      <c r="M2" s="153"/>
      <c r="N2" s="153"/>
      <c r="P2" s="152"/>
      <c r="Q2" s="153"/>
      <c r="R2" s="153"/>
      <c r="S2" s="153"/>
      <c r="T2" s="153"/>
      <c r="U2" s="153"/>
      <c r="W2" s="155"/>
      <c r="X2" s="155"/>
      <c r="Y2" s="155"/>
      <c r="Z2" s="155"/>
      <c r="AA2" s="155"/>
      <c r="AB2" s="156"/>
    </row>
    <row r="3" spans="2:31" ht="15.6">
      <c r="B3" s="158" t="s">
        <v>35</v>
      </c>
      <c r="C3" s="159"/>
      <c r="D3" s="159"/>
      <c r="E3" s="159"/>
      <c r="F3" s="159"/>
      <c r="G3" s="160"/>
      <c r="I3" s="158" t="s">
        <v>35</v>
      </c>
      <c r="J3" s="159"/>
      <c r="K3" s="159"/>
      <c r="L3" s="159"/>
      <c r="M3" s="159"/>
      <c r="N3" s="160"/>
      <c r="P3" s="158" t="s">
        <v>35</v>
      </c>
      <c r="Q3" s="159"/>
      <c r="R3" s="159"/>
      <c r="S3" s="159"/>
      <c r="T3" s="159"/>
      <c r="U3" s="160"/>
      <c r="W3" s="161" t="s">
        <v>35</v>
      </c>
      <c r="X3" s="162"/>
      <c r="Y3" s="162"/>
      <c r="Z3" s="162"/>
      <c r="AA3" s="162"/>
      <c r="AB3" s="163"/>
    </row>
    <row r="4" spans="2:31" s="154" customFormat="1" ht="39" customHeight="1">
      <c r="B4" s="164" t="s">
        <v>36</v>
      </c>
      <c r="C4" s="164" t="s">
        <v>37</v>
      </c>
      <c r="D4" s="164" t="s">
        <v>38</v>
      </c>
      <c r="E4" s="164" t="s">
        <v>39</v>
      </c>
      <c r="F4" s="164" t="s">
        <v>40</v>
      </c>
      <c r="G4" s="164" t="s">
        <v>41</v>
      </c>
      <c r="I4" s="164" t="s">
        <v>36</v>
      </c>
      <c r="J4" s="164" t="s">
        <v>37</v>
      </c>
      <c r="K4" s="164" t="s">
        <v>38</v>
      </c>
      <c r="L4" s="164" t="s">
        <v>39</v>
      </c>
      <c r="M4" s="164" t="s">
        <v>40</v>
      </c>
      <c r="N4" s="164" t="s">
        <v>41</v>
      </c>
      <c r="P4" s="164" t="s">
        <v>36</v>
      </c>
      <c r="Q4" s="164" t="s">
        <v>37</v>
      </c>
      <c r="R4" s="164" t="s">
        <v>38</v>
      </c>
      <c r="S4" s="164" t="s">
        <v>39</v>
      </c>
      <c r="T4" s="164" t="s">
        <v>40</v>
      </c>
      <c r="U4" s="164" t="s">
        <v>41</v>
      </c>
      <c r="W4" s="164" t="s">
        <v>36</v>
      </c>
      <c r="X4" s="164" t="s">
        <v>37</v>
      </c>
      <c r="Y4" s="164" t="s">
        <v>38</v>
      </c>
      <c r="Z4" s="164" t="s">
        <v>39</v>
      </c>
      <c r="AA4" s="164" t="s">
        <v>40</v>
      </c>
      <c r="AB4" s="164" t="s">
        <v>41</v>
      </c>
    </row>
    <row r="5" spans="2:31" ht="30.75" customHeight="1">
      <c r="B5" s="227" t="s">
        <v>42</v>
      </c>
      <c r="C5" s="167">
        <f>COUNTIF('1. All Data'!$H$3:$H$134,"Fully Achieved")</f>
        <v>6</v>
      </c>
      <c r="D5" s="168">
        <f>C5/C16</f>
        <v>5.8823529411764705E-2</v>
      </c>
      <c r="E5" s="401">
        <f>D5+D6</f>
        <v>0.73529411764705888</v>
      </c>
      <c r="F5" s="168">
        <f>C5/C17</f>
        <v>7.5949367088607597E-2</v>
      </c>
      <c r="G5" s="403">
        <f>F5+F6</f>
        <v>0.94936708860759489</v>
      </c>
      <c r="I5" s="227" t="s">
        <v>42</v>
      </c>
      <c r="J5" s="167">
        <f>COUNTIF('1. All Data'!$M$3:$M$136,"Fully Achieved")</f>
        <v>0</v>
      </c>
      <c r="K5" s="168" t="e">
        <f>J5/J16</f>
        <v>#DIV/0!</v>
      </c>
      <c r="L5" s="401" t="e">
        <f>K5+K6</f>
        <v>#DIV/0!</v>
      </c>
      <c r="M5" s="168" t="e">
        <f>J5/J17</f>
        <v>#DIV/0!</v>
      </c>
      <c r="N5" s="403" t="e">
        <f>M5+M6</f>
        <v>#DIV/0!</v>
      </c>
      <c r="P5" s="227" t="s">
        <v>42</v>
      </c>
      <c r="Q5" s="167">
        <f>COUNTIF('1. All Data'!$R$3:$R$134,"Fully Achieved")</f>
        <v>0</v>
      </c>
      <c r="R5" s="168" t="e">
        <f>Q5/Q16</f>
        <v>#DIV/0!</v>
      </c>
      <c r="S5" s="401" t="e">
        <f>R5+R6</f>
        <v>#DIV/0!</v>
      </c>
      <c r="T5" s="168" t="e">
        <f>Q5/Q17</f>
        <v>#DIV/0!</v>
      </c>
      <c r="U5" s="403" t="e">
        <f>T5+T6</f>
        <v>#DIV/0!</v>
      </c>
      <c r="W5" s="227" t="s">
        <v>42</v>
      </c>
      <c r="X5" s="167">
        <f>COUNTIF('1. All Data'!$V$3:$V$134,"Fully Achieved")</f>
        <v>0</v>
      </c>
      <c r="Y5" s="168" t="e">
        <f t="shared" ref="Y5:Y15" si="0">X5/$X$16</f>
        <v>#DIV/0!</v>
      </c>
      <c r="Z5" s="401" t="e">
        <f>SUM(Y5:Y6)</f>
        <v>#DIV/0!</v>
      </c>
      <c r="AA5" s="168" t="e">
        <f t="shared" ref="AA5:AA11" si="1">X5/$X$17</f>
        <v>#DIV/0!</v>
      </c>
      <c r="AB5" s="403" t="e">
        <f>AA5+AA6</f>
        <v>#DIV/0!</v>
      </c>
      <c r="AD5" s="403" t="e">
        <f>AB5</f>
        <v>#DIV/0!</v>
      </c>
    </row>
    <row r="6" spans="2:31" ht="30.75" customHeight="1">
      <c r="B6" s="227" t="s">
        <v>25</v>
      </c>
      <c r="C6" s="167">
        <f>COUNTIF('1. All Data'!$H$3:$H$134,"On Track to be Achieved")</f>
        <v>69</v>
      </c>
      <c r="D6" s="168">
        <f>C6/C16</f>
        <v>0.67647058823529416</v>
      </c>
      <c r="E6" s="401"/>
      <c r="F6" s="168">
        <f>C6/C17</f>
        <v>0.87341772151898733</v>
      </c>
      <c r="G6" s="403"/>
      <c r="I6" s="227" t="s">
        <v>25</v>
      </c>
      <c r="J6" s="167">
        <f>COUNTIF('1. All Data'!$M$3:$M$136,"On Track to be Achieved")</f>
        <v>0</v>
      </c>
      <c r="K6" s="168" t="e">
        <f>J6/J16</f>
        <v>#DIV/0!</v>
      </c>
      <c r="L6" s="401"/>
      <c r="M6" s="168" t="e">
        <f>J6/J17</f>
        <v>#DIV/0!</v>
      </c>
      <c r="N6" s="403"/>
      <c r="P6" s="227" t="s">
        <v>25</v>
      </c>
      <c r="Q6" s="167">
        <f>COUNTIF('1. All Data'!$R$3:$R$134,"On Track to be Achieved")</f>
        <v>0</v>
      </c>
      <c r="R6" s="168" t="e">
        <f>Q6/Q16</f>
        <v>#DIV/0!</v>
      </c>
      <c r="S6" s="401"/>
      <c r="T6" s="168" t="e">
        <f>Q6/Q17</f>
        <v>#DIV/0!</v>
      </c>
      <c r="U6" s="403"/>
      <c r="W6" s="227" t="s">
        <v>17</v>
      </c>
      <c r="X6" s="167">
        <f>COUNTIF('1. All Data'!$V$3:$V$134,"Numerical Outturn Within 5% Tolerance")</f>
        <v>0</v>
      </c>
      <c r="Y6" s="168" t="e">
        <f t="shared" si="0"/>
        <v>#DIV/0!</v>
      </c>
      <c r="Z6" s="401"/>
      <c r="AA6" s="168" t="e">
        <f t="shared" si="1"/>
        <v>#DIV/0!</v>
      </c>
      <c r="AB6" s="403"/>
      <c r="AD6" s="403"/>
    </row>
    <row r="7" spans="2:31" ht="18.75" customHeight="1">
      <c r="B7" s="411" t="s">
        <v>26</v>
      </c>
      <c r="C7" s="414">
        <f>COUNTIF('1. All Data'!$H$3:$H$134,"In Danger of Falling Behind Target")</f>
        <v>1</v>
      </c>
      <c r="D7" s="404">
        <f>C7/C16</f>
        <v>9.8039215686274508E-3</v>
      </c>
      <c r="E7" s="404">
        <f>D7</f>
        <v>9.8039215686274508E-3</v>
      </c>
      <c r="F7" s="404">
        <f>C7/C17</f>
        <v>1.2658227848101266E-2</v>
      </c>
      <c r="G7" s="407">
        <f>F7</f>
        <v>1.2658227848101266E-2</v>
      </c>
      <c r="I7" s="411" t="s">
        <v>26</v>
      </c>
      <c r="J7" s="414">
        <f>COUNTIF('1. All Data'!$M$3:$M$136,"In Danger of Falling Behind Target")</f>
        <v>0</v>
      </c>
      <c r="K7" s="404" t="e">
        <f>J7/J16</f>
        <v>#DIV/0!</v>
      </c>
      <c r="L7" s="404" t="e">
        <f>K7</f>
        <v>#DIV/0!</v>
      </c>
      <c r="M7" s="404" t="e">
        <f>J7/J17</f>
        <v>#DIV/0!</v>
      </c>
      <c r="N7" s="407" t="e">
        <f>M7</f>
        <v>#DIV/0!</v>
      </c>
      <c r="P7" s="411" t="s">
        <v>26</v>
      </c>
      <c r="Q7" s="414">
        <f>COUNTIF('1. All Data'!$R$3:$R$134,"In Danger of Falling Behind Target")</f>
        <v>0</v>
      </c>
      <c r="R7" s="404" t="e">
        <f>Q7/Q16</f>
        <v>#DIV/0!</v>
      </c>
      <c r="S7" s="404" t="e">
        <f>R7</f>
        <v>#DIV/0!</v>
      </c>
      <c r="T7" s="404" t="e">
        <f>Q7/Q17</f>
        <v>#DIV/0!</v>
      </c>
      <c r="U7" s="407" t="e">
        <f>T7</f>
        <v>#DIV/0!</v>
      </c>
      <c r="W7" s="169" t="s">
        <v>18</v>
      </c>
      <c r="X7" s="170">
        <f>COUNTIF('1. All Data'!$V$3:$V$134,"Numerical Outturn Within 10% Tolerance")</f>
        <v>0</v>
      </c>
      <c r="Y7" s="168" t="e">
        <f t="shared" si="0"/>
        <v>#DIV/0!</v>
      </c>
      <c r="Z7" s="401" t="e">
        <f>SUM(Y7:Y9)</f>
        <v>#DIV/0!</v>
      </c>
      <c r="AA7" s="168" t="e">
        <f t="shared" si="1"/>
        <v>#DIV/0!</v>
      </c>
      <c r="AB7" s="410" t="e">
        <f>SUM(AA7:AA9)</f>
        <v>#DIV/0!</v>
      </c>
      <c r="AD7" s="417" t="e">
        <f>SUM(AB7:AB11)</f>
        <v>#DIV/0!</v>
      </c>
    </row>
    <row r="8" spans="2:31" ht="19.5" customHeight="1">
      <c r="B8" s="412"/>
      <c r="C8" s="415"/>
      <c r="D8" s="405"/>
      <c r="E8" s="405"/>
      <c r="F8" s="405"/>
      <c r="G8" s="408"/>
      <c r="I8" s="412"/>
      <c r="J8" s="415"/>
      <c r="K8" s="405"/>
      <c r="L8" s="405"/>
      <c r="M8" s="405"/>
      <c r="N8" s="408"/>
      <c r="P8" s="412"/>
      <c r="Q8" s="415"/>
      <c r="R8" s="405"/>
      <c r="S8" s="405"/>
      <c r="T8" s="405"/>
      <c r="U8" s="408"/>
      <c r="W8" s="169" t="s">
        <v>19</v>
      </c>
      <c r="X8" s="170">
        <f>COUNTIF('1. All Data'!$V$3:$V$134,"Target Partially Met")</f>
        <v>0</v>
      </c>
      <c r="Y8" s="168" t="e">
        <f t="shared" si="0"/>
        <v>#DIV/0!</v>
      </c>
      <c r="Z8" s="401"/>
      <c r="AA8" s="168" t="e">
        <f t="shared" si="1"/>
        <v>#DIV/0!</v>
      </c>
      <c r="AB8" s="410"/>
      <c r="AD8" s="418"/>
    </row>
    <row r="9" spans="2:31" ht="19.5" customHeight="1">
      <c r="B9" s="413"/>
      <c r="C9" s="416"/>
      <c r="D9" s="406"/>
      <c r="E9" s="406"/>
      <c r="F9" s="406"/>
      <c r="G9" s="409"/>
      <c r="I9" s="413"/>
      <c r="J9" s="416"/>
      <c r="K9" s="406"/>
      <c r="L9" s="406"/>
      <c r="M9" s="406"/>
      <c r="N9" s="409"/>
      <c r="P9" s="413"/>
      <c r="Q9" s="416"/>
      <c r="R9" s="406"/>
      <c r="S9" s="406"/>
      <c r="T9" s="406"/>
      <c r="U9" s="409"/>
      <c r="W9" s="169" t="s">
        <v>22</v>
      </c>
      <c r="X9" s="170">
        <f>COUNTIF('1. All Data'!$V$3:$V$134,"Completion Date Within Reasonable Tolerance")</f>
        <v>0</v>
      </c>
      <c r="Y9" s="168" t="e">
        <f t="shared" si="0"/>
        <v>#DIV/0!</v>
      </c>
      <c r="Z9" s="401"/>
      <c r="AA9" s="168" t="e">
        <f t="shared" si="1"/>
        <v>#DIV/0!</v>
      </c>
      <c r="AB9" s="410"/>
      <c r="AD9" s="418"/>
    </row>
    <row r="10" spans="2:31" ht="29.25" customHeight="1">
      <c r="B10" s="171" t="s">
        <v>27</v>
      </c>
      <c r="C10" s="167">
        <f>COUNTIF('1. All Data'!H3:H134,"completed behind schedule")</f>
        <v>1</v>
      </c>
      <c r="D10" s="168">
        <f>C10/C16</f>
        <v>9.8039215686274508E-3</v>
      </c>
      <c r="E10" s="401">
        <f>D10+D11</f>
        <v>2.9411764705882353E-2</v>
      </c>
      <c r="F10" s="168">
        <f>C10/C17</f>
        <v>1.2658227848101266E-2</v>
      </c>
      <c r="G10" s="402">
        <f>F10+F11</f>
        <v>3.7974683544303799E-2</v>
      </c>
      <c r="I10" s="171" t="s">
        <v>27</v>
      </c>
      <c r="J10" s="167">
        <f>COUNTIF('1. All Data'!M3:M136,"Completed Behind Schedule")</f>
        <v>0</v>
      </c>
      <c r="K10" s="168" t="e">
        <f>J10/J16</f>
        <v>#DIV/0!</v>
      </c>
      <c r="L10" s="401" t="e">
        <f>K10+K11</f>
        <v>#DIV/0!</v>
      </c>
      <c r="M10" s="168" t="e">
        <f>J10/J17</f>
        <v>#DIV/0!</v>
      </c>
      <c r="N10" s="402" t="e">
        <f>M10+M11</f>
        <v>#DIV/0!</v>
      </c>
      <c r="P10" s="171" t="s">
        <v>27</v>
      </c>
      <c r="Q10" s="167">
        <f>COUNTIF('1. All Data'!R3:R134,"completed behind schedule")</f>
        <v>0</v>
      </c>
      <c r="R10" s="168" t="e">
        <f>Q10/Q16</f>
        <v>#DIV/0!</v>
      </c>
      <c r="S10" s="401" t="e">
        <f>R10+R11</f>
        <v>#DIV/0!</v>
      </c>
      <c r="T10" s="168" t="e">
        <f>Q10/Q17</f>
        <v>#DIV/0!</v>
      </c>
      <c r="U10" s="402" t="e">
        <f>T10+T11</f>
        <v>#DIV/0!</v>
      </c>
      <c r="W10" s="171" t="s">
        <v>21</v>
      </c>
      <c r="X10" s="167">
        <f>COUNTIF('1. All Data'!V3:V134,"Completed Significantly After Target Deadline")</f>
        <v>0</v>
      </c>
      <c r="Y10" s="168" t="e">
        <f t="shared" si="0"/>
        <v>#DIV/0!</v>
      </c>
      <c r="Z10" s="401" t="e">
        <f>SUM(Y10:Y11)</f>
        <v>#DIV/0!</v>
      </c>
      <c r="AA10" s="168" t="e">
        <f t="shared" si="1"/>
        <v>#DIV/0!</v>
      </c>
      <c r="AB10" s="402" t="e">
        <f>SUM(AA10:AA11)</f>
        <v>#DIV/0!</v>
      </c>
      <c r="AD10" s="418"/>
    </row>
    <row r="11" spans="2:31" ht="29.25" customHeight="1">
      <c r="B11" s="171" t="s">
        <v>20</v>
      </c>
      <c r="C11" s="167">
        <f>COUNTIF('1. All Data'!H3:H134,"off target")</f>
        <v>2</v>
      </c>
      <c r="D11" s="168">
        <f>C11/C16</f>
        <v>1.9607843137254902E-2</v>
      </c>
      <c r="E11" s="401"/>
      <c r="F11" s="168">
        <f>C11/C17</f>
        <v>2.5316455696202531E-2</v>
      </c>
      <c r="G11" s="402"/>
      <c r="I11" s="171" t="s">
        <v>20</v>
      </c>
      <c r="J11" s="167">
        <f>COUNTIF('1. All Data'!M3:M136,"Off Target")</f>
        <v>0</v>
      </c>
      <c r="K11" s="168" t="e">
        <f>J11/J16</f>
        <v>#DIV/0!</v>
      </c>
      <c r="L11" s="401"/>
      <c r="M11" s="168" t="e">
        <f>J11/J17</f>
        <v>#DIV/0!</v>
      </c>
      <c r="N11" s="402"/>
      <c r="P11" s="171" t="s">
        <v>20</v>
      </c>
      <c r="Q11" s="167">
        <f>COUNTIF('1. All Data'!R3:R134,"off target")</f>
        <v>0</v>
      </c>
      <c r="R11" s="168" t="e">
        <f>Q11/Q16</f>
        <v>#DIV/0!</v>
      </c>
      <c r="S11" s="401"/>
      <c r="T11" s="168" t="e">
        <f>Q11/Q17</f>
        <v>#DIV/0!</v>
      </c>
      <c r="U11" s="402"/>
      <c r="W11" s="171" t="s">
        <v>20</v>
      </c>
      <c r="X11" s="167">
        <f>COUNTIF('1. All Data'!V3:V134,"off target")</f>
        <v>0</v>
      </c>
      <c r="Y11" s="168" t="e">
        <f t="shared" si="0"/>
        <v>#DIV/0!</v>
      </c>
      <c r="Z11" s="401"/>
      <c r="AA11" s="168" t="e">
        <f t="shared" si="1"/>
        <v>#DIV/0!</v>
      </c>
      <c r="AB11" s="402"/>
      <c r="AD11" s="418"/>
    </row>
    <row r="12" spans="2:31" ht="20.25" customHeight="1">
      <c r="B12" s="172" t="s">
        <v>43</v>
      </c>
      <c r="C12" s="167">
        <f>COUNTIF('1. All Data'!H3:H134,"not yet due")</f>
        <v>23</v>
      </c>
      <c r="D12" s="173">
        <f>C12/C16</f>
        <v>0.22549019607843138</v>
      </c>
      <c r="E12" s="173">
        <f>D12</f>
        <v>0.22549019607843138</v>
      </c>
      <c r="F12" s="174"/>
      <c r="G12" s="58"/>
      <c r="I12" s="172" t="s">
        <v>43</v>
      </c>
      <c r="J12" s="167">
        <f>COUNTIF('1. All Data'!M3:M136,"not yet due")</f>
        <v>0</v>
      </c>
      <c r="K12" s="173" t="e">
        <f>J12/J16</f>
        <v>#DIV/0!</v>
      </c>
      <c r="L12" s="173" t="e">
        <f>K12</f>
        <v>#DIV/0!</v>
      </c>
      <c r="M12" s="174"/>
      <c r="N12" s="58"/>
      <c r="P12" s="172" t="s">
        <v>43</v>
      </c>
      <c r="Q12" s="167">
        <f>COUNTIF('1. All Data'!R3:R126,"not yet due")</f>
        <v>0</v>
      </c>
      <c r="R12" s="173" t="e">
        <f>Q12/Q16</f>
        <v>#DIV/0!</v>
      </c>
      <c r="S12" s="173" t="e">
        <f>R12</f>
        <v>#DIV/0!</v>
      </c>
      <c r="T12" s="174"/>
      <c r="U12" s="58"/>
      <c r="W12" s="172" t="s">
        <v>43</v>
      </c>
      <c r="X12" s="167">
        <f>COUNTIF('1. All Data'!V3:V134,"not yet due")</f>
        <v>0</v>
      </c>
      <c r="Y12" s="168" t="e">
        <f t="shared" si="0"/>
        <v>#DIV/0!</v>
      </c>
      <c r="Z12" s="173" t="e">
        <f>Y12</f>
        <v>#DIV/0!</v>
      </c>
      <c r="AA12" s="174"/>
      <c r="AB12" s="58"/>
    </row>
    <row r="13" spans="2:31" ht="20.25" customHeight="1">
      <c r="B13" s="172" t="s">
        <v>15</v>
      </c>
      <c r="C13" s="167">
        <f>COUNTIF('1. All Data'!H3:H134,"update not provided")</f>
        <v>0</v>
      </c>
      <c r="D13" s="173">
        <f>C13/C16</f>
        <v>0</v>
      </c>
      <c r="E13" s="173">
        <f>D13</f>
        <v>0</v>
      </c>
      <c r="F13" s="174"/>
      <c r="G13" s="2"/>
      <c r="I13" s="172" t="s">
        <v>15</v>
      </c>
      <c r="J13" s="167">
        <f>COUNTIF('1. All Data'!M3:M136,"update not provided")</f>
        <v>0</v>
      </c>
      <c r="K13" s="173" t="e">
        <f>J13/J16</f>
        <v>#DIV/0!</v>
      </c>
      <c r="L13" s="173" t="e">
        <f>K13</f>
        <v>#DIV/0!</v>
      </c>
      <c r="M13" s="174"/>
      <c r="N13" s="2"/>
      <c r="P13" s="172" t="s">
        <v>15</v>
      </c>
      <c r="Q13" s="167">
        <f>COUNTIF('1. All Data'!R3:R126,"update not provided")</f>
        <v>0</v>
      </c>
      <c r="R13" s="173" t="e">
        <f>Q13/Q16</f>
        <v>#DIV/0!</v>
      </c>
      <c r="S13" s="173" t="e">
        <f>R13</f>
        <v>#DIV/0!</v>
      </c>
      <c r="T13" s="174"/>
      <c r="U13" s="2"/>
      <c r="W13" s="172" t="s">
        <v>15</v>
      </c>
      <c r="X13" s="167">
        <f>COUNTIF('1. All Data'!V3:V134,"update not provided")</f>
        <v>0</v>
      </c>
      <c r="Y13" s="168" t="e">
        <f t="shared" si="0"/>
        <v>#DIV/0!</v>
      </c>
      <c r="Z13" s="173" t="e">
        <f>Y13</f>
        <v>#DIV/0!</v>
      </c>
      <c r="AA13" s="174"/>
      <c r="AB13" s="2"/>
    </row>
    <row r="14" spans="2:31" ht="15.75" customHeight="1">
      <c r="B14" s="175" t="s">
        <v>23</v>
      </c>
      <c r="C14" s="167">
        <f>COUNTIF('1. All Data'!H3:H134,"deferred")</f>
        <v>0</v>
      </c>
      <c r="D14" s="176">
        <f>C14/C16</f>
        <v>0</v>
      </c>
      <c r="E14" s="176">
        <f>D14</f>
        <v>0</v>
      </c>
      <c r="F14" s="177"/>
      <c r="G14" s="58"/>
      <c r="I14" s="175" t="s">
        <v>23</v>
      </c>
      <c r="J14" s="167">
        <f>COUNTIF('1. All Data'!M3:M136,"deferred")</f>
        <v>0</v>
      </c>
      <c r="K14" s="176" t="e">
        <f>J14/J16</f>
        <v>#DIV/0!</v>
      </c>
      <c r="L14" s="176" t="e">
        <f>K14</f>
        <v>#DIV/0!</v>
      </c>
      <c r="M14" s="177"/>
      <c r="N14" s="58"/>
      <c r="P14" s="175" t="s">
        <v>23</v>
      </c>
      <c r="Q14" s="167">
        <f>COUNTIF('1. All Data'!R3:R126,"deferred")</f>
        <v>0</v>
      </c>
      <c r="R14" s="176" t="e">
        <f>Q14/Q16</f>
        <v>#DIV/0!</v>
      </c>
      <c r="S14" s="176" t="e">
        <f>R14</f>
        <v>#DIV/0!</v>
      </c>
      <c r="T14" s="177"/>
      <c r="U14" s="58"/>
      <c r="W14" s="175" t="s">
        <v>23</v>
      </c>
      <c r="X14" s="167">
        <f>COUNTIF('1. All Data'!V3:V134,"deferred")</f>
        <v>0</v>
      </c>
      <c r="Y14" s="168" t="e">
        <f t="shared" si="0"/>
        <v>#DIV/0!</v>
      </c>
      <c r="Z14" s="173" t="e">
        <f>Y14</f>
        <v>#DIV/0!</v>
      </c>
      <c r="AA14" s="177"/>
      <c r="AB14" s="58"/>
    </row>
    <row r="15" spans="2:31" ht="15.75" customHeight="1">
      <c r="B15" s="175" t="s">
        <v>24</v>
      </c>
      <c r="C15" s="167">
        <f>COUNTIF('1. All Data'!H3:H134,"deleted")</f>
        <v>0</v>
      </c>
      <c r="D15" s="176">
        <f>C15/C16</f>
        <v>0</v>
      </c>
      <c r="E15" s="176">
        <f>D15</f>
        <v>0</v>
      </c>
      <c r="F15" s="177"/>
      <c r="G15" s="3"/>
      <c r="I15" s="175" t="s">
        <v>24</v>
      </c>
      <c r="J15" s="167">
        <f>COUNTIF('1. All Data'!M3:M136,"deleted")</f>
        <v>0</v>
      </c>
      <c r="K15" s="176" t="e">
        <f>J15/J16</f>
        <v>#DIV/0!</v>
      </c>
      <c r="L15" s="176" t="e">
        <f>K15</f>
        <v>#DIV/0!</v>
      </c>
      <c r="M15" s="177"/>
      <c r="P15" s="175" t="s">
        <v>24</v>
      </c>
      <c r="Q15" s="167">
        <f>COUNTIF('1. All Data'!R3:R126,"deleted")</f>
        <v>0</v>
      </c>
      <c r="R15" s="176" t="e">
        <f>Q15/Q16</f>
        <v>#DIV/0!</v>
      </c>
      <c r="S15" s="176" t="e">
        <f>R15</f>
        <v>#DIV/0!</v>
      </c>
      <c r="T15" s="177"/>
      <c r="U15" s="3"/>
      <c r="W15" s="175" t="s">
        <v>24</v>
      </c>
      <c r="X15" s="167">
        <f>COUNTIF('1. All Data'!V3:V134,"deleted")</f>
        <v>0</v>
      </c>
      <c r="Y15" s="168" t="e">
        <f t="shared" si="0"/>
        <v>#DIV/0!</v>
      </c>
      <c r="Z15" s="173" t="e">
        <f>Y15</f>
        <v>#DIV/0!</v>
      </c>
      <c r="AA15" s="177"/>
      <c r="AB15" s="3"/>
      <c r="AE15" s="3"/>
    </row>
    <row r="16" spans="2:31" ht="15.75" customHeight="1">
      <c r="B16" s="178" t="s">
        <v>45</v>
      </c>
      <c r="C16" s="179">
        <f>SUM(C5:C15)</f>
        <v>102</v>
      </c>
      <c r="D16" s="177"/>
      <c r="E16" s="177"/>
      <c r="F16" s="58"/>
      <c r="G16" s="58"/>
      <c r="I16" s="178" t="s">
        <v>45</v>
      </c>
      <c r="J16" s="179">
        <f>SUM(J5:J15)</f>
        <v>0</v>
      </c>
      <c r="K16" s="177"/>
      <c r="L16" s="177"/>
      <c r="M16" s="58"/>
      <c r="N16" s="58"/>
      <c r="P16" s="178" t="s">
        <v>45</v>
      </c>
      <c r="Q16" s="179">
        <f>SUM(Q5:Q15)</f>
        <v>0</v>
      </c>
      <c r="R16" s="177"/>
      <c r="S16" s="177"/>
      <c r="T16" s="58"/>
      <c r="U16" s="58"/>
      <c r="W16" s="178" t="s">
        <v>45</v>
      </c>
      <c r="X16" s="179">
        <f>SUM(X5:X15)</f>
        <v>0</v>
      </c>
      <c r="Y16" s="177"/>
      <c r="Z16" s="177"/>
      <c r="AA16" s="58"/>
      <c r="AB16" s="58"/>
    </row>
    <row r="17" spans="2:28" ht="15.75" customHeight="1">
      <c r="B17" s="178" t="s">
        <v>46</v>
      </c>
      <c r="C17" s="179">
        <f>C16-C15-C14-C13-C12</f>
        <v>79</v>
      </c>
      <c r="D17" s="58"/>
      <c r="E17" s="58"/>
      <c r="F17" s="58"/>
      <c r="G17" s="58"/>
      <c r="I17" s="178" t="s">
        <v>46</v>
      </c>
      <c r="J17" s="179">
        <f>J16-J15-J14-J13-J12</f>
        <v>0</v>
      </c>
      <c r="K17" s="58"/>
      <c r="L17" s="58"/>
      <c r="M17" s="58"/>
      <c r="N17" s="58"/>
      <c r="P17" s="178" t="s">
        <v>46</v>
      </c>
      <c r="Q17" s="179">
        <f>Q16-Q15-Q14-Q13-Q12</f>
        <v>0</v>
      </c>
      <c r="R17" s="58"/>
      <c r="S17" s="58"/>
      <c r="T17" s="58"/>
      <c r="U17" s="58"/>
      <c r="W17" s="178" t="s">
        <v>46</v>
      </c>
      <c r="X17" s="179">
        <f>X16-X15-X14-X13-X12</f>
        <v>0</v>
      </c>
      <c r="Y17" s="58"/>
      <c r="Z17" s="58"/>
      <c r="AA17" s="58"/>
      <c r="AB17" s="58"/>
    </row>
    <row r="18" spans="2:28" ht="15.75" customHeight="1">
      <c r="W18" s="180"/>
      <c r="AA18" s="2"/>
    </row>
    <row r="19" spans="2:28" ht="15.75" hidden="1" customHeight="1">
      <c r="AA19" s="2"/>
    </row>
    <row r="20" spans="2:28" ht="15" hidden="1" customHeight="1">
      <c r="AA20" s="2"/>
    </row>
    <row r="21" spans="2:28" ht="19.5" customHeight="1">
      <c r="B21" s="182" t="s">
        <v>126</v>
      </c>
      <c r="C21" s="183"/>
      <c r="D21" s="183"/>
      <c r="E21" s="183"/>
      <c r="F21" s="159"/>
      <c r="G21" s="184"/>
      <c r="I21" s="182" t="s">
        <v>126</v>
      </c>
      <c r="J21" s="183"/>
      <c r="K21" s="183"/>
      <c r="L21" s="183"/>
      <c r="M21" s="159"/>
      <c r="N21" s="184"/>
      <c r="P21" s="182" t="s">
        <v>126</v>
      </c>
      <c r="Q21" s="183"/>
      <c r="R21" s="183"/>
      <c r="S21" s="183"/>
      <c r="T21" s="159"/>
      <c r="U21" s="184"/>
      <c r="W21" s="182" t="s">
        <v>126</v>
      </c>
      <c r="X21" s="162"/>
      <c r="Y21" s="162"/>
      <c r="Z21" s="162"/>
      <c r="AA21" s="162"/>
      <c r="AB21" s="163"/>
    </row>
    <row r="22" spans="2:28" ht="42" customHeight="1">
      <c r="B22" s="164" t="s">
        <v>36</v>
      </c>
      <c r="C22" s="164" t="s">
        <v>37</v>
      </c>
      <c r="D22" s="164" t="s">
        <v>38</v>
      </c>
      <c r="E22" s="164" t="s">
        <v>39</v>
      </c>
      <c r="F22" s="164" t="s">
        <v>40</v>
      </c>
      <c r="G22" s="164" t="s">
        <v>41</v>
      </c>
      <c r="I22" s="164" t="s">
        <v>36</v>
      </c>
      <c r="J22" s="164" t="s">
        <v>37</v>
      </c>
      <c r="K22" s="164" t="s">
        <v>38</v>
      </c>
      <c r="L22" s="164" t="s">
        <v>39</v>
      </c>
      <c r="M22" s="164" t="s">
        <v>40</v>
      </c>
      <c r="N22" s="164" t="s">
        <v>41</v>
      </c>
      <c r="P22" s="164" t="s">
        <v>36</v>
      </c>
      <c r="Q22" s="164" t="s">
        <v>37</v>
      </c>
      <c r="R22" s="164" t="s">
        <v>38</v>
      </c>
      <c r="S22" s="164" t="s">
        <v>39</v>
      </c>
      <c r="T22" s="164" t="s">
        <v>40</v>
      </c>
      <c r="U22" s="164" t="s">
        <v>41</v>
      </c>
      <c r="W22" s="164" t="s">
        <v>36</v>
      </c>
      <c r="X22" s="164" t="s">
        <v>37</v>
      </c>
      <c r="Y22" s="164" t="s">
        <v>38</v>
      </c>
      <c r="Z22" s="164" t="s">
        <v>39</v>
      </c>
      <c r="AA22" s="164" t="s">
        <v>40</v>
      </c>
      <c r="AB22" s="164" t="s">
        <v>41</v>
      </c>
    </row>
    <row r="23" spans="2:28" ht="21.75" customHeight="1">
      <c r="B23" s="227" t="s">
        <v>42</v>
      </c>
      <c r="C23" s="167">
        <f>COUNTIFS('1. All Data'!$AA$3:$AA$134,"Improving Local Democracy",'1. All Data'!$H$3:$H$134,"Fully Achieved")</f>
        <v>2</v>
      </c>
      <c r="D23" s="168">
        <f>C23/C34</f>
        <v>0.10526315789473684</v>
      </c>
      <c r="E23" s="401">
        <f>D23+D24</f>
        <v>0.57894736842105265</v>
      </c>
      <c r="F23" s="168">
        <f>C23/C35</f>
        <v>0.15384615384615385</v>
      </c>
      <c r="G23" s="419">
        <f>F23+F24</f>
        <v>0.84615384615384615</v>
      </c>
      <c r="I23" s="227" t="s">
        <v>42</v>
      </c>
      <c r="J23" s="167">
        <f>COUNTIFS('1. All Data'!$AA$3:$AA$134,"Improving Local Democracy council",'1. All Data'!$M$3:$M$134,"Fully Achieved")</f>
        <v>0</v>
      </c>
      <c r="K23" s="168" t="e">
        <f>J23/J34</f>
        <v>#DIV/0!</v>
      </c>
      <c r="L23" s="401" t="e">
        <f>K23+K24</f>
        <v>#DIV/0!</v>
      </c>
      <c r="M23" s="168" t="e">
        <f>J23/J35</f>
        <v>#DIV/0!</v>
      </c>
      <c r="N23" s="403" t="e">
        <f>M23+M24</f>
        <v>#DIV/0!</v>
      </c>
      <c r="P23" s="227" t="s">
        <v>42</v>
      </c>
      <c r="Q23" s="167">
        <f>COUNTIFS('1. All Data'!$AA$3:$AA$134,"Improving Local Democracy council",'1. All Data'!$R$3:$R$134,"Fully Achieved")</f>
        <v>0</v>
      </c>
      <c r="R23" s="168" t="e">
        <f>Q23/Q34</f>
        <v>#DIV/0!</v>
      </c>
      <c r="S23" s="401" t="e">
        <f>R23+R24</f>
        <v>#DIV/0!</v>
      </c>
      <c r="T23" s="168" t="e">
        <f>Q23/Q35</f>
        <v>#DIV/0!</v>
      </c>
      <c r="U23" s="403" t="e">
        <f>T23+T24</f>
        <v>#DIV/0!</v>
      </c>
      <c r="W23" s="227" t="s">
        <v>42</v>
      </c>
      <c r="X23" s="167">
        <f>COUNTIFS('1. All Data'!$AA$3:$AA$134,"Improving Local Democracy council",'1. All Data'!$V$3:$V$134,"Fully Achieved")</f>
        <v>0</v>
      </c>
      <c r="Y23" s="168" t="e">
        <f>X23/X34</f>
        <v>#DIV/0!</v>
      </c>
      <c r="Z23" s="401" t="e">
        <f>Y23+Y24</f>
        <v>#DIV/0!</v>
      </c>
      <c r="AA23" s="168" t="e">
        <f>X23/X35</f>
        <v>#DIV/0!</v>
      </c>
      <c r="AB23" s="403" t="e">
        <f>AA23+AA24</f>
        <v>#DIV/0!</v>
      </c>
    </row>
    <row r="24" spans="2:28" ht="18.75" customHeight="1">
      <c r="B24" s="227" t="s">
        <v>25</v>
      </c>
      <c r="C24" s="167">
        <f>COUNTIFS('1. All Data'!$AA$3:$AA$134,"Improving Local Democracy",'1. All Data'!$H$3:$H$134,"On Track to be achieved")</f>
        <v>9</v>
      </c>
      <c r="D24" s="168">
        <f>C24/C34</f>
        <v>0.47368421052631576</v>
      </c>
      <c r="E24" s="401"/>
      <c r="F24" s="168">
        <f>C24/C35</f>
        <v>0.69230769230769229</v>
      </c>
      <c r="G24" s="420"/>
      <c r="I24" s="227" t="s">
        <v>25</v>
      </c>
      <c r="J24" s="167">
        <f>COUNTIFS('1. All Data'!$AA$3:$AA$134,"Improving Local Democracy council",'1. All Data'!$M$3:$M$134,"On Track to be achieved")</f>
        <v>0</v>
      </c>
      <c r="K24" s="168" t="e">
        <f>J24/J34</f>
        <v>#DIV/0!</v>
      </c>
      <c r="L24" s="401"/>
      <c r="M24" s="168" t="e">
        <f>J24/J35</f>
        <v>#DIV/0!</v>
      </c>
      <c r="N24" s="403"/>
      <c r="P24" s="227" t="s">
        <v>25</v>
      </c>
      <c r="Q24" s="167">
        <f>COUNTIFS('1. All Data'!$AA$3:$AA$134,"Improving Local Democracy council",'1. All Data'!$R$3:$R$134,"On Track to be achieved")</f>
        <v>0</v>
      </c>
      <c r="R24" s="168" t="e">
        <f>Q24/Q34</f>
        <v>#DIV/0!</v>
      </c>
      <c r="S24" s="401"/>
      <c r="T24" s="168" t="e">
        <f>Q24/Q35</f>
        <v>#DIV/0!</v>
      </c>
      <c r="U24" s="403"/>
      <c r="W24" s="227" t="s">
        <v>17</v>
      </c>
      <c r="X24" s="167">
        <f>COUNTIFS('1. All Data'!$AA$3:$AA$134,"Improving Local Democracy council",'1. All Data'!$V$3:$V$134,"Numerical Outturn Within 5% Tolerance")</f>
        <v>0</v>
      </c>
      <c r="Y24" s="168" t="e">
        <f>X24/X34</f>
        <v>#DIV/0!</v>
      </c>
      <c r="Z24" s="401"/>
      <c r="AA24" s="168" t="e">
        <f t="shared" ref="AA24:AA29" si="2">X24/$X$35</f>
        <v>#DIV/0!</v>
      </c>
      <c r="AB24" s="403"/>
    </row>
    <row r="25" spans="2:28" ht="21" customHeight="1">
      <c r="B25" s="411" t="s">
        <v>26</v>
      </c>
      <c r="C25" s="414">
        <f>COUNTIFS('1. All Data'!$AA$3:$AA$134,"Improving Local Democracy",'1. All Data'!$H$3:$H$134,"In Danger of Falling Behind Target")</f>
        <v>0</v>
      </c>
      <c r="D25" s="404">
        <f>C25/C34</f>
        <v>0</v>
      </c>
      <c r="E25" s="404">
        <f>D25</f>
        <v>0</v>
      </c>
      <c r="F25" s="404">
        <f>C25/C35</f>
        <v>0</v>
      </c>
      <c r="G25" s="407">
        <f>F25</f>
        <v>0</v>
      </c>
      <c r="I25" s="411" t="s">
        <v>26</v>
      </c>
      <c r="J25" s="414">
        <f>COUNTIFS('1. All Data'!$AA$3:$AA$134,"Improving Local Democracy council",'1. All Data'!$M$3:$M$134,"In Danger of Falling Behind Target")</f>
        <v>0</v>
      </c>
      <c r="K25" s="404" t="e">
        <f>J25/J34</f>
        <v>#DIV/0!</v>
      </c>
      <c r="L25" s="404" t="e">
        <f>K25</f>
        <v>#DIV/0!</v>
      </c>
      <c r="M25" s="404" t="e">
        <f>J25/J35</f>
        <v>#DIV/0!</v>
      </c>
      <c r="N25" s="407" t="e">
        <f>M25</f>
        <v>#DIV/0!</v>
      </c>
      <c r="P25" s="411" t="s">
        <v>26</v>
      </c>
      <c r="Q25" s="414">
        <f>COUNTIFS('1. All Data'!$AA$3:$AA$134,"Improving Local Democracy council",'1. All Data'!$R$3:$R$134,"In Danger of Falling Behind Target")</f>
        <v>0</v>
      </c>
      <c r="R25" s="404" t="e">
        <f>Q25/Q34</f>
        <v>#DIV/0!</v>
      </c>
      <c r="S25" s="404" t="e">
        <f>R25</f>
        <v>#DIV/0!</v>
      </c>
      <c r="T25" s="404" t="e">
        <f>Q25/Q35</f>
        <v>#DIV/0!</v>
      </c>
      <c r="U25" s="407" t="e">
        <f>T25</f>
        <v>#DIV/0!</v>
      </c>
      <c r="W25" s="169" t="s">
        <v>18</v>
      </c>
      <c r="X25" s="170">
        <f>COUNTIFS('1. All Data'!$AA$3:$AA$134,"Improving Local Democracy council",'1. All Data'!$V$3:$V$134,"Numerical Outturn Within 10% Tolerance")</f>
        <v>0</v>
      </c>
      <c r="Y25" s="168" t="e">
        <f t="shared" ref="Y25:Y33" si="3">X25/$X$34</f>
        <v>#DIV/0!</v>
      </c>
      <c r="Z25" s="401" t="e">
        <f>SUM(Y25:Y27)</f>
        <v>#DIV/0!</v>
      </c>
      <c r="AA25" s="168" t="e">
        <f t="shared" si="2"/>
        <v>#DIV/0!</v>
      </c>
      <c r="AB25" s="410" t="e">
        <f>SUM(AA25:AA27)</f>
        <v>#DIV/0!</v>
      </c>
    </row>
    <row r="26" spans="2:28" ht="20.25" customHeight="1">
      <c r="B26" s="412"/>
      <c r="C26" s="415"/>
      <c r="D26" s="405"/>
      <c r="E26" s="405"/>
      <c r="F26" s="405"/>
      <c r="G26" s="408"/>
      <c r="I26" s="412"/>
      <c r="J26" s="415"/>
      <c r="K26" s="405"/>
      <c r="L26" s="405"/>
      <c r="M26" s="405"/>
      <c r="N26" s="408"/>
      <c r="P26" s="412"/>
      <c r="Q26" s="415"/>
      <c r="R26" s="405"/>
      <c r="S26" s="405"/>
      <c r="T26" s="405"/>
      <c r="U26" s="408"/>
      <c r="W26" s="169" t="s">
        <v>19</v>
      </c>
      <c r="X26" s="170">
        <f>COUNTIFS('1. All Data'!$AA$3:$AA$134,"Improving Local Democracy council",'1. All Data'!$V$3:$V$134,"Target Partially Met")</f>
        <v>0</v>
      </c>
      <c r="Y26" s="168" t="e">
        <f t="shared" si="3"/>
        <v>#DIV/0!</v>
      </c>
      <c r="Z26" s="401"/>
      <c r="AA26" s="168" t="e">
        <f t="shared" si="2"/>
        <v>#DIV/0!</v>
      </c>
      <c r="AB26" s="410"/>
    </row>
    <row r="27" spans="2:28" ht="18.75" customHeight="1">
      <c r="B27" s="413"/>
      <c r="C27" s="416"/>
      <c r="D27" s="406"/>
      <c r="E27" s="406"/>
      <c r="F27" s="406"/>
      <c r="G27" s="409"/>
      <c r="I27" s="413"/>
      <c r="J27" s="416"/>
      <c r="K27" s="406"/>
      <c r="L27" s="406"/>
      <c r="M27" s="406"/>
      <c r="N27" s="409"/>
      <c r="P27" s="413"/>
      <c r="Q27" s="416"/>
      <c r="R27" s="406"/>
      <c r="S27" s="406"/>
      <c r="T27" s="406"/>
      <c r="U27" s="409"/>
      <c r="W27" s="169" t="s">
        <v>22</v>
      </c>
      <c r="X27" s="170">
        <f>COUNTIFS('1. All Data'!$AA$3:$AA$134,"Improving Local Democracy council",'1. All Data'!$V$3:$V$134,"Completion Date Within Reasonable Tolerance")</f>
        <v>0</v>
      </c>
      <c r="Y27" s="168" t="e">
        <f t="shared" si="3"/>
        <v>#DIV/0!</v>
      </c>
      <c r="Z27" s="401"/>
      <c r="AA27" s="168" t="e">
        <f t="shared" si="2"/>
        <v>#DIV/0!</v>
      </c>
      <c r="AB27" s="410"/>
    </row>
    <row r="28" spans="2:28" ht="20.25" customHeight="1">
      <c r="B28" s="171" t="s">
        <v>27</v>
      </c>
      <c r="C28" s="167">
        <f>COUNTIFS('1. All Data'!$AA$3:$AA$134,"Improving Local Democracy",'1. All Data'!$H$3:$H$134,"Completed Behind Schedule")</f>
        <v>1</v>
      </c>
      <c r="D28" s="168">
        <f>C28/C34</f>
        <v>5.2631578947368418E-2</v>
      </c>
      <c r="E28" s="401">
        <f>D28+D29</f>
        <v>0.10526315789473684</v>
      </c>
      <c r="F28" s="168">
        <f>C28/C35</f>
        <v>7.6923076923076927E-2</v>
      </c>
      <c r="G28" s="402">
        <f>F28+F29</f>
        <v>0.15384615384615385</v>
      </c>
      <c r="I28" s="171" t="s">
        <v>27</v>
      </c>
      <c r="J28" s="167">
        <f>COUNTIFS('1. All Data'!$AA$3:$AA$134,"Improving Local Democracy council",'1. All Data'!$M$3:$M$134,"Completed Behind Schedule")</f>
        <v>0</v>
      </c>
      <c r="K28" s="168" t="e">
        <f>J28/J34</f>
        <v>#DIV/0!</v>
      </c>
      <c r="L28" s="401" t="e">
        <f>K28+K29</f>
        <v>#DIV/0!</v>
      </c>
      <c r="M28" s="168" t="e">
        <f>J28/J35</f>
        <v>#DIV/0!</v>
      </c>
      <c r="N28" s="402" t="e">
        <f>M28+M29</f>
        <v>#DIV/0!</v>
      </c>
      <c r="P28" s="171" t="s">
        <v>27</v>
      </c>
      <c r="Q28" s="167">
        <f>COUNTIFS('1. All Data'!$AA$3:$AA$134,"Improving Local Democracy council",'1. All Data'!$R$3:$R$134,"Completed Behind Schedule")</f>
        <v>0</v>
      </c>
      <c r="R28" s="168" t="e">
        <f>Q28/Q34</f>
        <v>#DIV/0!</v>
      </c>
      <c r="S28" s="401" t="e">
        <f>R28+R29</f>
        <v>#DIV/0!</v>
      </c>
      <c r="T28" s="168" t="e">
        <f>Q28/Q35</f>
        <v>#DIV/0!</v>
      </c>
      <c r="U28" s="402" t="e">
        <f>T28+T29</f>
        <v>#DIV/0!</v>
      </c>
      <c r="W28" s="171" t="s">
        <v>21</v>
      </c>
      <c r="X28" s="167">
        <f>COUNTIFS('1. All Data'!$AA$3:$AA$134,"Improving Local Democracy council",'1. All Data'!$V$3:$V$134,"Completed Significantly After Target Deadline")</f>
        <v>0</v>
      </c>
      <c r="Y28" s="168" t="e">
        <f t="shared" si="3"/>
        <v>#DIV/0!</v>
      </c>
      <c r="Z28" s="401" t="e">
        <f>SUM(Y28:Y29)</f>
        <v>#DIV/0!</v>
      </c>
      <c r="AA28" s="168" t="e">
        <f t="shared" si="2"/>
        <v>#DIV/0!</v>
      </c>
      <c r="AB28" s="402" t="e">
        <f>AA28+AA29</f>
        <v>#DIV/0!</v>
      </c>
    </row>
    <row r="29" spans="2:28" ht="20.25" customHeight="1">
      <c r="B29" s="171" t="s">
        <v>20</v>
      </c>
      <c r="C29" s="167">
        <f>COUNTIFS('1. All Data'!$AA$3:$AA$134,"Improving Local Democracy",'1. All Data'!$H$3:$H$134,"Off Target")</f>
        <v>1</v>
      </c>
      <c r="D29" s="168">
        <f>C29/C34</f>
        <v>5.2631578947368418E-2</v>
      </c>
      <c r="E29" s="401"/>
      <c r="F29" s="168">
        <f>C29/C35</f>
        <v>7.6923076923076927E-2</v>
      </c>
      <c r="G29" s="402"/>
      <c r="I29" s="171" t="s">
        <v>20</v>
      </c>
      <c r="J29" s="167">
        <f>COUNTIFS('1. All Data'!$AA$3:$AA$134,"Improving Local Democracy council",'1. All Data'!$M$3:$M$134,"Off Target")</f>
        <v>0</v>
      </c>
      <c r="K29" s="168" t="e">
        <f>J29/J34</f>
        <v>#DIV/0!</v>
      </c>
      <c r="L29" s="401"/>
      <c r="M29" s="168" t="e">
        <f>J29/J35</f>
        <v>#DIV/0!</v>
      </c>
      <c r="N29" s="402"/>
      <c r="P29" s="171" t="s">
        <v>20</v>
      </c>
      <c r="Q29" s="167">
        <f>COUNTIFS('1. All Data'!$AA$3:$AA$134,"Improving Local Democracy council",'1. All Data'!$R$3:$R$134,"Off Target")</f>
        <v>0</v>
      </c>
      <c r="R29" s="168" t="e">
        <f>Q29/Q34</f>
        <v>#DIV/0!</v>
      </c>
      <c r="S29" s="401"/>
      <c r="T29" s="168" t="e">
        <f>Q29/Q35</f>
        <v>#DIV/0!</v>
      </c>
      <c r="U29" s="402"/>
      <c r="W29" s="171" t="s">
        <v>20</v>
      </c>
      <c r="X29" s="167">
        <f>COUNTIFS('1. All Data'!$AA$3:$AA$134,"Improving Local Democracy council",'1. All Data'!$V$3:$V$134,"Off Target")</f>
        <v>0</v>
      </c>
      <c r="Y29" s="168" t="e">
        <f t="shared" si="3"/>
        <v>#DIV/0!</v>
      </c>
      <c r="Z29" s="401"/>
      <c r="AA29" s="168" t="e">
        <f t="shared" si="2"/>
        <v>#DIV/0!</v>
      </c>
      <c r="AB29" s="402"/>
    </row>
    <row r="30" spans="2:28" ht="15" customHeight="1">
      <c r="B30" s="172" t="s">
        <v>43</v>
      </c>
      <c r="C30" s="167">
        <f>COUNTIFS('1. All Data'!$AA$3:$AA$134,"Improving Local Democracy",'1. All Data'!$H$3:$H$134,"Not yet due")</f>
        <v>6</v>
      </c>
      <c r="D30" s="173">
        <f>C30/C34</f>
        <v>0.31578947368421051</v>
      </c>
      <c r="E30" s="173">
        <f>D30</f>
        <v>0.31578947368421051</v>
      </c>
      <c r="F30" s="174"/>
      <c r="G30" s="58"/>
      <c r="I30" s="172" t="s">
        <v>43</v>
      </c>
      <c r="J30" s="167">
        <f>COUNTIFS('1. All Data'!$AA$3:$AA$134,"Improving Local Democracy council",'1. All Data'!$M$3:$M$134,"Not yet due")</f>
        <v>0</v>
      </c>
      <c r="K30" s="173" t="e">
        <f>J30/J34</f>
        <v>#DIV/0!</v>
      </c>
      <c r="L30" s="173" t="e">
        <f>K30</f>
        <v>#DIV/0!</v>
      </c>
      <c r="M30" s="174"/>
      <c r="N30" s="58"/>
      <c r="P30" s="172" t="s">
        <v>43</v>
      </c>
      <c r="Q30" s="167">
        <f>COUNTIFS('1. All Data'!$AA$3:$AA$134,"Improving Local Democracy council",'1. All Data'!$R$3:$R$134,"Not yet due")</f>
        <v>0</v>
      </c>
      <c r="R30" s="173" t="e">
        <f>Q30/Q34</f>
        <v>#DIV/0!</v>
      </c>
      <c r="S30" s="173" t="e">
        <f>R30</f>
        <v>#DIV/0!</v>
      </c>
      <c r="T30" s="174"/>
      <c r="U30" s="58"/>
      <c r="W30" s="172" t="s">
        <v>43</v>
      </c>
      <c r="X30" s="167">
        <f>COUNTIFS('1. All Data'!$AA$3:$AA$134,"Improving Local Democracy council",'1. All Data'!$V$3:$V$134,"Not yet due")</f>
        <v>0</v>
      </c>
      <c r="Y30" s="168" t="e">
        <f t="shared" si="3"/>
        <v>#DIV/0!</v>
      </c>
      <c r="Z30" s="168" t="e">
        <f>Y30</f>
        <v>#DIV/0!</v>
      </c>
      <c r="AA30" s="174"/>
      <c r="AB30" s="58"/>
    </row>
    <row r="31" spans="2:28" ht="15" customHeight="1">
      <c r="B31" s="172" t="s">
        <v>15</v>
      </c>
      <c r="C31" s="167">
        <f>COUNTIFS('1. All Data'!$AA$3:$AA$134,"Improving Local Democracy",'1. All Data'!$H$3:$H$134,"update not provided")</f>
        <v>0</v>
      </c>
      <c r="D31" s="173">
        <f>C31/C34</f>
        <v>0</v>
      </c>
      <c r="E31" s="173">
        <f>D31</f>
        <v>0</v>
      </c>
      <c r="F31" s="174"/>
      <c r="G31" s="2"/>
      <c r="I31" s="172" t="s">
        <v>15</v>
      </c>
      <c r="J31" s="167">
        <f>COUNTIFS('1. All Data'!$AA$3:$AA$134,"Improving Local Democracy council",'1. All Data'!$M$3:$M$134,"update not provided")</f>
        <v>0</v>
      </c>
      <c r="K31" s="173" t="e">
        <f>J31/J34</f>
        <v>#DIV/0!</v>
      </c>
      <c r="L31" s="173" t="e">
        <f>K31</f>
        <v>#DIV/0!</v>
      </c>
      <c r="M31" s="174"/>
      <c r="N31" s="2"/>
      <c r="P31" s="172" t="s">
        <v>15</v>
      </c>
      <c r="Q31" s="167">
        <f>COUNTIFS('1. All Data'!$AA$3:$AA$134,"Improving Local Democracy council",'1. All Data'!$R$3:$R$134,"update not provided")</f>
        <v>0</v>
      </c>
      <c r="R31" s="173" t="e">
        <f>Q31/Q34</f>
        <v>#DIV/0!</v>
      </c>
      <c r="S31" s="173" t="e">
        <f>R31</f>
        <v>#DIV/0!</v>
      </c>
      <c r="T31" s="174"/>
      <c r="U31" s="2"/>
      <c r="W31" s="172" t="s">
        <v>15</v>
      </c>
      <c r="X31" s="167">
        <f>COUNTIFS('1. All Data'!$AA$3:$AA$134,"Improving Local Democracy council",'1. All Data'!$V$3:$V$134,"update not provided")</f>
        <v>0</v>
      </c>
      <c r="Y31" s="168" t="e">
        <f t="shared" si="3"/>
        <v>#DIV/0!</v>
      </c>
      <c r="Z31" s="168" t="e">
        <f>Y31</f>
        <v>#DIV/0!</v>
      </c>
      <c r="AA31" s="174"/>
      <c r="AB31" s="2"/>
    </row>
    <row r="32" spans="2:28" ht="15.75" customHeight="1">
      <c r="B32" s="175" t="s">
        <v>23</v>
      </c>
      <c r="C32" s="167">
        <f>COUNTIFS('1. All Data'!$AA$3:$AA$134,"Improving Local Democracy",'1. All Data'!$H$3:$H$134,"Deferred")</f>
        <v>0</v>
      </c>
      <c r="D32" s="176">
        <f>C32/C34</f>
        <v>0</v>
      </c>
      <c r="E32" s="176">
        <f>D32</f>
        <v>0</v>
      </c>
      <c r="F32" s="177"/>
      <c r="G32" s="58"/>
      <c r="I32" s="175" t="s">
        <v>23</v>
      </c>
      <c r="J32" s="167">
        <f>COUNTIFS('1. All Data'!$AA$3:$AA$134,"Improving Local Democracy council",'1. All Data'!$M$3:$M$134,"Deferred")</f>
        <v>0</v>
      </c>
      <c r="K32" s="176" t="e">
        <f>J32/J34</f>
        <v>#DIV/0!</v>
      </c>
      <c r="L32" s="176" t="e">
        <f>K32</f>
        <v>#DIV/0!</v>
      </c>
      <c r="M32" s="177"/>
      <c r="N32" s="58"/>
      <c r="P32" s="175" t="s">
        <v>23</v>
      </c>
      <c r="Q32" s="167">
        <f>COUNTIFS('1. All Data'!$AA$3:$AA$134,"Improving Local Democracy council",'1. All Data'!$R$3:$R$134,"Deferred")</f>
        <v>0</v>
      </c>
      <c r="R32" s="176" t="e">
        <f>Q32/Q34</f>
        <v>#DIV/0!</v>
      </c>
      <c r="S32" s="176" t="e">
        <f>R32</f>
        <v>#DIV/0!</v>
      </c>
      <c r="T32" s="177"/>
      <c r="U32" s="58"/>
      <c r="W32" s="175" t="s">
        <v>23</v>
      </c>
      <c r="X32" s="167">
        <f>COUNTIFS('1. All Data'!$AA$3:$AA$134,"Improving Local Democracy8 council",'1. All Data'!$V$3:$V$134,"Deferred")</f>
        <v>0</v>
      </c>
      <c r="Y32" s="168" t="e">
        <f t="shared" si="3"/>
        <v>#DIV/0!</v>
      </c>
      <c r="Z32" s="168" t="e">
        <f>Y32</f>
        <v>#DIV/0!</v>
      </c>
      <c r="AA32" s="177"/>
      <c r="AB32" s="58"/>
    </row>
    <row r="33" spans="2:30" ht="15.75" customHeight="1">
      <c r="B33" s="175" t="s">
        <v>24</v>
      </c>
      <c r="C33" s="167">
        <f>COUNTIFS('1. All Data'!$AA$3:$AA$134,"Improving Local Democracy",'1. All Data'!$H$3:$H$134,"Deleted")</f>
        <v>0</v>
      </c>
      <c r="D33" s="176">
        <f>C33/C34</f>
        <v>0</v>
      </c>
      <c r="E33" s="176">
        <f>D33</f>
        <v>0</v>
      </c>
      <c r="F33" s="177"/>
      <c r="G33" s="3"/>
      <c r="I33" s="175" t="s">
        <v>24</v>
      </c>
      <c r="J33" s="167">
        <f>COUNTIFS('1. All Data'!$AA$3:$AA$134,"Improving Local Democracy council",'1. All Data'!$M$3:$M$134,"Deleted")</f>
        <v>0</v>
      </c>
      <c r="K33" s="176" t="e">
        <f>J33/J34</f>
        <v>#DIV/0!</v>
      </c>
      <c r="L33" s="176" t="e">
        <f>K33</f>
        <v>#DIV/0!</v>
      </c>
      <c r="M33" s="177"/>
      <c r="N33" s="3"/>
      <c r="P33" s="175" t="s">
        <v>24</v>
      </c>
      <c r="Q33" s="167">
        <f>COUNTIFS('1. All Data'!$AA$3:$AA$134,"Improving Local Democracy council",'1. All Data'!$R$3:$R$134,"Deleted")</f>
        <v>0</v>
      </c>
      <c r="R33" s="176" t="e">
        <f>Q33/Q34</f>
        <v>#DIV/0!</v>
      </c>
      <c r="S33" s="176" t="e">
        <f>R33</f>
        <v>#DIV/0!</v>
      </c>
      <c r="T33" s="177"/>
      <c r="U33" s="3"/>
      <c r="W33" s="175" t="s">
        <v>24</v>
      </c>
      <c r="X33" s="167">
        <f>COUNTIFS('1. All Data'!$AA$3:$AA$134,"Improving Local Democracy council",'1. All Data'!$V$3:$V$134,"Deleted")</f>
        <v>0</v>
      </c>
      <c r="Y33" s="168" t="e">
        <f t="shared" si="3"/>
        <v>#DIV/0!</v>
      </c>
      <c r="Z33" s="168" t="e">
        <f>Y33</f>
        <v>#DIV/0!</v>
      </c>
      <c r="AA33" s="177"/>
      <c r="AD33" s="3"/>
    </row>
    <row r="34" spans="2:30" ht="15.75" customHeight="1">
      <c r="B34" s="178" t="s">
        <v>45</v>
      </c>
      <c r="C34" s="179">
        <f>SUM(C23:C33)</f>
        <v>19</v>
      </c>
      <c r="D34" s="177"/>
      <c r="E34" s="177"/>
      <c r="F34" s="58"/>
      <c r="G34" s="58"/>
      <c r="I34" s="178" t="s">
        <v>45</v>
      </c>
      <c r="J34" s="179">
        <f>SUM(J23:J33)</f>
        <v>0</v>
      </c>
      <c r="K34" s="177"/>
      <c r="L34" s="177"/>
      <c r="M34" s="58"/>
      <c r="N34" s="58"/>
      <c r="P34" s="178" t="s">
        <v>45</v>
      </c>
      <c r="Q34" s="179">
        <f>SUM(Q23:Q33)</f>
        <v>0</v>
      </c>
      <c r="R34" s="177"/>
      <c r="S34" s="177"/>
      <c r="T34" s="58"/>
      <c r="U34" s="58"/>
      <c r="W34" s="178" t="s">
        <v>45</v>
      </c>
      <c r="X34" s="179">
        <f>SUM(X23:X33)</f>
        <v>0</v>
      </c>
      <c r="Y34" s="177"/>
      <c r="Z34" s="177"/>
      <c r="AA34" s="58"/>
      <c r="AB34" s="58"/>
    </row>
    <row r="35" spans="2:30" ht="15.75" customHeight="1">
      <c r="B35" s="178" t="s">
        <v>46</v>
      </c>
      <c r="C35" s="179">
        <f>C34-C33-C32-C31-C30</f>
        <v>13</v>
      </c>
      <c r="D35" s="58"/>
      <c r="E35" s="58"/>
      <c r="F35" s="58"/>
      <c r="G35" s="58"/>
      <c r="I35" s="178" t="s">
        <v>46</v>
      </c>
      <c r="J35" s="179">
        <f>J34-J33-J32-J31-J30</f>
        <v>0</v>
      </c>
      <c r="K35" s="58"/>
      <c r="L35" s="58"/>
      <c r="M35" s="58"/>
      <c r="N35" s="58"/>
      <c r="P35" s="178" t="s">
        <v>46</v>
      </c>
      <c r="Q35" s="179">
        <f>Q34-Q33-Q32-Q31-Q30</f>
        <v>0</v>
      </c>
      <c r="R35" s="58"/>
      <c r="S35" s="58"/>
      <c r="T35" s="58"/>
      <c r="U35" s="58"/>
      <c r="W35" s="178" t="s">
        <v>46</v>
      </c>
      <c r="X35" s="179">
        <f>X34-X33-X32-X31-X30</f>
        <v>0</v>
      </c>
      <c r="Y35" s="58"/>
      <c r="Z35" s="58"/>
      <c r="AA35" s="58"/>
      <c r="AB35" s="58"/>
    </row>
    <row r="36" spans="2:30" ht="15.75" hidden="1" customHeight="1">
      <c r="W36" s="185"/>
      <c r="X36" s="165"/>
      <c r="Y36" s="165"/>
      <c r="Z36" s="165"/>
      <c r="AA36" s="58"/>
      <c r="AB36" s="186"/>
    </row>
    <row r="37" spans="2:30" ht="15.75" hidden="1" customHeight="1"/>
    <row r="38" spans="2:30" s="166" customFormat="1" ht="15.75" customHeight="1">
      <c r="B38" s="187"/>
      <c r="C38" s="165"/>
      <c r="D38" s="165"/>
      <c r="E38" s="165"/>
      <c r="F38" s="58"/>
      <c r="G38" s="165"/>
      <c r="H38" s="165"/>
      <c r="I38" s="187"/>
      <c r="J38" s="165"/>
      <c r="K38" s="165"/>
      <c r="L38" s="165"/>
      <c r="M38" s="58"/>
      <c r="N38" s="165"/>
      <c r="O38" s="165"/>
      <c r="P38" s="187"/>
      <c r="Q38" s="165"/>
      <c r="R38" s="165"/>
      <c r="S38" s="165"/>
      <c r="T38" s="58"/>
      <c r="U38" s="165"/>
      <c r="V38" s="165"/>
      <c r="W38" s="165"/>
      <c r="X38" s="165"/>
      <c r="Y38" s="165"/>
      <c r="Z38" s="165"/>
      <c r="AA38" s="165"/>
      <c r="AB38" s="186"/>
    </row>
    <row r="39" spans="2:30" ht="15.75" customHeight="1">
      <c r="B39" s="188" t="s">
        <v>122</v>
      </c>
      <c r="C39" s="189"/>
      <c r="D39" s="189"/>
      <c r="E39" s="189"/>
      <c r="F39" s="190"/>
      <c r="G39" s="191"/>
      <c r="I39" s="188" t="s">
        <v>122</v>
      </c>
      <c r="J39" s="189"/>
      <c r="K39" s="189"/>
      <c r="L39" s="189"/>
      <c r="M39" s="190"/>
      <c r="N39" s="191"/>
      <c r="P39" s="188" t="s">
        <v>122</v>
      </c>
      <c r="Q39" s="189"/>
      <c r="R39" s="189"/>
      <c r="S39" s="189"/>
      <c r="T39" s="190"/>
      <c r="U39" s="191"/>
      <c r="W39" s="188" t="s">
        <v>122</v>
      </c>
      <c r="X39" s="162"/>
      <c r="Y39" s="162"/>
      <c r="Z39" s="162"/>
      <c r="AA39" s="162"/>
      <c r="AB39" s="163"/>
    </row>
    <row r="40" spans="2:30" ht="36" customHeight="1">
      <c r="B40" s="164" t="s">
        <v>36</v>
      </c>
      <c r="C40" s="164" t="s">
        <v>37</v>
      </c>
      <c r="D40" s="164" t="s">
        <v>38</v>
      </c>
      <c r="E40" s="164" t="s">
        <v>39</v>
      </c>
      <c r="F40" s="164" t="s">
        <v>40</v>
      </c>
      <c r="G40" s="164" t="s">
        <v>41</v>
      </c>
      <c r="I40" s="164" t="s">
        <v>36</v>
      </c>
      <c r="J40" s="164" t="s">
        <v>37</v>
      </c>
      <c r="K40" s="164" t="s">
        <v>38</v>
      </c>
      <c r="L40" s="164" t="s">
        <v>39</v>
      </c>
      <c r="M40" s="164" t="s">
        <v>40</v>
      </c>
      <c r="N40" s="164" t="s">
        <v>41</v>
      </c>
      <c r="P40" s="164" t="s">
        <v>36</v>
      </c>
      <c r="Q40" s="164" t="s">
        <v>37</v>
      </c>
      <c r="R40" s="164" t="s">
        <v>38</v>
      </c>
      <c r="S40" s="164" t="s">
        <v>39</v>
      </c>
      <c r="T40" s="164" t="s">
        <v>40</v>
      </c>
      <c r="U40" s="164" t="s">
        <v>41</v>
      </c>
      <c r="W40" s="164" t="s">
        <v>36</v>
      </c>
      <c r="X40" s="164" t="s">
        <v>37</v>
      </c>
      <c r="Y40" s="164" t="s">
        <v>38</v>
      </c>
      <c r="Z40" s="164" t="s">
        <v>39</v>
      </c>
      <c r="AA40" s="164" t="s">
        <v>40</v>
      </c>
      <c r="AB40" s="164" t="s">
        <v>41</v>
      </c>
    </row>
    <row r="41" spans="2:30" ht="18.75" customHeight="1">
      <c r="B41" s="227" t="s">
        <v>42</v>
      </c>
      <c r="C41" s="167">
        <f>COUNTIFS('1. All Data'!$AA$3:$AA$134,"Creating a prosperous East Staffordshire",'1. All Data'!$H$3:$H$134,"Fully Achieved")</f>
        <v>1</v>
      </c>
      <c r="D41" s="168">
        <f>C41/C52</f>
        <v>4.5454545454545456E-2</v>
      </c>
      <c r="E41" s="401">
        <f>D41+D42</f>
        <v>0.77272727272727271</v>
      </c>
      <c r="F41" s="168">
        <f>C41/C53</f>
        <v>5.5555555555555552E-2</v>
      </c>
      <c r="G41" s="403">
        <f>F41+F42</f>
        <v>0.94444444444444442</v>
      </c>
      <c r="I41" s="227" t="s">
        <v>42</v>
      </c>
      <c r="J41" s="167">
        <f>COUNTIFS('1. All Data'!$AA$3:$AA$134,"Creating a prosperous East Staffordshire",'1. All Data'!$M$3:$M$134,"Fully Achieved")</f>
        <v>0</v>
      </c>
      <c r="K41" s="168" t="e">
        <f>J41/J52</f>
        <v>#DIV/0!</v>
      </c>
      <c r="L41" s="401" t="e">
        <f>K41+K42</f>
        <v>#DIV/0!</v>
      </c>
      <c r="M41" s="168" t="e">
        <f>J41/J53</f>
        <v>#DIV/0!</v>
      </c>
      <c r="N41" s="403" t="e">
        <f>M41+M42</f>
        <v>#DIV/0!</v>
      </c>
      <c r="P41" s="227" t="s">
        <v>42</v>
      </c>
      <c r="Q41" s="167">
        <f>COUNTIFS('1. All Data'!$AA$3:$AA$134,"Creating a prosperous East Staffordshire",'1. All Data'!$R$3:$R$134,"Fully Achieved")</f>
        <v>0</v>
      </c>
      <c r="R41" s="168" t="e">
        <f>Q41/Q52</f>
        <v>#DIV/0!</v>
      </c>
      <c r="S41" s="401" t="e">
        <f>R41+R42</f>
        <v>#DIV/0!</v>
      </c>
      <c r="T41" s="168" t="e">
        <f>Q41/Q53</f>
        <v>#DIV/0!</v>
      </c>
      <c r="U41" s="403" t="e">
        <f>T41+T42</f>
        <v>#DIV/0!</v>
      </c>
      <c r="W41" s="227" t="s">
        <v>42</v>
      </c>
      <c r="X41" s="167">
        <f>COUNTIFS('1. All Data'!$AA$3:$AA$134,"Creating a prosperous East Staffordshire",'1. All Data'!$V$3:$V$134,"Fully Achieved")</f>
        <v>0</v>
      </c>
      <c r="Y41" s="168" t="e">
        <f>X41/X52</f>
        <v>#DIV/0!</v>
      </c>
      <c r="Z41" s="401" t="e">
        <f>Y41+Y42</f>
        <v>#DIV/0!</v>
      </c>
      <c r="AA41" s="168" t="e">
        <f>X41/X53</f>
        <v>#DIV/0!</v>
      </c>
      <c r="AB41" s="403" t="e">
        <f>AA41+AA42</f>
        <v>#DIV/0!</v>
      </c>
    </row>
    <row r="42" spans="2:30" ht="18.75" customHeight="1">
      <c r="B42" s="227" t="s">
        <v>25</v>
      </c>
      <c r="C42" s="167">
        <f>COUNTIFS('1. All Data'!$AA$3:$AA$134,"Creating a prosperous East Staffordshire",'1. All Data'!$H$3:$H$134,"On Track to be achieved")</f>
        <v>16</v>
      </c>
      <c r="D42" s="168">
        <f>C42/C52</f>
        <v>0.72727272727272729</v>
      </c>
      <c r="E42" s="401"/>
      <c r="F42" s="168">
        <f>C42/C53</f>
        <v>0.88888888888888884</v>
      </c>
      <c r="G42" s="403"/>
      <c r="I42" s="227" t="s">
        <v>25</v>
      </c>
      <c r="J42" s="167">
        <f>COUNTIFS('1. All Data'!$AA$3:$AA$134,"Creating a prosperous East Staffordshire",'1. All Data'!$M$3:$M$134,"On Track to be achieved")</f>
        <v>0</v>
      </c>
      <c r="K42" s="168" t="e">
        <f>J42/J52</f>
        <v>#DIV/0!</v>
      </c>
      <c r="L42" s="401"/>
      <c r="M42" s="168" t="e">
        <f>J42/J53</f>
        <v>#DIV/0!</v>
      </c>
      <c r="N42" s="403"/>
      <c r="P42" s="227" t="s">
        <v>25</v>
      </c>
      <c r="Q42" s="167">
        <f>COUNTIFS('1. All Data'!$AA$3:$AA$134,"Creating a prosperous East Staffordshire",'1. All Data'!$R$3:$R$134,"On Track to be achieved")</f>
        <v>0</v>
      </c>
      <c r="R42" s="168" t="e">
        <f>Q42/Q52</f>
        <v>#DIV/0!</v>
      </c>
      <c r="S42" s="401"/>
      <c r="T42" s="168" t="e">
        <f>Q42/Q53</f>
        <v>#DIV/0!</v>
      </c>
      <c r="U42" s="403"/>
      <c r="W42" s="227" t="s">
        <v>17</v>
      </c>
      <c r="X42" s="167">
        <f>COUNTIFS('1. All Data'!$AA$3:$AA$134,"Creating a prosperous East Staffordshire",'1. All Data'!$V$3:$V$134,"Numerical Outturn Within 5% Tolerance")</f>
        <v>0</v>
      </c>
      <c r="Y42" s="168" t="e">
        <f>X42/X52</f>
        <v>#DIV/0!</v>
      </c>
      <c r="Z42" s="401"/>
      <c r="AA42" s="168" t="e">
        <f>X42/X53</f>
        <v>#DIV/0!</v>
      </c>
      <c r="AB42" s="403"/>
    </row>
    <row r="43" spans="2:30" ht="19.5" customHeight="1">
      <c r="B43" s="411" t="s">
        <v>26</v>
      </c>
      <c r="C43" s="414">
        <f>COUNTIFS('1. All Data'!$AA$3:$AA$134,"Creating a prosperous East Staffordshire",'1. All Data'!$H$3:$H$134,"In Danger of Falling Behind Target")</f>
        <v>1</v>
      </c>
      <c r="D43" s="404">
        <f>C43/C52</f>
        <v>4.5454545454545456E-2</v>
      </c>
      <c r="E43" s="404">
        <f>D43</f>
        <v>4.5454545454545456E-2</v>
      </c>
      <c r="F43" s="404">
        <f>C43/C53</f>
        <v>5.5555555555555552E-2</v>
      </c>
      <c r="G43" s="407">
        <f>F43</f>
        <v>5.5555555555555552E-2</v>
      </c>
      <c r="I43" s="411" t="s">
        <v>26</v>
      </c>
      <c r="J43" s="414">
        <f>COUNTIFS('1. All Data'!$AA$3:$AA$134,"Creating a prosperous East Staffordshire",'1. All Data'!$M$3:$M$134,"In Danger of Falling Behind Target")</f>
        <v>0</v>
      </c>
      <c r="K43" s="404" t="e">
        <f>J43/J52</f>
        <v>#DIV/0!</v>
      </c>
      <c r="L43" s="404" t="e">
        <f>K43</f>
        <v>#DIV/0!</v>
      </c>
      <c r="M43" s="404" t="e">
        <f>J43/J53</f>
        <v>#DIV/0!</v>
      </c>
      <c r="N43" s="407" t="e">
        <f>M43</f>
        <v>#DIV/0!</v>
      </c>
      <c r="P43" s="411" t="s">
        <v>26</v>
      </c>
      <c r="Q43" s="414">
        <f>COUNTIFS('1. All Data'!$AA$3:$AA$134,"Creating a prosperous East Staffordshire",'1. All Data'!$R$3:$R$134,"In Danger of Falling Behind Target")</f>
        <v>0</v>
      </c>
      <c r="R43" s="404" t="e">
        <f>Q43/Q52</f>
        <v>#DIV/0!</v>
      </c>
      <c r="S43" s="404" t="e">
        <f>R43</f>
        <v>#DIV/0!</v>
      </c>
      <c r="T43" s="404" t="e">
        <f>Q43/Q53</f>
        <v>#DIV/0!</v>
      </c>
      <c r="U43" s="407" t="e">
        <f>T43</f>
        <v>#DIV/0!</v>
      </c>
      <c r="W43" s="169" t="s">
        <v>18</v>
      </c>
      <c r="X43" s="170">
        <f>COUNTIFS('1. All Data'!$AA$3:$AA$134,"Creating a prosperous East Staffordshire",'1. All Data'!$V$3:$V$134,"Numerical Outturn Within 10% Tolerance")</f>
        <v>0</v>
      </c>
      <c r="Y43" s="168" t="e">
        <f>X43/X52</f>
        <v>#DIV/0!</v>
      </c>
      <c r="Z43" s="401" t="e">
        <f>SUM(Y43:Y45)</f>
        <v>#DIV/0!</v>
      </c>
      <c r="AA43" s="168" t="e">
        <f>X43/X53</f>
        <v>#DIV/0!</v>
      </c>
      <c r="AB43" s="410" t="e">
        <f>SUM(AA43:AA45)</f>
        <v>#DIV/0!</v>
      </c>
    </row>
    <row r="44" spans="2:30" ht="19.5" customHeight="1">
      <c r="B44" s="412"/>
      <c r="C44" s="415"/>
      <c r="D44" s="405"/>
      <c r="E44" s="405"/>
      <c r="F44" s="405"/>
      <c r="G44" s="408"/>
      <c r="I44" s="412"/>
      <c r="J44" s="415"/>
      <c r="K44" s="405"/>
      <c r="L44" s="405"/>
      <c r="M44" s="405"/>
      <c r="N44" s="408"/>
      <c r="P44" s="412"/>
      <c r="Q44" s="415"/>
      <c r="R44" s="405"/>
      <c r="S44" s="405"/>
      <c r="T44" s="405"/>
      <c r="U44" s="408"/>
      <c r="W44" s="169" t="s">
        <v>19</v>
      </c>
      <c r="X44" s="170">
        <f>COUNTIFS('1. All Data'!$AA$3:$AA$134,"Creating a prosperous East Staffordshire",'1. All Data'!$V$3:$V$134,"Target Partially Met")</f>
        <v>0</v>
      </c>
      <c r="Y44" s="168" t="e">
        <f>X44/X52</f>
        <v>#DIV/0!</v>
      </c>
      <c r="Z44" s="401"/>
      <c r="AA44" s="168" t="e">
        <f>X44/X53</f>
        <v>#DIV/0!</v>
      </c>
      <c r="AB44" s="410"/>
    </row>
    <row r="45" spans="2:30" ht="19.5" customHeight="1">
      <c r="B45" s="413"/>
      <c r="C45" s="416"/>
      <c r="D45" s="406"/>
      <c r="E45" s="406"/>
      <c r="F45" s="406"/>
      <c r="G45" s="409"/>
      <c r="I45" s="413"/>
      <c r="J45" s="416"/>
      <c r="K45" s="406"/>
      <c r="L45" s="406"/>
      <c r="M45" s="406"/>
      <c r="N45" s="409"/>
      <c r="P45" s="413"/>
      <c r="Q45" s="416"/>
      <c r="R45" s="406"/>
      <c r="S45" s="406"/>
      <c r="T45" s="406"/>
      <c r="U45" s="409"/>
      <c r="W45" s="169" t="s">
        <v>22</v>
      </c>
      <c r="X45" s="170">
        <f>COUNTIFS('1. All Data'!$AA$3:$AA$134,"Creating a prosperous East Staffordshire",'1. All Data'!$V$3:$V$134,"Completion Date Within Reasonable Tolerance")</f>
        <v>0</v>
      </c>
      <c r="Y45" s="168" t="e">
        <f>X45/X52</f>
        <v>#DIV/0!</v>
      </c>
      <c r="Z45" s="401"/>
      <c r="AA45" s="168" t="e">
        <f>X45/X53</f>
        <v>#DIV/0!</v>
      </c>
      <c r="AB45" s="410"/>
    </row>
    <row r="46" spans="2:30" ht="22.5" customHeight="1">
      <c r="B46" s="171" t="s">
        <v>27</v>
      </c>
      <c r="C46" s="167">
        <f>COUNTIFS('1. All Data'!$AA$3:$AA$134,"Creating a prosperous East Staffordshire",'1. All Data'!$H$3:$H$134,"Completed Behind Schedule")</f>
        <v>0</v>
      </c>
      <c r="D46" s="168">
        <f>C46/C52</f>
        <v>0</v>
      </c>
      <c r="E46" s="401">
        <f>D46+D47</f>
        <v>0</v>
      </c>
      <c r="F46" s="168">
        <f>C46/C53</f>
        <v>0</v>
      </c>
      <c r="G46" s="402">
        <f>F46+F47</f>
        <v>0</v>
      </c>
      <c r="I46" s="171" t="s">
        <v>27</v>
      </c>
      <c r="J46" s="167">
        <f>COUNTIFS('1. All Data'!$AA$3:$AA$134,"Creating a prosperous East Staffordshire",'1. All Data'!$M$3:$M$134,"Completed Behind Schedule")</f>
        <v>0</v>
      </c>
      <c r="K46" s="168" t="e">
        <f>J46/J52</f>
        <v>#DIV/0!</v>
      </c>
      <c r="L46" s="401" t="e">
        <f>K46+K47</f>
        <v>#DIV/0!</v>
      </c>
      <c r="M46" s="168" t="e">
        <f>J46/J53</f>
        <v>#DIV/0!</v>
      </c>
      <c r="N46" s="402" t="e">
        <f>M46+M47</f>
        <v>#DIV/0!</v>
      </c>
      <c r="P46" s="171" t="s">
        <v>27</v>
      </c>
      <c r="Q46" s="167">
        <f>COUNTIFS('1. All Data'!$AA$3:$AA$134,"Creating a prosperous East Staffordshire",'1. All Data'!$R$3:$R$134,"Completed Behind Schedule")</f>
        <v>0</v>
      </c>
      <c r="R46" s="168" t="e">
        <f>Q46/Q52</f>
        <v>#DIV/0!</v>
      </c>
      <c r="S46" s="401" t="e">
        <f>R46+R47</f>
        <v>#DIV/0!</v>
      </c>
      <c r="T46" s="168" t="e">
        <f>Q46/Q53</f>
        <v>#DIV/0!</v>
      </c>
      <c r="U46" s="402" t="e">
        <f>T46+T47</f>
        <v>#DIV/0!</v>
      </c>
      <c r="W46" s="171" t="s">
        <v>21</v>
      </c>
      <c r="X46" s="167">
        <f>COUNTIFS('1. All Data'!$AA$3:$AA$134,"Creating a prosperous East Staffordshire",'1. All Data'!$V$3:$V$134,"Completed Significantly After Target Deadline")</f>
        <v>0</v>
      </c>
      <c r="Y46" s="168" t="e">
        <f>X46/X52</f>
        <v>#DIV/0!</v>
      </c>
      <c r="Z46" s="401" t="e">
        <f>SUM(Y46:Y47)</f>
        <v>#DIV/0!</v>
      </c>
      <c r="AA46" s="168" t="e">
        <f>X46/X53</f>
        <v>#DIV/0!</v>
      </c>
      <c r="AB46" s="402" t="e">
        <f>AA46+AA47</f>
        <v>#DIV/0!</v>
      </c>
    </row>
    <row r="47" spans="2:30" ht="22.5" customHeight="1">
      <c r="B47" s="171" t="s">
        <v>20</v>
      </c>
      <c r="C47" s="167">
        <f>COUNTIFS('1. All Data'!$AA$3:$AA$134,"Creating a prosperous East Staffordshire",'1. All Data'!$H$3:$H$134,"Off Target")</f>
        <v>0</v>
      </c>
      <c r="D47" s="168">
        <f>C47/C52</f>
        <v>0</v>
      </c>
      <c r="E47" s="401"/>
      <c r="F47" s="168">
        <f>C47/C53</f>
        <v>0</v>
      </c>
      <c r="G47" s="402"/>
      <c r="I47" s="171" t="s">
        <v>20</v>
      </c>
      <c r="J47" s="167">
        <f>COUNTIFS('1. All Data'!$AA$3:$AA$134,"Creating a prosperous East Staffordshire",'1. All Data'!$M$3:$M$134,"Off Target")</f>
        <v>0</v>
      </c>
      <c r="K47" s="168" t="e">
        <f>J47/J52</f>
        <v>#DIV/0!</v>
      </c>
      <c r="L47" s="401"/>
      <c r="M47" s="168" t="e">
        <f>J47/J53</f>
        <v>#DIV/0!</v>
      </c>
      <c r="N47" s="402"/>
      <c r="P47" s="171" t="s">
        <v>20</v>
      </c>
      <c r="Q47" s="167">
        <f>COUNTIFS('1. All Data'!$AA$3:$AA$134,"Creating a prosperous East Staffordshire",'1. All Data'!$R$3:$R$134,"Off Target")</f>
        <v>0</v>
      </c>
      <c r="R47" s="168" t="e">
        <f>Q47/Q52</f>
        <v>#DIV/0!</v>
      </c>
      <c r="S47" s="401"/>
      <c r="T47" s="168" t="e">
        <f>Q47/Q53</f>
        <v>#DIV/0!</v>
      </c>
      <c r="U47" s="402"/>
      <c r="W47" s="171" t="s">
        <v>20</v>
      </c>
      <c r="X47" s="167">
        <f>COUNTIFS('1. All Data'!$AA$3:$AA$134,"Creating a prosperous East Staffordshire",'1. All Data'!$V$3:$V$134,"Off Target")</f>
        <v>0</v>
      </c>
      <c r="Y47" s="168" t="e">
        <f>X47/X52</f>
        <v>#DIV/0!</v>
      </c>
      <c r="Z47" s="401"/>
      <c r="AA47" s="168" t="e">
        <f>X47/X53</f>
        <v>#DIV/0!</v>
      </c>
      <c r="AB47" s="402"/>
    </row>
    <row r="48" spans="2:30" ht="15.75" customHeight="1">
      <c r="B48" s="172" t="s">
        <v>43</v>
      </c>
      <c r="C48" s="167">
        <f>COUNTIFS('1. All Data'!$AA$3:$AA$134,"Creating a prosperous East Staffordshire",'1. All Data'!$H$3:$H$134,"Not yet due")</f>
        <v>4</v>
      </c>
      <c r="D48" s="173">
        <f>C48/C52</f>
        <v>0.18181818181818182</v>
      </c>
      <c r="E48" s="173">
        <f>D48</f>
        <v>0.18181818181818182</v>
      </c>
      <c r="F48" s="174"/>
      <c r="G48" s="58"/>
      <c r="I48" s="172" t="s">
        <v>43</v>
      </c>
      <c r="J48" s="167">
        <f>COUNTIFS('1. All Data'!$AA$3:$AA$134,"Creating a prosperous East Staffordshire",'1. All Data'!$M$3:$M$134,"Not yet due")</f>
        <v>0</v>
      </c>
      <c r="K48" s="173" t="e">
        <f>J48/J52</f>
        <v>#DIV/0!</v>
      </c>
      <c r="L48" s="173" t="e">
        <f>K48</f>
        <v>#DIV/0!</v>
      </c>
      <c r="M48" s="174"/>
      <c r="N48" s="58"/>
      <c r="P48" s="172" t="s">
        <v>43</v>
      </c>
      <c r="Q48" s="167">
        <f>COUNTIFS('1. All Data'!$AA$3:$AA$134,"Creating a prosperous East Staffordshire",'1. All Data'!$R$3:$R$134,"Not yet due")</f>
        <v>0</v>
      </c>
      <c r="R48" s="173" t="e">
        <f>Q48/Q52</f>
        <v>#DIV/0!</v>
      </c>
      <c r="S48" s="173" t="e">
        <f>R48</f>
        <v>#DIV/0!</v>
      </c>
      <c r="T48" s="174"/>
      <c r="U48" s="58"/>
      <c r="W48" s="172" t="s">
        <v>43</v>
      </c>
      <c r="X48" s="167">
        <f>COUNTIFS('1. All Data'!$AA$3:$AA$134,"Creating a prosperous East Staffordshire",'1. All Data'!$V$3:$V$134,"Not yet due")</f>
        <v>0</v>
      </c>
      <c r="Y48" s="168" t="e">
        <f>X48/X52</f>
        <v>#DIV/0!</v>
      </c>
      <c r="Z48" s="168" t="e">
        <f>Y48</f>
        <v>#DIV/0!</v>
      </c>
      <c r="AA48" s="174"/>
      <c r="AB48" s="58"/>
    </row>
    <row r="49" spans="2:30" ht="15.75" customHeight="1">
      <c r="B49" s="172" t="s">
        <v>15</v>
      </c>
      <c r="C49" s="167">
        <f>COUNTIFS('1. All Data'!$AA$3:$AA$134,"Creating a prosperous East Staffordshire",'1. All Data'!$H$3:$H$134,"update not provided")</f>
        <v>0</v>
      </c>
      <c r="D49" s="173">
        <f>C49/C52</f>
        <v>0</v>
      </c>
      <c r="E49" s="173">
        <f>D49</f>
        <v>0</v>
      </c>
      <c r="F49" s="174"/>
      <c r="G49" s="2"/>
      <c r="I49" s="172" t="s">
        <v>15</v>
      </c>
      <c r="J49" s="167">
        <f>COUNTIFS('1. All Data'!$AA$3:$AA$134,"Creating a prosperous East Staffordshire",'1. All Data'!$M$3:$M$134,"update not provided")</f>
        <v>0</v>
      </c>
      <c r="K49" s="173" t="e">
        <f>J49/J52</f>
        <v>#DIV/0!</v>
      </c>
      <c r="L49" s="173" t="e">
        <f>K49</f>
        <v>#DIV/0!</v>
      </c>
      <c r="M49" s="174"/>
      <c r="N49" s="2"/>
      <c r="P49" s="172" t="s">
        <v>15</v>
      </c>
      <c r="Q49" s="167">
        <f>COUNTIFS('1. All Data'!$AA$3:$AA$134,"Creating a prosperous East Staffordshire",'1. All Data'!$R$3:$R$134,"update not provided")</f>
        <v>0</v>
      </c>
      <c r="R49" s="173" t="e">
        <f>Q49/Q52</f>
        <v>#DIV/0!</v>
      </c>
      <c r="S49" s="173" t="e">
        <f>R49</f>
        <v>#DIV/0!</v>
      </c>
      <c r="T49" s="174"/>
      <c r="U49" s="2"/>
      <c r="W49" s="172" t="s">
        <v>15</v>
      </c>
      <c r="X49" s="167">
        <f>COUNTIFS('1. All Data'!$AA$3:$AA$134,"Creating a prosperous East Staffordshire",'1. All Data'!$V$3:$V$134,"update not provided")</f>
        <v>0</v>
      </c>
      <c r="Y49" s="168" t="e">
        <f>X49/X52</f>
        <v>#DIV/0!</v>
      </c>
      <c r="Z49" s="168" t="e">
        <f>Y49</f>
        <v>#DIV/0!</v>
      </c>
      <c r="AA49" s="174"/>
      <c r="AB49" s="2"/>
    </row>
    <row r="50" spans="2:30" ht="15.75" customHeight="1">
      <c r="B50" s="175" t="s">
        <v>23</v>
      </c>
      <c r="C50" s="167">
        <f>COUNTIFS('1. All Data'!$AA$3:$AA$134,"Creating a prosperous East Staffordshire",'1. All Data'!$H$3:$H$134,"Deferred")</f>
        <v>0</v>
      </c>
      <c r="D50" s="176">
        <f>C50/C52</f>
        <v>0</v>
      </c>
      <c r="E50" s="176">
        <f>D50</f>
        <v>0</v>
      </c>
      <c r="F50" s="177"/>
      <c r="G50" s="58"/>
      <c r="I50" s="175" t="s">
        <v>23</v>
      </c>
      <c r="J50" s="167">
        <f>COUNTIFS('1. All Data'!$AA$3:$AA$134,"Creating a prosperous East Staffordshire",'1. All Data'!$M$3:$M$134,"Deferred")</f>
        <v>0</v>
      </c>
      <c r="K50" s="176" t="e">
        <f>J50/J52</f>
        <v>#DIV/0!</v>
      </c>
      <c r="L50" s="176" t="e">
        <f>K50</f>
        <v>#DIV/0!</v>
      </c>
      <c r="M50" s="177"/>
      <c r="N50" s="58"/>
      <c r="P50" s="175" t="s">
        <v>23</v>
      </c>
      <c r="Q50" s="167">
        <f>COUNTIFS('1. All Data'!$AA$3:$AA$134,"Creating a prosperous East Staffordshire",'1. All Data'!$R$3:$R$134,"Deferred")</f>
        <v>0</v>
      </c>
      <c r="R50" s="176" t="e">
        <f>Q50/Q52</f>
        <v>#DIV/0!</v>
      </c>
      <c r="S50" s="176" t="e">
        <f>R50</f>
        <v>#DIV/0!</v>
      </c>
      <c r="T50" s="177"/>
      <c r="U50" s="58"/>
      <c r="W50" s="175" t="s">
        <v>23</v>
      </c>
      <c r="X50" s="167">
        <f>COUNTIFS('1. All Data'!$AA$3:$AA$134,"Creating a prosperous East Staffordshire",'1. All Data'!$V$3:$V$134,"Deferred")</f>
        <v>0</v>
      </c>
      <c r="Y50" s="168" t="e">
        <f>X50/X52</f>
        <v>#DIV/0!</v>
      </c>
      <c r="Z50" s="168" t="e">
        <f>Y50</f>
        <v>#DIV/0!</v>
      </c>
      <c r="AA50" s="177"/>
      <c r="AB50" s="58"/>
    </row>
    <row r="51" spans="2:30" ht="15.75" customHeight="1">
      <c r="B51" s="175" t="s">
        <v>24</v>
      </c>
      <c r="C51" s="192">
        <f>COUNTIFS('1. All Data'!$AA$3:$AA$134,"Creating a prosperous East Staffordshire",'1. All Data'!$H$3:$H$134,"Deleted")</f>
        <v>0</v>
      </c>
      <c r="D51" s="176">
        <f>C51/C52</f>
        <v>0</v>
      </c>
      <c r="E51" s="176">
        <f>D51</f>
        <v>0</v>
      </c>
      <c r="F51" s="177"/>
      <c r="G51" s="3"/>
      <c r="I51" s="175" t="s">
        <v>24</v>
      </c>
      <c r="J51" s="192">
        <f>COUNTIFS('1. All Data'!$AA$3:$AA$134,"Creating a prosperous East Staffordshire",'1. All Data'!$M$3:$M$134,"Deleted")</f>
        <v>0</v>
      </c>
      <c r="K51" s="176" t="e">
        <f>J51/J52</f>
        <v>#DIV/0!</v>
      </c>
      <c r="L51" s="176" t="e">
        <f>K51</f>
        <v>#DIV/0!</v>
      </c>
      <c r="M51" s="177"/>
      <c r="N51" s="3"/>
      <c r="P51" s="175" t="s">
        <v>24</v>
      </c>
      <c r="Q51" s="192">
        <f>COUNTIFS('1. All Data'!$AA$3:$AA$134,"Creating a prosperous East Staffordshire",'1. All Data'!$R$3:$R$134,"Deleted")</f>
        <v>0</v>
      </c>
      <c r="R51" s="176" t="e">
        <f>Q51/Q52</f>
        <v>#DIV/0!</v>
      </c>
      <c r="S51" s="176" t="e">
        <f>R51</f>
        <v>#DIV/0!</v>
      </c>
      <c r="T51" s="177"/>
      <c r="U51" s="3"/>
      <c r="W51" s="175" t="s">
        <v>24</v>
      </c>
      <c r="X51" s="167">
        <f>COUNTIFS('1. All Data'!$AA$3:$AA$134,"Creating a prosperous East Staffordshire",'1. All Data'!$V$3:$V$134,"Deleted")</f>
        <v>0</v>
      </c>
      <c r="Y51" s="168" t="e">
        <f>X51/X52</f>
        <v>#DIV/0!</v>
      </c>
      <c r="Z51" s="168" t="e">
        <f>Y51</f>
        <v>#DIV/0!</v>
      </c>
      <c r="AA51" s="177"/>
      <c r="AD51" s="3"/>
    </row>
    <row r="52" spans="2:30" ht="15.75" customHeight="1">
      <c r="B52" s="193" t="s">
        <v>45</v>
      </c>
      <c r="C52" s="179">
        <f>SUM(C41:C51)</f>
        <v>22</v>
      </c>
      <c r="D52" s="177"/>
      <c r="E52" s="177"/>
      <c r="F52" s="58"/>
      <c r="G52" s="58"/>
      <c r="I52" s="193" t="s">
        <v>45</v>
      </c>
      <c r="J52" s="179">
        <f>SUM(J41:J51)</f>
        <v>0</v>
      </c>
      <c r="K52" s="177"/>
      <c r="L52" s="177"/>
      <c r="M52" s="58"/>
      <c r="N52" s="58"/>
      <c r="P52" s="193" t="s">
        <v>45</v>
      </c>
      <c r="Q52" s="179">
        <f>SUM(Q41:Q51)</f>
        <v>0</v>
      </c>
      <c r="R52" s="177"/>
      <c r="S52" s="177"/>
      <c r="T52" s="58"/>
      <c r="U52" s="58"/>
      <c r="W52" s="178" t="s">
        <v>45</v>
      </c>
      <c r="X52" s="179">
        <f>SUM(X41:X51)</f>
        <v>0</v>
      </c>
      <c r="Y52" s="177"/>
      <c r="Z52" s="177"/>
      <c r="AA52" s="58"/>
      <c r="AB52" s="58"/>
    </row>
    <row r="53" spans="2:30" ht="15.75" customHeight="1">
      <c r="B53" s="193" t="s">
        <v>46</v>
      </c>
      <c r="C53" s="179">
        <f>C52-C51-C50-C49-C48</f>
        <v>18</v>
      </c>
      <c r="D53" s="58"/>
      <c r="E53" s="58"/>
      <c r="F53" s="58"/>
      <c r="G53" s="58"/>
      <c r="I53" s="193" t="s">
        <v>46</v>
      </c>
      <c r="J53" s="179">
        <f>J52-J51-J50-J49-J48</f>
        <v>0</v>
      </c>
      <c r="K53" s="58"/>
      <c r="L53" s="58"/>
      <c r="M53" s="58"/>
      <c r="N53" s="58"/>
      <c r="P53" s="193" t="s">
        <v>46</v>
      </c>
      <c r="Q53" s="179">
        <f>Q52-Q51-Q50-Q49-Q48</f>
        <v>0</v>
      </c>
      <c r="R53" s="58"/>
      <c r="S53" s="58"/>
      <c r="T53" s="58"/>
      <c r="U53" s="58"/>
      <c r="W53" s="178" t="s">
        <v>46</v>
      </c>
      <c r="X53" s="179">
        <f>X52-X51-X50-X49-X48</f>
        <v>0</v>
      </c>
      <c r="Y53" s="58"/>
      <c r="Z53" s="58"/>
      <c r="AA53" s="58"/>
      <c r="AB53" s="58"/>
    </row>
    <row r="54" spans="2:30" ht="15.75" hidden="1" customHeight="1">
      <c r="X54" s="194"/>
    </row>
    <row r="55" spans="2:30" ht="15.75" hidden="1" customHeight="1">
      <c r="X55" s="194"/>
    </row>
    <row r="56" spans="2:30" ht="15.75" customHeight="1">
      <c r="X56" s="194"/>
    </row>
    <row r="57" spans="2:30" ht="15.75" customHeight="1">
      <c r="B57" s="188" t="s">
        <v>123</v>
      </c>
      <c r="C57" s="189"/>
      <c r="D57" s="189"/>
      <c r="E57" s="189"/>
      <c r="F57" s="190"/>
      <c r="G57" s="191"/>
      <c r="I57" s="188" t="s">
        <v>123</v>
      </c>
      <c r="J57" s="189"/>
      <c r="K57" s="189"/>
      <c r="L57" s="189"/>
      <c r="M57" s="190"/>
      <c r="N57" s="191"/>
      <c r="P57" s="188" t="s">
        <v>123</v>
      </c>
      <c r="Q57" s="189"/>
      <c r="R57" s="189"/>
      <c r="S57" s="189"/>
      <c r="T57" s="190"/>
      <c r="U57" s="191"/>
      <c r="W57" s="188" t="s">
        <v>123</v>
      </c>
      <c r="X57" s="195"/>
      <c r="Y57" s="162"/>
      <c r="Z57" s="162"/>
      <c r="AA57" s="162"/>
      <c r="AB57" s="163"/>
    </row>
    <row r="58" spans="2:30" ht="41.25" customHeight="1">
      <c r="B58" s="164" t="s">
        <v>36</v>
      </c>
      <c r="C58" s="164" t="s">
        <v>37</v>
      </c>
      <c r="D58" s="164" t="s">
        <v>38</v>
      </c>
      <c r="E58" s="164" t="s">
        <v>39</v>
      </c>
      <c r="F58" s="164" t="s">
        <v>40</v>
      </c>
      <c r="G58" s="164" t="s">
        <v>41</v>
      </c>
      <c r="I58" s="164" t="s">
        <v>36</v>
      </c>
      <c r="J58" s="164" t="s">
        <v>37</v>
      </c>
      <c r="K58" s="164" t="s">
        <v>38</v>
      </c>
      <c r="L58" s="164" t="s">
        <v>39</v>
      </c>
      <c r="M58" s="164" t="s">
        <v>40</v>
      </c>
      <c r="N58" s="164" t="s">
        <v>41</v>
      </c>
      <c r="P58" s="164" t="s">
        <v>36</v>
      </c>
      <c r="Q58" s="164" t="s">
        <v>37</v>
      </c>
      <c r="R58" s="164" t="s">
        <v>38</v>
      </c>
      <c r="S58" s="164" t="s">
        <v>39</v>
      </c>
      <c r="T58" s="164" t="s">
        <v>40</v>
      </c>
      <c r="U58" s="164" t="s">
        <v>41</v>
      </c>
      <c r="W58" s="164" t="s">
        <v>36</v>
      </c>
      <c r="X58" s="164" t="s">
        <v>37</v>
      </c>
      <c r="Y58" s="164" t="s">
        <v>38</v>
      </c>
      <c r="Z58" s="164" t="s">
        <v>39</v>
      </c>
      <c r="AA58" s="164" t="s">
        <v>40</v>
      </c>
      <c r="AB58" s="164" t="s">
        <v>41</v>
      </c>
    </row>
    <row r="59" spans="2:30" ht="27.75" customHeight="1">
      <c r="B59" s="227" t="s">
        <v>42</v>
      </c>
      <c r="C59" s="167">
        <f>COUNTIFS('1. All Data'!$AA$3:$AA$134,"Developing a Green New Deal for East Staffordshire",'1. All Data'!$H$3:$H$134,"Fully Achieved")</f>
        <v>1</v>
      </c>
      <c r="D59" s="168">
        <f>C59/C70</f>
        <v>4.3478260869565216E-2</v>
      </c>
      <c r="E59" s="401">
        <f>D59+D60</f>
        <v>0.65217391304347827</v>
      </c>
      <c r="F59" s="168">
        <f>C59/C71</f>
        <v>6.6666666666666666E-2</v>
      </c>
      <c r="G59" s="403">
        <f>F59+F60</f>
        <v>1</v>
      </c>
      <c r="I59" s="227" t="s">
        <v>42</v>
      </c>
      <c r="J59" s="167">
        <f>COUNTIFS('1. All Data'!$AA$3:$AA$134,"Developing a Green New Deal for East Staffordshire",'1. All Data'!$M$3:$M$134,"Fully Achieved")</f>
        <v>0</v>
      </c>
      <c r="K59" s="168" t="e">
        <f>J59/J70</f>
        <v>#DIV/0!</v>
      </c>
      <c r="L59" s="401" t="e">
        <f>K59+K60</f>
        <v>#DIV/0!</v>
      </c>
      <c r="M59" s="168" t="e">
        <f>J59/J71</f>
        <v>#DIV/0!</v>
      </c>
      <c r="N59" s="403" t="e">
        <f>M59+M60</f>
        <v>#DIV/0!</v>
      </c>
      <c r="P59" s="227" t="s">
        <v>42</v>
      </c>
      <c r="Q59" s="167">
        <f>COUNTIFS('1. All Data'!$AA$3:$AA$134,"Developing a Green New Deal for East Staffordshire",'1. All Data'!$R$3:$R$134,"Fully Achieved")</f>
        <v>0</v>
      </c>
      <c r="R59" s="168" t="e">
        <f>Q59/Q70</f>
        <v>#DIV/0!</v>
      </c>
      <c r="S59" s="401" t="e">
        <f>R59+R60</f>
        <v>#DIV/0!</v>
      </c>
      <c r="T59" s="168" t="e">
        <f>Q59/Q71</f>
        <v>#DIV/0!</v>
      </c>
      <c r="U59" s="403" t="e">
        <f>T59+T60</f>
        <v>#DIV/0!</v>
      </c>
      <c r="W59" s="227" t="s">
        <v>42</v>
      </c>
      <c r="X59" s="167">
        <f>COUNTIFS('1. All Data'!$AA$3:$AA$134,"Developing a Green New Deal for East Staffordshire",'1. All Data'!$V$3:$V$134,"Fully Achieved")</f>
        <v>0</v>
      </c>
      <c r="Y59" s="168" t="e">
        <f>X59/X70</f>
        <v>#DIV/0!</v>
      </c>
      <c r="Z59" s="401" t="e">
        <f>Y59+Y60</f>
        <v>#DIV/0!</v>
      </c>
      <c r="AA59" s="168" t="e">
        <f>X59/X71</f>
        <v>#DIV/0!</v>
      </c>
      <c r="AB59" s="403" t="e">
        <f>AA59+AA60</f>
        <v>#DIV/0!</v>
      </c>
    </row>
    <row r="60" spans="2:30" ht="27.75" customHeight="1">
      <c r="B60" s="227" t="s">
        <v>25</v>
      </c>
      <c r="C60" s="167">
        <f>COUNTIFS('1. All Data'!$AA$3:$AA$134,"Developing a Green New Deal for East Staffordshire",'1. All Data'!$H$3:$H$134,"On Track to be achieved")</f>
        <v>14</v>
      </c>
      <c r="D60" s="168">
        <f>C60/C70</f>
        <v>0.60869565217391308</v>
      </c>
      <c r="E60" s="401"/>
      <c r="F60" s="168">
        <f>C60/C71</f>
        <v>0.93333333333333335</v>
      </c>
      <c r="G60" s="403"/>
      <c r="I60" s="227" t="s">
        <v>25</v>
      </c>
      <c r="J60" s="167">
        <f>COUNTIFS('1. All Data'!$AA$3:$AA$134,"Developing a Green New Deal for East Staffordshire",'1. All Data'!$M$3:$M$134,"On Track to be achieved")</f>
        <v>0</v>
      </c>
      <c r="K60" s="168" t="e">
        <f>J60/J70</f>
        <v>#DIV/0!</v>
      </c>
      <c r="L60" s="401"/>
      <c r="M60" s="168" t="e">
        <f>J60/J71</f>
        <v>#DIV/0!</v>
      </c>
      <c r="N60" s="403"/>
      <c r="P60" s="227" t="s">
        <v>25</v>
      </c>
      <c r="Q60" s="167">
        <f>COUNTIFS('1. All Data'!$AA$3:$AA$134,"Developing a Green New Deal for East Staffordshire",'1. All Data'!$R$3:$R$134,"On Track to be achieved")</f>
        <v>0</v>
      </c>
      <c r="R60" s="168" t="e">
        <f>Q60/Q70</f>
        <v>#DIV/0!</v>
      </c>
      <c r="S60" s="401"/>
      <c r="T60" s="168" t="e">
        <f>Q60/Q71</f>
        <v>#DIV/0!</v>
      </c>
      <c r="U60" s="403"/>
      <c r="W60" s="227" t="s">
        <v>17</v>
      </c>
      <c r="X60" s="167">
        <f>COUNTIFS('1. All Data'!$AA$3:$AA$134,"Developing a Green New Deal for East Staffordshire",'1. All Data'!$V$3:$V$134,"Numerical Outturn Within 5% Tolerance")</f>
        <v>0</v>
      </c>
      <c r="Y60" s="168" t="e">
        <f>X60/X70</f>
        <v>#DIV/0!</v>
      </c>
      <c r="Z60" s="401"/>
      <c r="AA60" s="168" t="e">
        <f>X60/X71</f>
        <v>#DIV/0!</v>
      </c>
      <c r="AB60" s="403"/>
    </row>
    <row r="61" spans="2:30" ht="18.75" customHeight="1">
      <c r="B61" s="411" t="s">
        <v>26</v>
      </c>
      <c r="C61" s="414">
        <f>COUNTIFS('1. All Data'!$AA$3:$AA$134,"Developing a Green New Deal for East Staffordshire",'1. All Data'!$H$3:$H$134,"In Danger of Falling Behind Target")</f>
        <v>0</v>
      </c>
      <c r="D61" s="404">
        <f>C61/C70</f>
        <v>0</v>
      </c>
      <c r="E61" s="404">
        <f>D61</f>
        <v>0</v>
      </c>
      <c r="F61" s="404">
        <f>C61/C71</f>
        <v>0</v>
      </c>
      <c r="G61" s="407">
        <f>F61</f>
        <v>0</v>
      </c>
      <c r="I61" s="411" t="s">
        <v>26</v>
      </c>
      <c r="J61" s="414">
        <f>COUNTIFS('1. All Data'!$AA$3:$AA$134,"Developing a Green New Deal for East Staffordshire",'1. All Data'!$M$3:$M$134,"In Danger of Falling Behind Target")</f>
        <v>0</v>
      </c>
      <c r="K61" s="404" t="e">
        <f>J61/J70</f>
        <v>#DIV/0!</v>
      </c>
      <c r="L61" s="404" t="e">
        <f>K61</f>
        <v>#DIV/0!</v>
      </c>
      <c r="M61" s="404" t="e">
        <f>J61/J71</f>
        <v>#DIV/0!</v>
      </c>
      <c r="N61" s="407" t="e">
        <f>M61</f>
        <v>#DIV/0!</v>
      </c>
      <c r="P61" s="411" t="s">
        <v>26</v>
      </c>
      <c r="Q61" s="414">
        <f>COUNTIFS('1. All Data'!$AA$3:$AA$134,"Developing a Green New Deal for East Staffordshire",'1. All Data'!$R$3:$R$134,"In Danger of Falling Behind Target")</f>
        <v>0</v>
      </c>
      <c r="R61" s="404" t="e">
        <f>Q61/Q70</f>
        <v>#DIV/0!</v>
      </c>
      <c r="S61" s="404" t="e">
        <f>R61</f>
        <v>#DIV/0!</v>
      </c>
      <c r="T61" s="404" t="e">
        <f>Q61/Q71</f>
        <v>#DIV/0!</v>
      </c>
      <c r="U61" s="407" t="e">
        <f>T61</f>
        <v>#DIV/0!</v>
      </c>
      <c r="W61" s="169" t="s">
        <v>18</v>
      </c>
      <c r="X61" s="170">
        <f>COUNTIFS('1. All Data'!$AA$3:$AA$134,"Developing a Green New Deal for East Staffordshire",'1. All Data'!$V$3:$V$134,"Numerical Outturn Within 10% Tolerance")</f>
        <v>0</v>
      </c>
      <c r="Y61" s="168" t="e">
        <f t="shared" ref="Y61:Y69" si="4">X61/$X$34</f>
        <v>#DIV/0!</v>
      </c>
      <c r="Z61" s="401" t="e">
        <f>SUM(Y61:Y63)</f>
        <v>#DIV/0!</v>
      </c>
      <c r="AA61" s="168" t="e">
        <f>X61/X71</f>
        <v>#DIV/0!</v>
      </c>
      <c r="AB61" s="410" t="e">
        <f>SUM(AA61:AA63)</f>
        <v>#DIV/0!</v>
      </c>
    </row>
    <row r="62" spans="2:30" ht="18.75" customHeight="1">
      <c r="B62" s="412"/>
      <c r="C62" s="415"/>
      <c r="D62" s="405"/>
      <c r="E62" s="405"/>
      <c r="F62" s="405"/>
      <c r="G62" s="408"/>
      <c r="I62" s="412"/>
      <c r="J62" s="415"/>
      <c r="K62" s="405"/>
      <c r="L62" s="405"/>
      <c r="M62" s="405"/>
      <c r="N62" s="408"/>
      <c r="P62" s="412"/>
      <c r="Q62" s="415"/>
      <c r="R62" s="405"/>
      <c r="S62" s="405"/>
      <c r="T62" s="405"/>
      <c r="U62" s="408"/>
      <c r="W62" s="169" t="s">
        <v>19</v>
      </c>
      <c r="X62" s="170">
        <f>COUNTIFS('1. All Data'!$AA$3:$AA$134,"Developing a Green New Deal for East Staffordshire",'1. All Data'!$V$3:$V$134,"Target Partially Met")</f>
        <v>0</v>
      </c>
      <c r="Y62" s="168" t="e">
        <f t="shared" si="4"/>
        <v>#DIV/0!</v>
      </c>
      <c r="Z62" s="401"/>
      <c r="AA62" s="168" t="e">
        <f>X62/X71</f>
        <v>#DIV/0!</v>
      </c>
      <c r="AB62" s="410"/>
    </row>
    <row r="63" spans="2:30" ht="18.75" customHeight="1">
      <c r="B63" s="413"/>
      <c r="C63" s="416"/>
      <c r="D63" s="406"/>
      <c r="E63" s="406"/>
      <c r="F63" s="406"/>
      <c r="G63" s="409"/>
      <c r="I63" s="413"/>
      <c r="J63" s="416"/>
      <c r="K63" s="406"/>
      <c r="L63" s="406"/>
      <c r="M63" s="406"/>
      <c r="N63" s="409"/>
      <c r="P63" s="413"/>
      <c r="Q63" s="416"/>
      <c r="R63" s="406"/>
      <c r="S63" s="406"/>
      <c r="T63" s="406"/>
      <c r="U63" s="409"/>
      <c r="W63" s="169" t="s">
        <v>22</v>
      </c>
      <c r="X63" s="170">
        <f>COUNTIFS('1. All Data'!$AA$3:$AA$134,"Developing a Green New Deal for East Staffordshire",'1. All Data'!$V$3:$V$134,"Completion Date Within Reasonable Tolerance")</f>
        <v>0</v>
      </c>
      <c r="Y63" s="168" t="e">
        <f t="shared" si="4"/>
        <v>#DIV/0!</v>
      </c>
      <c r="Z63" s="401"/>
      <c r="AA63" s="168" t="e">
        <f>X63/X71</f>
        <v>#DIV/0!</v>
      </c>
      <c r="AB63" s="410"/>
    </row>
    <row r="64" spans="2:30" ht="30" customHeight="1">
      <c r="B64" s="171" t="s">
        <v>27</v>
      </c>
      <c r="C64" s="167">
        <f>COUNTIFS('1. All Data'!$AA$3:$AA$134,"Developing a Green New Deal for East Staffordshire",'1. All Data'!$H$3:$H$134,"Completed Behind Schedule")</f>
        <v>0</v>
      </c>
      <c r="D64" s="168">
        <f>C64/C70</f>
        <v>0</v>
      </c>
      <c r="E64" s="401">
        <f>D64+D65</f>
        <v>0</v>
      </c>
      <c r="F64" s="168">
        <f>C64/C71</f>
        <v>0</v>
      </c>
      <c r="G64" s="402">
        <f>F64+F65</f>
        <v>0</v>
      </c>
      <c r="I64" s="171" t="s">
        <v>27</v>
      </c>
      <c r="J64" s="167">
        <f>COUNTIFS('1. All Data'!$AA$3:$AA$134,"Developing a Green New Deal for East Staffordshire",'1. All Data'!$M$3:$M$134,"Completed Behind Schedule")</f>
        <v>0</v>
      </c>
      <c r="K64" s="168" t="e">
        <f>J64/J70</f>
        <v>#DIV/0!</v>
      </c>
      <c r="L64" s="401" t="e">
        <f>K64+K65</f>
        <v>#DIV/0!</v>
      </c>
      <c r="M64" s="168" t="e">
        <f>J64/J71</f>
        <v>#DIV/0!</v>
      </c>
      <c r="N64" s="402" t="e">
        <f>M64+M65</f>
        <v>#DIV/0!</v>
      </c>
      <c r="P64" s="171" t="s">
        <v>27</v>
      </c>
      <c r="Q64" s="167">
        <f>COUNTIFS('1. All Data'!$AA$3:$AA$134,"Developing a Green New Deal for East Staffordshire",'1. All Data'!$R$3:$R$134,"Completed Behind Schedule")</f>
        <v>0</v>
      </c>
      <c r="R64" s="168" t="e">
        <f>Q64/Q70</f>
        <v>#DIV/0!</v>
      </c>
      <c r="S64" s="401" t="e">
        <f>R64+R65</f>
        <v>#DIV/0!</v>
      </c>
      <c r="T64" s="168" t="e">
        <f>Q64/Q71</f>
        <v>#DIV/0!</v>
      </c>
      <c r="U64" s="402" t="e">
        <f>T64+T65</f>
        <v>#DIV/0!</v>
      </c>
      <c r="W64" s="171" t="s">
        <v>21</v>
      </c>
      <c r="X64" s="167">
        <f>COUNTIFS('1. All Data'!$AA$3:$AA$134,"Developing a Green New Deal for East Staffordshire",'1. All Data'!$V$3:$V$134,"Completed Significantly After Target Deadline")</f>
        <v>0</v>
      </c>
      <c r="Y64" s="168" t="e">
        <f t="shared" si="4"/>
        <v>#DIV/0!</v>
      </c>
      <c r="Z64" s="401" t="e">
        <f>SUM(Y64:Y65)</f>
        <v>#DIV/0!</v>
      </c>
      <c r="AA64" s="168" t="e">
        <f>X64/X71</f>
        <v>#DIV/0!</v>
      </c>
      <c r="AB64" s="402" t="e">
        <f>AA64+AA65</f>
        <v>#DIV/0!</v>
      </c>
    </row>
    <row r="65" spans="2:30" ht="30" customHeight="1">
      <c r="B65" s="171" t="s">
        <v>20</v>
      </c>
      <c r="C65" s="167">
        <f>COUNTIFS('1. All Data'!$AA$3:$AA$134,"Developing a Green New Deal for East Staffordshire",'1. All Data'!$H$3:$H$134,"Off Target")</f>
        <v>0</v>
      </c>
      <c r="D65" s="168">
        <f>C65/C70</f>
        <v>0</v>
      </c>
      <c r="E65" s="401"/>
      <c r="F65" s="168">
        <f>C65/C71</f>
        <v>0</v>
      </c>
      <c r="G65" s="402"/>
      <c r="I65" s="171" t="s">
        <v>20</v>
      </c>
      <c r="J65" s="167">
        <f>COUNTIFS('1. All Data'!$AA$3:$AA$134,"Developing a Green New Deal for East Staffordshire",'1. All Data'!$M$3:$M$134,"Off Target")</f>
        <v>0</v>
      </c>
      <c r="K65" s="168" t="e">
        <f>J65/J70</f>
        <v>#DIV/0!</v>
      </c>
      <c r="L65" s="401"/>
      <c r="M65" s="168" t="e">
        <f>J65/J71</f>
        <v>#DIV/0!</v>
      </c>
      <c r="N65" s="402"/>
      <c r="P65" s="171" t="s">
        <v>20</v>
      </c>
      <c r="Q65" s="167">
        <f>COUNTIFS('1. All Data'!$AA$3:$AA$134,"Developing a Green New Deal for East Staffordshire",'1. All Data'!$R$3:$R$134,"Off Target")</f>
        <v>0</v>
      </c>
      <c r="R65" s="168" t="e">
        <f>Q65/Q70</f>
        <v>#DIV/0!</v>
      </c>
      <c r="S65" s="401"/>
      <c r="T65" s="168" t="e">
        <f>Q65/Q71</f>
        <v>#DIV/0!</v>
      </c>
      <c r="U65" s="402"/>
      <c r="W65" s="171" t="s">
        <v>20</v>
      </c>
      <c r="X65" s="167">
        <f>COUNTIFS('1. All Data'!$AA$3:$AA$134,"Developing a Green New Deal for East Staffordshire",'1. All Data'!$V$3:$V$134,"Off Target")</f>
        <v>0</v>
      </c>
      <c r="Y65" s="168" t="e">
        <f t="shared" si="4"/>
        <v>#DIV/0!</v>
      </c>
      <c r="Z65" s="401"/>
      <c r="AA65" s="168" t="e">
        <f>X65/X71</f>
        <v>#DIV/0!</v>
      </c>
      <c r="AB65" s="402"/>
    </row>
    <row r="66" spans="2:30" ht="15.75" customHeight="1">
      <c r="B66" s="172" t="s">
        <v>43</v>
      </c>
      <c r="C66" s="167">
        <f>COUNTIFS('1. All Data'!$AA$3:$AA$134,"Developing a Green New Deal for East Staffordshire",'1. All Data'!$H$3:$H$134,"Not yet due")</f>
        <v>8</v>
      </c>
      <c r="D66" s="173">
        <f>C66/C70</f>
        <v>0.34782608695652173</v>
      </c>
      <c r="E66" s="173">
        <f>D66</f>
        <v>0.34782608695652173</v>
      </c>
      <c r="F66" s="174"/>
      <c r="G66" s="58"/>
      <c r="I66" s="172" t="s">
        <v>43</v>
      </c>
      <c r="J66" s="167">
        <f>COUNTIFS('1. All Data'!$AA$3:$AA$134,"Developing a Green New Deal for East Staffordshire",'1. All Data'!$M$3:$M$134,"Not yet due")</f>
        <v>0</v>
      </c>
      <c r="K66" s="173" t="e">
        <f>J66/J70</f>
        <v>#DIV/0!</v>
      </c>
      <c r="L66" s="173" t="e">
        <f>K66</f>
        <v>#DIV/0!</v>
      </c>
      <c r="M66" s="174"/>
      <c r="N66" s="58"/>
      <c r="P66" s="172" t="s">
        <v>43</v>
      </c>
      <c r="Q66" s="167">
        <f>COUNTIFS('1. All Data'!$AA$3:$AA$134,"Developing a Green New Deal for East Staffordshire",'1. All Data'!$R$3:$R$134,"Not yet due")</f>
        <v>0</v>
      </c>
      <c r="R66" s="173" t="e">
        <f>Q66/Q70</f>
        <v>#DIV/0!</v>
      </c>
      <c r="S66" s="173" t="e">
        <f>R66</f>
        <v>#DIV/0!</v>
      </c>
      <c r="T66" s="174"/>
      <c r="U66" s="58"/>
      <c r="W66" s="172" t="s">
        <v>43</v>
      </c>
      <c r="X66" s="167">
        <f>COUNTIFS('1. All Data'!$AA$3:$AA$134,"Developing a Green New Deal for East Staffordshire",'1. All Data'!$V$3:$V$134,"Not yet due")</f>
        <v>0</v>
      </c>
      <c r="Y66" s="168" t="e">
        <f t="shared" si="4"/>
        <v>#DIV/0!</v>
      </c>
      <c r="Z66" s="168" t="e">
        <f>Y66</f>
        <v>#DIV/0!</v>
      </c>
      <c r="AA66" s="174"/>
      <c r="AB66" s="58"/>
    </row>
    <row r="67" spans="2:30" ht="15.75" customHeight="1">
      <c r="B67" s="172" t="s">
        <v>15</v>
      </c>
      <c r="C67" s="167">
        <f>COUNTIFS('1. All Data'!$AA$3:$AA$134,"Developing a Green New Deal for East Staffordshire",'1. All Data'!$H$3:$H$134,"update not provided")</f>
        <v>0</v>
      </c>
      <c r="D67" s="173">
        <f>C67/C70</f>
        <v>0</v>
      </c>
      <c r="E67" s="173">
        <f>D67</f>
        <v>0</v>
      </c>
      <c r="F67" s="174"/>
      <c r="G67" s="2"/>
      <c r="I67" s="172" t="s">
        <v>15</v>
      </c>
      <c r="J67" s="167">
        <f>COUNTIFS('1. All Data'!$AA$3:$AA$134,"Developing a Green New Deal for East Staffordshire",'1. All Data'!$M$3:$M$134,"update not provided")</f>
        <v>0</v>
      </c>
      <c r="K67" s="173" t="e">
        <f>J67/J70</f>
        <v>#DIV/0!</v>
      </c>
      <c r="L67" s="173" t="e">
        <f>K67</f>
        <v>#DIV/0!</v>
      </c>
      <c r="M67" s="174"/>
      <c r="N67" s="2"/>
      <c r="P67" s="172" t="s">
        <v>15</v>
      </c>
      <c r="Q67" s="167">
        <f>COUNTIFS('1. All Data'!$AA$3:$AA$134,"Developing a Green New Deal for East Staffordshire",'1. All Data'!$R$3:$R$134,"update not provided")</f>
        <v>0</v>
      </c>
      <c r="R67" s="173" t="e">
        <f>Q67/Q70</f>
        <v>#DIV/0!</v>
      </c>
      <c r="S67" s="173" t="e">
        <f>R67</f>
        <v>#DIV/0!</v>
      </c>
      <c r="T67" s="174"/>
      <c r="U67" s="2"/>
      <c r="W67" s="172" t="s">
        <v>15</v>
      </c>
      <c r="X67" s="167">
        <f>COUNTIFS('1. All Data'!$AA$3:$AA$134,"Developing a Green New Deal for East Staffordshire",'1. All Data'!$V$3:$V$134,"update not provided")</f>
        <v>0</v>
      </c>
      <c r="Y67" s="168" t="e">
        <f t="shared" si="4"/>
        <v>#DIV/0!</v>
      </c>
      <c r="Z67" s="168" t="e">
        <f>Y67</f>
        <v>#DIV/0!</v>
      </c>
      <c r="AA67" s="174"/>
      <c r="AB67" s="2"/>
    </row>
    <row r="68" spans="2:30" ht="15.75" customHeight="1">
      <c r="B68" s="175" t="s">
        <v>23</v>
      </c>
      <c r="C68" s="167">
        <f>COUNTIFS('1. All Data'!$AA$3:$AA$134,"Developing a Green New Deal for East Staffordshire",'1. All Data'!$H$3:$H$134,"Deferred")</f>
        <v>0</v>
      </c>
      <c r="D68" s="176">
        <f>C68/C70</f>
        <v>0</v>
      </c>
      <c r="E68" s="176">
        <f>D68</f>
        <v>0</v>
      </c>
      <c r="F68" s="177"/>
      <c r="G68" s="58"/>
      <c r="I68" s="175" t="s">
        <v>23</v>
      </c>
      <c r="J68" s="167">
        <f>COUNTIFS('1. All Data'!$AA$3:$AA$134,"Developing a Green New Deal for East Staffordshire",'1. All Data'!$M$3:$M$134,"Deferred")</f>
        <v>0</v>
      </c>
      <c r="K68" s="176" t="e">
        <f>J68/J70</f>
        <v>#DIV/0!</v>
      </c>
      <c r="L68" s="176" t="e">
        <f>K68</f>
        <v>#DIV/0!</v>
      </c>
      <c r="M68" s="177"/>
      <c r="N68" s="58"/>
      <c r="P68" s="175" t="s">
        <v>23</v>
      </c>
      <c r="Q68" s="167">
        <f>COUNTIFS('1. All Data'!$AA$3:$AA$134,"Developing a Green New Deal for East Staffordshire",'1. All Data'!$R$3:$R$134,"Deferred")</f>
        <v>0</v>
      </c>
      <c r="R68" s="176" t="e">
        <f>Q68/Q70</f>
        <v>#DIV/0!</v>
      </c>
      <c r="S68" s="176" t="e">
        <f>R68</f>
        <v>#DIV/0!</v>
      </c>
      <c r="T68" s="177"/>
      <c r="U68" s="58"/>
      <c r="W68" s="175" t="s">
        <v>23</v>
      </c>
      <c r="X68" s="167">
        <f>COUNTIFS('1. All Data'!$AA$3:$AA$134,"Developing a Green New Deal for East Staffordshire",'1. All Data'!$V$3:$V$134,"Deferred")</f>
        <v>0</v>
      </c>
      <c r="Y68" s="168" t="e">
        <f t="shared" si="4"/>
        <v>#DIV/0!</v>
      </c>
      <c r="Z68" s="168" t="e">
        <f>Y68</f>
        <v>#DIV/0!</v>
      </c>
      <c r="AA68" s="177"/>
      <c r="AB68" s="58"/>
    </row>
    <row r="69" spans="2:30" ht="15.75" customHeight="1">
      <c r="B69" s="175" t="s">
        <v>24</v>
      </c>
      <c r="C69" s="167">
        <f>COUNTIFS('1. All Data'!$AA$3:$AA$134,"Developing a Green New Deal for East Staffordshire",'1. All Data'!$H$3:$H$134,"Deleted")</f>
        <v>0</v>
      </c>
      <c r="D69" s="176">
        <f>C69/C70</f>
        <v>0</v>
      </c>
      <c r="E69" s="176">
        <f>D69</f>
        <v>0</v>
      </c>
      <c r="F69" s="177"/>
      <c r="G69" s="3"/>
      <c r="I69" s="175" t="s">
        <v>24</v>
      </c>
      <c r="J69" s="167">
        <f>COUNTIFS('1. All Data'!$AA$3:$AA$134,"Developing a Green New Deal for East Staffordshire",'1. All Data'!$M$3:$M$134,"Deleted")</f>
        <v>0</v>
      </c>
      <c r="K69" s="176" t="e">
        <f>J69/J70</f>
        <v>#DIV/0!</v>
      </c>
      <c r="L69" s="176" t="e">
        <f>K69</f>
        <v>#DIV/0!</v>
      </c>
      <c r="M69" s="177"/>
      <c r="N69" s="3"/>
      <c r="P69" s="175" t="s">
        <v>24</v>
      </c>
      <c r="Q69" s="167">
        <f>COUNTIFS('1. All Data'!$AA$3:$AA$134,"Developing a Green New Deal for East Staffordshire",'1. All Data'!$R$3:$R$134,"Deleted")</f>
        <v>0</v>
      </c>
      <c r="R69" s="176" t="e">
        <f>Q69/Q70</f>
        <v>#DIV/0!</v>
      </c>
      <c r="S69" s="176" t="e">
        <f>R69</f>
        <v>#DIV/0!</v>
      </c>
      <c r="T69" s="177"/>
      <c r="U69" s="3"/>
      <c r="W69" s="175" t="s">
        <v>24</v>
      </c>
      <c r="X69" s="167">
        <f>COUNTIFS('1. All Data'!$AA$3:$AA$134,"Developing a Green New Deal for East Staffordshire",'1. All Data'!$V$3:$V$134,"Deleted")</f>
        <v>0</v>
      </c>
      <c r="Y69" s="168" t="e">
        <f t="shared" si="4"/>
        <v>#DIV/0!</v>
      </c>
      <c r="Z69" s="168" t="e">
        <f>Y69</f>
        <v>#DIV/0!</v>
      </c>
      <c r="AA69" s="177"/>
      <c r="AD69" s="3"/>
    </row>
    <row r="70" spans="2:30" ht="15.75" customHeight="1">
      <c r="B70" s="193" t="s">
        <v>45</v>
      </c>
      <c r="C70" s="179">
        <f>SUM(C59:C69)</f>
        <v>23</v>
      </c>
      <c r="D70" s="177"/>
      <c r="E70" s="177"/>
      <c r="F70" s="58"/>
      <c r="G70" s="58"/>
      <c r="I70" s="193" t="s">
        <v>45</v>
      </c>
      <c r="J70" s="179">
        <f>SUM(J59:J69)</f>
        <v>0</v>
      </c>
      <c r="K70" s="177"/>
      <c r="L70" s="177"/>
      <c r="M70" s="58"/>
      <c r="N70" s="58"/>
      <c r="P70" s="193" t="s">
        <v>45</v>
      </c>
      <c r="Q70" s="179">
        <f>SUM(Q59:Q69)</f>
        <v>0</v>
      </c>
      <c r="R70" s="177"/>
      <c r="S70" s="177"/>
      <c r="T70" s="58"/>
      <c r="U70" s="58"/>
      <c r="W70" s="178" t="s">
        <v>45</v>
      </c>
      <c r="X70" s="179">
        <f>SUM(X59:X69)</f>
        <v>0</v>
      </c>
      <c r="Y70" s="177"/>
      <c r="Z70" s="177"/>
      <c r="AA70" s="58"/>
      <c r="AB70" s="58"/>
    </row>
    <row r="71" spans="2:30" ht="15.75" customHeight="1">
      <c r="B71" s="193" t="s">
        <v>46</v>
      </c>
      <c r="C71" s="179">
        <f>C70-C69-C68-C67-C66</f>
        <v>15</v>
      </c>
      <c r="D71" s="58"/>
      <c r="E71" s="58"/>
      <c r="F71" s="58"/>
      <c r="G71" s="58"/>
      <c r="I71" s="193" t="s">
        <v>46</v>
      </c>
      <c r="J71" s="179">
        <f>J70-J69-J68-J67-J66</f>
        <v>0</v>
      </c>
      <c r="K71" s="58"/>
      <c r="L71" s="58"/>
      <c r="M71" s="58"/>
      <c r="N71" s="58"/>
      <c r="P71" s="193" t="s">
        <v>46</v>
      </c>
      <c r="Q71" s="179">
        <f>Q70-Q69-Q68-Q67-Q66</f>
        <v>0</v>
      </c>
      <c r="R71" s="58"/>
      <c r="S71" s="58"/>
      <c r="T71" s="58"/>
      <c r="U71" s="58"/>
      <c r="W71" s="178" t="s">
        <v>46</v>
      </c>
      <c r="X71" s="179">
        <f>X70-X69-X68-X67-X66</f>
        <v>0</v>
      </c>
      <c r="Y71" s="58"/>
      <c r="Z71" s="58"/>
      <c r="AA71" s="58"/>
      <c r="AB71" s="58"/>
    </row>
    <row r="72" spans="2:30" ht="15.6" hidden="1" customHeight="1">
      <c r="AB72" s="186"/>
    </row>
    <row r="73" spans="2:30" ht="15.75" hidden="1" customHeight="1">
      <c r="AB73" s="186"/>
    </row>
    <row r="75" spans="2:30" ht="15.6">
      <c r="B75" s="188" t="s">
        <v>393</v>
      </c>
      <c r="C75" s="189"/>
      <c r="D75" s="189"/>
      <c r="E75" s="189"/>
      <c r="F75" s="190"/>
      <c r="G75" s="191"/>
      <c r="I75" s="188" t="s">
        <v>124</v>
      </c>
      <c r="J75" s="189"/>
      <c r="K75" s="189"/>
      <c r="L75" s="189"/>
      <c r="M75" s="190"/>
      <c r="N75" s="191"/>
      <c r="P75" s="188" t="s">
        <v>124</v>
      </c>
      <c r="Q75" s="189"/>
      <c r="R75" s="189"/>
      <c r="S75" s="189"/>
      <c r="T75" s="190"/>
      <c r="U75" s="191"/>
      <c r="W75" s="188" t="s">
        <v>124</v>
      </c>
      <c r="X75" s="195"/>
      <c r="Y75" s="162"/>
      <c r="Z75" s="162"/>
      <c r="AA75" s="162"/>
      <c r="AB75" s="163"/>
    </row>
    <row r="76" spans="2:30" ht="31.2">
      <c r="B76" s="164" t="s">
        <v>36</v>
      </c>
      <c r="C76" s="164" t="s">
        <v>37</v>
      </c>
      <c r="D76" s="164" t="s">
        <v>38</v>
      </c>
      <c r="E76" s="164" t="s">
        <v>39</v>
      </c>
      <c r="F76" s="164" t="s">
        <v>40</v>
      </c>
      <c r="G76" s="164" t="s">
        <v>41</v>
      </c>
      <c r="I76" s="164" t="s">
        <v>36</v>
      </c>
      <c r="J76" s="164" t="s">
        <v>37</v>
      </c>
      <c r="K76" s="164" t="s">
        <v>38</v>
      </c>
      <c r="L76" s="164" t="s">
        <v>39</v>
      </c>
      <c r="M76" s="164" t="s">
        <v>40</v>
      </c>
      <c r="N76" s="164" t="s">
        <v>41</v>
      </c>
      <c r="P76" s="164" t="s">
        <v>36</v>
      </c>
      <c r="Q76" s="164" t="s">
        <v>37</v>
      </c>
      <c r="R76" s="164" t="s">
        <v>38</v>
      </c>
      <c r="S76" s="164" t="s">
        <v>39</v>
      </c>
      <c r="T76" s="164" t="s">
        <v>40</v>
      </c>
      <c r="U76" s="164" t="s">
        <v>41</v>
      </c>
      <c r="W76" s="164" t="s">
        <v>36</v>
      </c>
      <c r="X76" s="164" t="s">
        <v>37</v>
      </c>
      <c r="Y76" s="164" t="s">
        <v>38</v>
      </c>
      <c r="Z76" s="164" t="s">
        <v>39</v>
      </c>
      <c r="AA76" s="164" t="s">
        <v>40</v>
      </c>
      <c r="AB76" s="164" t="s">
        <v>41</v>
      </c>
    </row>
    <row r="77" spans="2:30" ht="15.6">
      <c r="B77" s="227" t="s">
        <v>42</v>
      </c>
      <c r="C77" s="167">
        <f>COUNTIFS('1. All Data'!$AA$3:$AA$134,"Protecting our heritage",'1. All Data'!$H$3:$H$134,"Fully Achieved")</f>
        <v>0</v>
      </c>
      <c r="D77" s="278">
        <f>C77/C88</f>
        <v>0</v>
      </c>
      <c r="E77" s="401">
        <f>D77+D78</f>
        <v>0.9</v>
      </c>
      <c r="F77" s="278">
        <f>C77/C89</f>
        <v>0</v>
      </c>
      <c r="G77" s="403">
        <f>F77+F78</f>
        <v>0.9</v>
      </c>
      <c r="I77" s="227" t="s">
        <v>42</v>
      </c>
      <c r="J77" s="167">
        <f>COUNTIFS('1. All Data'!$AA$3:$AA$134,"Protecting our heritage",'1. All Data'!$M$3:$M$134,"Fully Achieved")</f>
        <v>0</v>
      </c>
      <c r="K77" s="278" t="e">
        <f>J77/J88</f>
        <v>#DIV/0!</v>
      </c>
      <c r="L77" s="401" t="e">
        <f>K77+K78</f>
        <v>#DIV/0!</v>
      </c>
      <c r="M77" s="278" t="e">
        <f>J77/J89</f>
        <v>#DIV/0!</v>
      </c>
      <c r="N77" s="403" t="e">
        <f>M77+M78</f>
        <v>#DIV/0!</v>
      </c>
      <c r="P77" s="227" t="s">
        <v>42</v>
      </c>
      <c r="Q77" s="167">
        <f>COUNTIFS('1. All Data'!$AA$3:$AA$134,"Protecting our heritage",'1. All Data'!$R$3:$R$134,"Fully Achieved")</f>
        <v>0</v>
      </c>
      <c r="R77" s="278" t="e">
        <f>Q77/Q88</f>
        <v>#DIV/0!</v>
      </c>
      <c r="S77" s="401" t="e">
        <f>R77+R78</f>
        <v>#DIV/0!</v>
      </c>
      <c r="T77" s="278" t="e">
        <f>Q77/Q89</f>
        <v>#DIV/0!</v>
      </c>
      <c r="U77" s="403" t="e">
        <f>T77+T78</f>
        <v>#DIV/0!</v>
      </c>
      <c r="W77" s="227" t="s">
        <v>42</v>
      </c>
      <c r="X77" s="167">
        <f>COUNTIFS('1. All Data'!$AA$3:$AA$134,"Protecting our heritage",'1. All Data'!$V$3:$V$134,"Fully Achieved")</f>
        <v>0</v>
      </c>
      <c r="Y77" s="278" t="e">
        <f>X77/X88</f>
        <v>#DIV/0!</v>
      </c>
      <c r="Z77" s="401" t="e">
        <f>Y77+Y78</f>
        <v>#DIV/0!</v>
      </c>
      <c r="AA77" s="278" t="e">
        <f>X77/X89</f>
        <v>#DIV/0!</v>
      </c>
      <c r="AB77" s="403" t="e">
        <f>AA77+AA78</f>
        <v>#DIV/0!</v>
      </c>
    </row>
    <row r="78" spans="2:30" ht="15.6">
      <c r="B78" s="227" t="s">
        <v>25</v>
      </c>
      <c r="C78" s="167">
        <f>COUNTIFS('1. All Data'!$AA$3:$AA$134,"Protecting our heritage",'1. All Data'!$H$3:$H$134,"On Track to be achieved")</f>
        <v>9</v>
      </c>
      <c r="D78" s="278">
        <f>C78/C88</f>
        <v>0.9</v>
      </c>
      <c r="E78" s="401"/>
      <c r="F78" s="278">
        <f>C78/C89</f>
        <v>0.9</v>
      </c>
      <c r="G78" s="403"/>
      <c r="I78" s="227" t="s">
        <v>25</v>
      </c>
      <c r="J78" s="167">
        <f>COUNTIFS('1. All Data'!$AA$3:$AA$134,"Protecting our heritage",'1. All Data'!$M$3:$M$134,"On Track to be achieved")</f>
        <v>0</v>
      </c>
      <c r="K78" s="278" t="e">
        <f>J78/J88</f>
        <v>#DIV/0!</v>
      </c>
      <c r="L78" s="401"/>
      <c r="M78" s="278" t="e">
        <f>J78/J89</f>
        <v>#DIV/0!</v>
      </c>
      <c r="N78" s="403"/>
      <c r="P78" s="227" t="s">
        <v>25</v>
      </c>
      <c r="Q78" s="167">
        <f>COUNTIFS('1. All Data'!$AA$3:$AA$134,"Protecting our heritage",'1. All Data'!$R$3:$R$134,"On Track to be achieved")</f>
        <v>0</v>
      </c>
      <c r="R78" s="278" t="e">
        <f>Q78/Q88</f>
        <v>#DIV/0!</v>
      </c>
      <c r="S78" s="401"/>
      <c r="T78" s="278" t="e">
        <f>Q78/Q89</f>
        <v>#DIV/0!</v>
      </c>
      <c r="U78" s="403"/>
      <c r="W78" s="227" t="s">
        <v>17</v>
      </c>
      <c r="X78" s="167">
        <f>COUNTIFS('1. All Data'!$AA$3:$AA$134,"Protecting our heritage",'1. All Data'!$V$3:$V$134,"Numerical Outturn Within 5% Tolerance")</f>
        <v>0</v>
      </c>
      <c r="Y78" s="278" t="e">
        <f>X78/X88</f>
        <v>#DIV/0!</v>
      </c>
      <c r="Z78" s="401"/>
      <c r="AA78" s="278" t="e">
        <f>X78/X89</f>
        <v>#DIV/0!</v>
      </c>
      <c r="AB78" s="403"/>
    </row>
    <row r="79" spans="2:30" ht="15.6">
      <c r="B79" s="411" t="s">
        <v>26</v>
      </c>
      <c r="C79" s="414">
        <f>COUNTIFS('1. All Data'!$AA$3:$AA$134,"Protecting our heritage",'1. All Data'!$H$3:$H$134,"In Danger of Falling Behind Target")</f>
        <v>0</v>
      </c>
      <c r="D79" s="404">
        <f>C79/C88</f>
        <v>0</v>
      </c>
      <c r="E79" s="404">
        <f>D79</f>
        <v>0</v>
      </c>
      <c r="F79" s="404">
        <f>C79/C89</f>
        <v>0</v>
      </c>
      <c r="G79" s="407">
        <f>F79</f>
        <v>0</v>
      </c>
      <c r="I79" s="411" t="s">
        <v>26</v>
      </c>
      <c r="J79" s="414">
        <f>COUNTIFS('1. All Data'!$AA$3:$AA$134,"Protecting our heritage",'1. All Data'!$M$3:$M$134,"In Danger of Falling Behind Target")</f>
        <v>0</v>
      </c>
      <c r="K79" s="404" t="e">
        <f>J79/J88</f>
        <v>#DIV/0!</v>
      </c>
      <c r="L79" s="404" t="e">
        <f>K79</f>
        <v>#DIV/0!</v>
      </c>
      <c r="M79" s="404" t="e">
        <f>J79/J89</f>
        <v>#DIV/0!</v>
      </c>
      <c r="N79" s="407" t="e">
        <f>M79</f>
        <v>#DIV/0!</v>
      </c>
      <c r="P79" s="411" t="s">
        <v>26</v>
      </c>
      <c r="Q79" s="414">
        <f>COUNTIFS('1. All Data'!$AA$3:$AA$134,"Protecting our heritage",'1. All Data'!$R$3:$R$134,"In Danger of Falling Behind Target")</f>
        <v>0</v>
      </c>
      <c r="R79" s="404" t="e">
        <f>Q79/Q88</f>
        <v>#DIV/0!</v>
      </c>
      <c r="S79" s="404" t="e">
        <f>R79</f>
        <v>#DIV/0!</v>
      </c>
      <c r="T79" s="404" t="e">
        <f>Q79/Q89</f>
        <v>#DIV/0!</v>
      </c>
      <c r="U79" s="407" t="e">
        <f>T79</f>
        <v>#DIV/0!</v>
      </c>
      <c r="W79" s="169" t="s">
        <v>18</v>
      </c>
      <c r="X79" s="170">
        <f>COUNTIFS('1. All Data'!$AA$3:$AA$134,"Protecting our heritage",'1. All Data'!$V$3:$V$134,"Numerical Outturn Within 10% Tolerance")</f>
        <v>0</v>
      </c>
      <c r="Y79" s="278" t="e">
        <f t="shared" ref="Y79:Y87" si="5">X79/$X$34</f>
        <v>#DIV/0!</v>
      </c>
      <c r="Z79" s="401" t="e">
        <f>SUM(Y79:Y81)</f>
        <v>#DIV/0!</v>
      </c>
      <c r="AA79" s="278" t="e">
        <f>X79/X89</f>
        <v>#DIV/0!</v>
      </c>
      <c r="AB79" s="410" t="e">
        <f>SUM(AA79:AA81)</f>
        <v>#DIV/0!</v>
      </c>
    </row>
    <row r="80" spans="2:30" ht="15.6">
      <c r="B80" s="412"/>
      <c r="C80" s="415"/>
      <c r="D80" s="405"/>
      <c r="E80" s="405"/>
      <c r="F80" s="405"/>
      <c r="G80" s="408"/>
      <c r="I80" s="412"/>
      <c r="J80" s="415"/>
      <c r="K80" s="405"/>
      <c r="L80" s="405"/>
      <c r="M80" s="405"/>
      <c r="N80" s="408"/>
      <c r="P80" s="412"/>
      <c r="Q80" s="415"/>
      <c r="R80" s="405"/>
      <c r="S80" s="405"/>
      <c r="T80" s="405"/>
      <c r="U80" s="408"/>
      <c r="W80" s="169" t="s">
        <v>19</v>
      </c>
      <c r="X80" s="170">
        <f>COUNTIFS('1. All Data'!$AA$3:$AA$134,"Protecting our heritage",'1. All Data'!$V$3:$V$134,"Target Partially Met")</f>
        <v>0</v>
      </c>
      <c r="Y80" s="278" t="e">
        <f t="shared" si="5"/>
        <v>#DIV/0!</v>
      </c>
      <c r="Z80" s="401"/>
      <c r="AA80" s="278" t="e">
        <f>X80/X89</f>
        <v>#DIV/0!</v>
      </c>
      <c r="AB80" s="410"/>
    </row>
    <row r="81" spans="2:28" ht="15.6">
      <c r="B81" s="413"/>
      <c r="C81" s="416"/>
      <c r="D81" s="406"/>
      <c r="E81" s="406"/>
      <c r="F81" s="406"/>
      <c r="G81" s="409"/>
      <c r="I81" s="413"/>
      <c r="J81" s="416"/>
      <c r="K81" s="406"/>
      <c r="L81" s="406"/>
      <c r="M81" s="406"/>
      <c r="N81" s="409"/>
      <c r="P81" s="413"/>
      <c r="Q81" s="416"/>
      <c r="R81" s="406"/>
      <c r="S81" s="406"/>
      <c r="T81" s="406"/>
      <c r="U81" s="409"/>
      <c r="W81" s="169" t="s">
        <v>22</v>
      </c>
      <c r="X81" s="170">
        <f>COUNTIFS('1. All Data'!$AA$3:$AA$134,"Protecting our heritage",'1. All Data'!$V$3:$V$134,"Completion Date Within Reasonable Tolerance")</f>
        <v>0</v>
      </c>
      <c r="Y81" s="278" t="e">
        <f t="shared" si="5"/>
        <v>#DIV/0!</v>
      </c>
      <c r="Z81" s="401"/>
      <c r="AA81" s="278" t="e">
        <f>X81/X89</f>
        <v>#DIV/0!</v>
      </c>
      <c r="AB81" s="410"/>
    </row>
    <row r="82" spans="2:28" ht="15.6">
      <c r="B82" s="171" t="s">
        <v>27</v>
      </c>
      <c r="C82" s="167">
        <f>COUNTIFS('1. All Data'!$AA$3:$AA$134,"Protecting our heritage",'1. All Data'!$H$3:$H$134,"Completed Behind Schedule")</f>
        <v>0</v>
      </c>
      <c r="D82" s="278">
        <f>C82/C88</f>
        <v>0</v>
      </c>
      <c r="E82" s="401">
        <f>D82+D83</f>
        <v>0.1</v>
      </c>
      <c r="F82" s="278">
        <f>C82/C89</f>
        <v>0</v>
      </c>
      <c r="G82" s="402">
        <f>F82+F83</f>
        <v>0.1</v>
      </c>
      <c r="I82" s="171" t="s">
        <v>27</v>
      </c>
      <c r="J82" s="167">
        <f>COUNTIFS('1. All Data'!$AA$3:$AA$134,"Protecting our heritage",'1. All Data'!$M$3:$M$134,"Completed Behind Schedule")</f>
        <v>0</v>
      </c>
      <c r="K82" s="278" t="e">
        <f>J82/J88</f>
        <v>#DIV/0!</v>
      </c>
      <c r="L82" s="401" t="e">
        <f>K82+K83</f>
        <v>#DIV/0!</v>
      </c>
      <c r="M82" s="278" t="e">
        <f>J82/J89</f>
        <v>#DIV/0!</v>
      </c>
      <c r="N82" s="402" t="e">
        <f>M82+M83</f>
        <v>#DIV/0!</v>
      </c>
      <c r="P82" s="171" t="s">
        <v>27</v>
      </c>
      <c r="Q82" s="167">
        <f>COUNTIFS('1. All Data'!$AA$3:$AA$134,"Protecting our heritage",'1. All Data'!$R$3:$R$134,"Completed Behind Schedule")</f>
        <v>0</v>
      </c>
      <c r="R82" s="278" t="e">
        <f>Q82/Q88</f>
        <v>#DIV/0!</v>
      </c>
      <c r="S82" s="401" t="e">
        <f>R82+R83</f>
        <v>#DIV/0!</v>
      </c>
      <c r="T82" s="278" t="e">
        <f>Q82/Q89</f>
        <v>#DIV/0!</v>
      </c>
      <c r="U82" s="402" t="e">
        <f>T82+T83</f>
        <v>#DIV/0!</v>
      </c>
      <c r="W82" s="171" t="s">
        <v>21</v>
      </c>
      <c r="X82" s="167">
        <f>COUNTIFS('1. All Data'!$AA$3:$AA$134,"Protecting our heritage",'1. All Data'!$V$3:$V$134,"Completed Significantly After Target Deadline")</f>
        <v>0</v>
      </c>
      <c r="Y82" s="278" t="e">
        <f t="shared" si="5"/>
        <v>#DIV/0!</v>
      </c>
      <c r="Z82" s="401" t="e">
        <f>SUM(Y82:Y83)</f>
        <v>#DIV/0!</v>
      </c>
      <c r="AA82" s="278" t="e">
        <f>X82/X89</f>
        <v>#DIV/0!</v>
      </c>
      <c r="AB82" s="402" t="e">
        <f>AA82+AA83</f>
        <v>#DIV/0!</v>
      </c>
    </row>
    <row r="83" spans="2:28" ht="15.6">
      <c r="B83" s="171" t="s">
        <v>20</v>
      </c>
      <c r="C83" s="167">
        <f>COUNTIFS('1. All Data'!$AA$3:$AA$134,"Protecting our heritage",'1. All Data'!$H$3:$H$134,"Off Target")</f>
        <v>1</v>
      </c>
      <c r="D83" s="278">
        <f>C83/C88</f>
        <v>0.1</v>
      </c>
      <c r="E83" s="401"/>
      <c r="F83" s="278">
        <f>C83/C89</f>
        <v>0.1</v>
      </c>
      <c r="G83" s="402"/>
      <c r="I83" s="171" t="s">
        <v>20</v>
      </c>
      <c r="J83" s="167">
        <f>COUNTIFS('1. All Data'!$AA$3:$AA$134,"Protecting our heritage",'1. All Data'!$M$3:$M$134,"Off Target")</f>
        <v>0</v>
      </c>
      <c r="K83" s="278" t="e">
        <f>J83/J88</f>
        <v>#DIV/0!</v>
      </c>
      <c r="L83" s="401"/>
      <c r="M83" s="278" t="e">
        <f>J83/J89</f>
        <v>#DIV/0!</v>
      </c>
      <c r="N83" s="402"/>
      <c r="P83" s="171" t="s">
        <v>20</v>
      </c>
      <c r="Q83" s="167">
        <f>COUNTIFS('1. All Data'!$AA$3:$AA$134,"Protecting our heritage",'1. All Data'!$R$3:$R$134,"Off Target")</f>
        <v>0</v>
      </c>
      <c r="R83" s="278" t="e">
        <f>Q83/Q88</f>
        <v>#DIV/0!</v>
      </c>
      <c r="S83" s="401"/>
      <c r="T83" s="278" t="e">
        <f>Q83/Q89</f>
        <v>#DIV/0!</v>
      </c>
      <c r="U83" s="402"/>
      <c r="W83" s="171" t="s">
        <v>20</v>
      </c>
      <c r="X83" s="167">
        <f>COUNTIFS('1. All Data'!$AA$3:$AA$134,"Protecting our heritage",'1. All Data'!$V$3:$V$134,"Off Target")</f>
        <v>0</v>
      </c>
      <c r="Y83" s="278" t="e">
        <f t="shared" si="5"/>
        <v>#DIV/0!</v>
      </c>
      <c r="Z83" s="401"/>
      <c r="AA83" s="278" t="e">
        <f>X83/X89</f>
        <v>#DIV/0!</v>
      </c>
      <c r="AB83" s="402"/>
    </row>
    <row r="84" spans="2:28" ht="15.6">
      <c r="B84" s="172" t="s">
        <v>43</v>
      </c>
      <c r="C84" s="167">
        <f>COUNTIFS('1. All Data'!$AA$3:$AA$134,"Protecting our heritage",'1. All Data'!$H$3:$H$134,"Not yet due")</f>
        <v>0</v>
      </c>
      <c r="D84" s="173">
        <f>C84/C88</f>
        <v>0</v>
      </c>
      <c r="E84" s="173">
        <f>D84</f>
        <v>0</v>
      </c>
      <c r="F84" s="174"/>
      <c r="G84" s="58"/>
      <c r="I84" s="172" t="s">
        <v>43</v>
      </c>
      <c r="J84" s="167">
        <f>COUNTIFS('1. All Data'!$AA$3:$AA$134,"Protecting our heritage",'1. All Data'!$M$3:$M$134,"Not yet due")</f>
        <v>0</v>
      </c>
      <c r="K84" s="173" t="e">
        <f>J84/J88</f>
        <v>#DIV/0!</v>
      </c>
      <c r="L84" s="173" t="e">
        <f>K84</f>
        <v>#DIV/0!</v>
      </c>
      <c r="M84" s="174"/>
      <c r="N84" s="58"/>
      <c r="P84" s="172" t="s">
        <v>43</v>
      </c>
      <c r="Q84" s="167">
        <f>COUNTIFS('1. All Data'!$AA$3:$AA$134,"Protecting our heritage",'1. All Data'!$R$3:$R$134,"Not yet due")</f>
        <v>0</v>
      </c>
      <c r="R84" s="173" t="e">
        <f>Q84/Q88</f>
        <v>#DIV/0!</v>
      </c>
      <c r="S84" s="173" t="e">
        <f>R84</f>
        <v>#DIV/0!</v>
      </c>
      <c r="T84" s="174"/>
      <c r="U84" s="58"/>
      <c r="W84" s="172" t="s">
        <v>43</v>
      </c>
      <c r="X84" s="167">
        <f>COUNTIFS('1. All Data'!$AA$3:$AA$134,"Protecting our heritage",'1. All Data'!$V$3:$V$134,"Not yet due")</f>
        <v>0</v>
      </c>
      <c r="Y84" s="278" t="e">
        <f t="shared" si="5"/>
        <v>#DIV/0!</v>
      </c>
      <c r="Z84" s="278" t="e">
        <f>Y84</f>
        <v>#DIV/0!</v>
      </c>
      <c r="AA84" s="174"/>
      <c r="AB84" s="58"/>
    </row>
    <row r="85" spans="2:28" ht="15.6">
      <c r="B85" s="172" t="s">
        <v>15</v>
      </c>
      <c r="C85" s="167">
        <f>COUNTIFS('1. All Data'!$AA$3:$AA$134,"Protecting our heritage",'1. All Data'!$H$3:$H$134,"update not provided")</f>
        <v>0</v>
      </c>
      <c r="D85" s="173">
        <f>C85/C88</f>
        <v>0</v>
      </c>
      <c r="E85" s="173">
        <f>D85</f>
        <v>0</v>
      </c>
      <c r="F85" s="174"/>
      <c r="G85" s="2"/>
      <c r="I85" s="172" t="s">
        <v>15</v>
      </c>
      <c r="J85" s="167">
        <f>COUNTIFS('1. All Data'!$AA$3:$AA$134,"Protecting our heritage",'1. All Data'!$M$3:$M$134,"update not provided")</f>
        <v>0</v>
      </c>
      <c r="K85" s="173" t="e">
        <f>J85/J88</f>
        <v>#DIV/0!</v>
      </c>
      <c r="L85" s="173" t="e">
        <f>K85</f>
        <v>#DIV/0!</v>
      </c>
      <c r="M85" s="174"/>
      <c r="N85" s="2"/>
      <c r="P85" s="172" t="s">
        <v>15</v>
      </c>
      <c r="Q85" s="167">
        <f>COUNTIFS('1. All Data'!$AA$3:$AA$134,"Protecting our heritage",'1. All Data'!$R$3:$R$134,"update not provided")</f>
        <v>0</v>
      </c>
      <c r="R85" s="173" t="e">
        <f>Q85/Q88</f>
        <v>#DIV/0!</v>
      </c>
      <c r="S85" s="173" t="e">
        <f>R85</f>
        <v>#DIV/0!</v>
      </c>
      <c r="T85" s="174"/>
      <c r="U85" s="2"/>
      <c r="W85" s="172" t="s">
        <v>15</v>
      </c>
      <c r="X85" s="167">
        <f>COUNTIFS('1. All Data'!$AA$3:$AA$134,"Protecting our heritage",'1. All Data'!$V$3:$V$134,"update not provided")</f>
        <v>0</v>
      </c>
      <c r="Y85" s="278" t="e">
        <f t="shared" si="5"/>
        <v>#DIV/0!</v>
      </c>
      <c r="Z85" s="278" t="e">
        <f>Y85</f>
        <v>#DIV/0!</v>
      </c>
      <c r="AA85" s="174"/>
      <c r="AB85" s="2"/>
    </row>
    <row r="86" spans="2:28" ht="15.6">
      <c r="B86" s="175" t="s">
        <v>23</v>
      </c>
      <c r="C86" s="167">
        <f>COUNTIFS('1. All Data'!$AA$3:$AA$134,"Protecting our heritage",'1. All Data'!$H$3:$H$134,"Deferred")</f>
        <v>0</v>
      </c>
      <c r="D86" s="176">
        <f>C86/C88</f>
        <v>0</v>
      </c>
      <c r="E86" s="176">
        <f>D86</f>
        <v>0</v>
      </c>
      <c r="F86" s="177"/>
      <c r="G86" s="58"/>
      <c r="I86" s="175" t="s">
        <v>23</v>
      </c>
      <c r="J86" s="167">
        <f>COUNTIFS('1. All Data'!$AA$3:$AA$134,"Protecting our heritage",'1. All Data'!$M$3:$M$134,"Deferred")</f>
        <v>0</v>
      </c>
      <c r="K86" s="176" t="e">
        <f>J86/J88</f>
        <v>#DIV/0!</v>
      </c>
      <c r="L86" s="176" t="e">
        <f>K86</f>
        <v>#DIV/0!</v>
      </c>
      <c r="M86" s="177"/>
      <c r="N86" s="58"/>
      <c r="P86" s="175" t="s">
        <v>23</v>
      </c>
      <c r="Q86" s="167">
        <f>COUNTIFS('1. All Data'!$AA$3:$AA$134,"Protecting our heritage",'1. All Data'!$R$3:$R$134,"Deferred")</f>
        <v>0</v>
      </c>
      <c r="R86" s="176" t="e">
        <f>Q86/Q88</f>
        <v>#DIV/0!</v>
      </c>
      <c r="S86" s="176" t="e">
        <f>R86</f>
        <v>#DIV/0!</v>
      </c>
      <c r="T86" s="177"/>
      <c r="U86" s="58"/>
      <c r="W86" s="175" t="s">
        <v>23</v>
      </c>
      <c r="X86" s="167">
        <f>COUNTIFS('1. All Data'!$AA$3:$AA$134,"Protecting our heritage",'1. All Data'!$V$3:$V$134,"Deferred")</f>
        <v>0</v>
      </c>
      <c r="Y86" s="278" t="e">
        <f t="shared" si="5"/>
        <v>#DIV/0!</v>
      </c>
      <c r="Z86" s="278" t="e">
        <f>Y86</f>
        <v>#DIV/0!</v>
      </c>
      <c r="AA86" s="177"/>
      <c r="AB86" s="58"/>
    </row>
    <row r="87" spans="2:28" ht="15.6">
      <c r="B87" s="175" t="s">
        <v>24</v>
      </c>
      <c r="C87" s="167">
        <f>COUNTIFS('1. All Data'!$AA$3:$AA$134,"Protecting our heritage",'1. All Data'!$H$3:$H$134,"Deleted")</f>
        <v>0</v>
      </c>
      <c r="D87" s="176">
        <f>C87/C88</f>
        <v>0</v>
      </c>
      <c r="E87" s="176">
        <f>D87</f>
        <v>0</v>
      </c>
      <c r="F87" s="177"/>
      <c r="G87" s="3"/>
      <c r="I87" s="175" t="s">
        <v>24</v>
      </c>
      <c r="J87" s="167">
        <f>COUNTIFS('1. All Data'!$AA$3:$AA$134,"Protecting our heritage",'1. All Data'!$M$3:$M$134,"Deleted")</f>
        <v>0</v>
      </c>
      <c r="K87" s="176" t="e">
        <f>J87/J88</f>
        <v>#DIV/0!</v>
      </c>
      <c r="L87" s="176" t="e">
        <f>K87</f>
        <v>#DIV/0!</v>
      </c>
      <c r="M87" s="177"/>
      <c r="N87" s="3"/>
      <c r="P87" s="175" t="s">
        <v>24</v>
      </c>
      <c r="Q87" s="167">
        <f>COUNTIFS('1. All Data'!$AA$3:$AA$134,"Protecting our heritage",'1. All Data'!$R$3:$R$134,"Deleted")</f>
        <v>0</v>
      </c>
      <c r="R87" s="176" t="e">
        <f>Q87/Q88</f>
        <v>#DIV/0!</v>
      </c>
      <c r="S87" s="176" t="e">
        <f>R87</f>
        <v>#DIV/0!</v>
      </c>
      <c r="T87" s="177"/>
      <c r="U87" s="3"/>
      <c r="W87" s="175" t="s">
        <v>24</v>
      </c>
      <c r="X87" s="167">
        <f>COUNTIFS('1. All Data'!$AA$3:$AA$134,"Protecting our heritage",'1. All Data'!$V$3:$V$134,"Deleted")</f>
        <v>0</v>
      </c>
      <c r="Y87" s="278" t="e">
        <f t="shared" si="5"/>
        <v>#DIV/0!</v>
      </c>
      <c r="Z87" s="278" t="e">
        <f>Y87</f>
        <v>#DIV/0!</v>
      </c>
      <c r="AA87" s="177"/>
    </row>
    <row r="88" spans="2:28" ht="15.6">
      <c r="B88" s="193" t="s">
        <v>45</v>
      </c>
      <c r="C88" s="179">
        <f>SUM(C77:C87)</f>
        <v>10</v>
      </c>
      <c r="D88" s="177"/>
      <c r="E88" s="177"/>
      <c r="F88" s="58"/>
      <c r="G88" s="58"/>
      <c r="I88" s="193" t="s">
        <v>45</v>
      </c>
      <c r="J88" s="179">
        <f>SUM(J77:J87)</f>
        <v>0</v>
      </c>
      <c r="K88" s="177"/>
      <c r="L88" s="177"/>
      <c r="M88" s="58"/>
      <c r="N88" s="58"/>
      <c r="P88" s="193" t="s">
        <v>45</v>
      </c>
      <c r="Q88" s="179">
        <f>SUM(Q77:Q87)</f>
        <v>0</v>
      </c>
      <c r="R88" s="177"/>
      <c r="S88" s="177"/>
      <c r="T88" s="58"/>
      <c r="U88" s="58"/>
      <c r="W88" s="178" t="s">
        <v>45</v>
      </c>
      <c r="X88" s="179">
        <f>SUM(X77:X87)</f>
        <v>0</v>
      </c>
      <c r="Y88" s="177"/>
      <c r="Z88" s="177"/>
      <c r="AA88" s="58"/>
      <c r="AB88" s="58"/>
    </row>
    <row r="89" spans="2:28" ht="15.6">
      <c r="B89" s="193" t="s">
        <v>46</v>
      </c>
      <c r="C89" s="179">
        <f>C88-C87-C86-C85-C84</f>
        <v>10</v>
      </c>
      <c r="D89" s="58"/>
      <c r="E89" s="58"/>
      <c r="F89" s="58"/>
      <c r="G89" s="58"/>
      <c r="I89" s="193" t="s">
        <v>46</v>
      </c>
      <c r="J89" s="179">
        <f>J88-J87-J86-J85-J84</f>
        <v>0</v>
      </c>
      <c r="K89" s="58"/>
      <c r="L89" s="58"/>
      <c r="M89" s="58"/>
      <c r="N89" s="58"/>
      <c r="P89" s="193" t="s">
        <v>46</v>
      </c>
      <c r="Q89" s="179">
        <f>Q88-Q87-Q86-Q85-Q84</f>
        <v>0</v>
      </c>
      <c r="R89" s="58"/>
      <c r="S89" s="58"/>
      <c r="T89" s="58"/>
      <c r="U89" s="58"/>
      <c r="W89" s="178" t="s">
        <v>46</v>
      </c>
      <c r="X89" s="179">
        <f>X88-X87-X86-X85-X84</f>
        <v>0</v>
      </c>
      <c r="Y89" s="58"/>
      <c r="Z89" s="58"/>
      <c r="AA89" s="58"/>
      <c r="AB89" s="58"/>
    </row>
    <row r="91" spans="2:28" hidden="1"/>
    <row r="92" spans="2:28" hidden="1"/>
    <row r="93" spans="2:28" ht="15.6">
      <c r="B93" s="188" t="s">
        <v>125</v>
      </c>
      <c r="C93" s="189"/>
      <c r="D93" s="189"/>
      <c r="E93" s="189"/>
      <c r="F93" s="190"/>
      <c r="G93" s="191"/>
      <c r="I93" s="188" t="s">
        <v>125</v>
      </c>
      <c r="J93" s="189"/>
      <c r="K93" s="189"/>
      <c r="L93" s="189"/>
      <c r="M93" s="190"/>
      <c r="N93" s="191"/>
      <c r="P93" s="188" t="s">
        <v>125</v>
      </c>
      <c r="Q93" s="189"/>
      <c r="R93" s="189"/>
      <c r="S93" s="189"/>
      <c r="T93" s="190"/>
      <c r="U93" s="191"/>
      <c r="W93" s="188" t="s">
        <v>125</v>
      </c>
      <c r="X93" s="195"/>
      <c r="Y93" s="162"/>
      <c r="Z93" s="162"/>
      <c r="AA93" s="162"/>
      <c r="AB93" s="163"/>
    </row>
    <row r="94" spans="2:28" ht="31.2">
      <c r="B94" s="164" t="s">
        <v>36</v>
      </c>
      <c r="C94" s="164" t="s">
        <v>37</v>
      </c>
      <c r="D94" s="164" t="s">
        <v>38</v>
      </c>
      <c r="E94" s="164" t="s">
        <v>39</v>
      </c>
      <c r="F94" s="164" t="s">
        <v>40</v>
      </c>
      <c r="G94" s="164" t="s">
        <v>41</v>
      </c>
      <c r="I94" s="164" t="s">
        <v>36</v>
      </c>
      <c r="J94" s="164" t="s">
        <v>37</v>
      </c>
      <c r="K94" s="164" t="s">
        <v>38</v>
      </c>
      <c r="L94" s="164" t="s">
        <v>39</v>
      </c>
      <c r="M94" s="164" t="s">
        <v>40</v>
      </c>
      <c r="N94" s="164" t="s">
        <v>41</v>
      </c>
      <c r="P94" s="164" t="s">
        <v>36</v>
      </c>
      <c r="Q94" s="164" t="s">
        <v>37</v>
      </c>
      <c r="R94" s="164" t="s">
        <v>38</v>
      </c>
      <c r="S94" s="164" t="s">
        <v>39</v>
      </c>
      <c r="T94" s="164" t="s">
        <v>40</v>
      </c>
      <c r="U94" s="164" t="s">
        <v>41</v>
      </c>
      <c r="W94" s="164" t="s">
        <v>36</v>
      </c>
      <c r="X94" s="164" t="s">
        <v>37</v>
      </c>
      <c r="Y94" s="164" t="s">
        <v>38</v>
      </c>
      <c r="Z94" s="164" t="s">
        <v>39</v>
      </c>
      <c r="AA94" s="164" t="s">
        <v>40</v>
      </c>
      <c r="AB94" s="164" t="s">
        <v>41</v>
      </c>
    </row>
    <row r="95" spans="2:28" ht="15.6">
      <c r="B95" s="227" t="s">
        <v>42</v>
      </c>
      <c r="C95" s="167">
        <f>COUNTIFS('1. All Data'!$AA$3:$AA$134,"Standing up for our communities",'1. All Data'!$H$3:$H$134,"Fully Achieved")</f>
        <v>2</v>
      </c>
      <c r="D95" s="278">
        <f>C95/C106</f>
        <v>7.1428571428571425E-2</v>
      </c>
      <c r="E95" s="401">
        <f>D95+D96</f>
        <v>0.8214285714285714</v>
      </c>
      <c r="F95" s="278">
        <f>C95/C107</f>
        <v>8.6956521739130432E-2</v>
      </c>
      <c r="G95" s="403">
        <f>F95+F96</f>
        <v>1</v>
      </c>
      <c r="I95" s="227" t="s">
        <v>42</v>
      </c>
      <c r="J95" s="167">
        <f>COUNTIFS('1. All Data'!$AA$3:$AA$134,"Standing up for our communities",'1. All Data'!$M$3:$M$134,"Fully Achieved")</f>
        <v>0</v>
      </c>
      <c r="K95" s="278" t="e">
        <f>J95/J106</f>
        <v>#DIV/0!</v>
      </c>
      <c r="L95" s="401" t="e">
        <f>K95+K96</f>
        <v>#DIV/0!</v>
      </c>
      <c r="M95" s="278" t="e">
        <f>J95/J107</f>
        <v>#DIV/0!</v>
      </c>
      <c r="N95" s="403" t="e">
        <f>M95+M96</f>
        <v>#DIV/0!</v>
      </c>
      <c r="P95" s="227" t="s">
        <v>42</v>
      </c>
      <c r="Q95" s="167">
        <f>COUNTIFS('1. All Data'!$AA$3:$AA$134,"Standing up for our communities",'1. All Data'!$R$3:$R$134,"Fully Achieved")</f>
        <v>0</v>
      </c>
      <c r="R95" s="278" t="e">
        <f>Q95/Q106</f>
        <v>#DIV/0!</v>
      </c>
      <c r="S95" s="401" t="e">
        <f>R95+R96</f>
        <v>#DIV/0!</v>
      </c>
      <c r="T95" s="278" t="e">
        <f>Q95/Q107</f>
        <v>#DIV/0!</v>
      </c>
      <c r="U95" s="403" t="e">
        <f>T95+T96</f>
        <v>#DIV/0!</v>
      </c>
      <c r="W95" s="227" t="s">
        <v>42</v>
      </c>
      <c r="X95" s="167">
        <f>COUNTIFS('1. All Data'!$AA$3:$AA$134,"Standing up for our communities",'1. All Data'!$V$3:$V$134,"Fully Achieved")</f>
        <v>0</v>
      </c>
      <c r="Y95" s="278" t="e">
        <f>X95/X106</f>
        <v>#DIV/0!</v>
      </c>
      <c r="Z95" s="401" t="e">
        <f>Y95+Y96</f>
        <v>#DIV/0!</v>
      </c>
      <c r="AA95" s="278" t="e">
        <f>X95/X107</f>
        <v>#DIV/0!</v>
      </c>
      <c r="AB95" s="403" t="e">
        <f>AA95+AA96</f>
        <v>#DIV/0!</v>
      </c>
    </row>
    <row r="96" spans="2:28" ht="15.6">
      <c r="B96" s="227" t="s">
        <v>25</v>
      </c>
      <c r="C96" s="167">
        <f>COUNTIFS('1. All Data'!$AA$3:$AA$134,"Standing up for our communities",'1. All Data'!$H$3:$H$134,"On Track to be achieved")</f>
        <v>21</v>
      </c>
      <c r="D96" s="278">
        <f>C96/C106</f>
        <v>0.75</v>
      </c>
      <c r="E96" s="401"/>
      <c r="F96" s="278">
        <f>C96/C107</f>
        <v>0.91304347826086951</v>
      </c>
      <c r="G96" s="403"/>
      <c r="I96" s="227" t="s">
        <v>25</v>
      </c>
      <c r="J96" s="167">
        <f>COUNTIFS('1. All Data'!$AA$3:$AA$134,"Standing up for our communities",'1. All Data'!$M$3:$M$134,"On Track to be achieved")</f>
        <v>0</v>
      </c>
      <c r="K96" s="278" t="e">
        <f>J96/J106</f>
        <v>#DIV/0!</v>
      </c>
      <c r="L96" s="401"/>
      <c r="M96" s="278" t="e">
        <f>J96/J107</f>
        <v>#DIV/0!</v>
      </c>
      <c r="N96" s="403"/>
      <c r="P96" s="227" t="s">
        <v>25</v>
      </c>
      <c r="Q96" s="167">
        <f>COUNTIFS('1. All Data'!$AA$3:$AA$134,"Standing up for our communities",'1. All Data'!$R$3:$R$134,"On Track to be achieved")</f>
        <v>0</v>
      </c>
      <c r="R96" s="278" t="e">
        <f>Q96/Q106</f>
        <v>#DIV/0!</v>
      </c>
      <c r="S96" s="401"/>
      <c r="T96" s="278" t="e">
        <f>Q96/Q107</f>
        <v>#DIV/0!</v>
      </c>
      <c r="U96" s="403"/>
      <c r="W96" s="227" t="s">
        <v>17</v>
      </c>
      <c r="X96" s="167">
        <f>COUNTIFS('1. All Data'!$AA$3:$AA$134,"Standing up for our communities",'1. All Data'!$V$3:$V$134,"Numerical Outturn Within 5% Tolerance")</f>
        <v>0</v>
      </c>
      <c r="Y96" s="278" t="e">
        <f>X96/X106</f>
        <v>#DIV/0!</v>
      </c>
      <c r="Z96" s="401"/>
      <c r="AA96" s="278" t="e">
        <f>X96/X107</f>
        <v>#DIV/0!</v>
      </c>
      <c r="AB96" s="403"/>
    </row>
    <row r="97" spans="2:28" ht="15.6">
      <c r="B97" s="411" t="s">
        <v>26</v>
      </c>
      <c r="C97" s="414">
        <f>COUNTIFS('1. All Data'!$AA$3:$AA$134,"Standing up for our communities",'1. All Data'!$H$3:$H$134,"In Danger of Falling Behind Target")</f>
        <v>0</v>
      </c>
      <c r="D97" s="404">
        <f>C97/C106</f>
        <v>0</v>
      </c>
      <c r="E97" s="404">
        <f>D97</f>
        <v>0</v>
      </c>
      <c r="F97" s="404">
        <f>C97/C107</f>
        <v>0</v>
      </c>
      <c r="G97" s="407">
        <f>F97</f>
        <v>0</v>
      </c>
      <c r="I97" s="411" t="s">
        <v>26</v>
      </c>
      <c r="J97" s="414">
        <f>COUNTIFS('1. All Data'!$AA$3:$AA$134,"Standing up for our communities",'1. All Data'!$M$3:$M$134,"In Danger of Falling Behind Target")</f>
        <v>0</v>
      </c>
      <c r="K97" s="404" t="e">
        <f>J97/J106</f>
        <v>#DIV/0!</v>
      </c>
      <c r="L97" s="404" t="e">
        <f>K97</f>
        <v>#DIV/0!</v>
      </c>
      <c r="M97" s="404" t="e">
        <f>J97/J107</f>
        <v>#DIV/0!</v>
      </c>
      <c r="N97" s="407" t="e">
        <f>M97</f>
        <v>#DIV/0!</v>
      </c>
      <c r="P97" s="411" t="s">
        <v>26</v>
      </c>
      <c r="Q97" s="414">
        <f>COUNTIFS('1. All Data'!$AA$3:$AA$134,"Standing up for our communities",'1. All Data'!$R$3:$R$134,"In Danger of Falling Behind Target")</f>
        <v>0</v>
      </c>
      <c r="R97" s="404" t="e">
        <f>Q97/Q106</f>
        <v>#DIV/0!</v>
      </c>
      <c r="S97" s="404" t="e">
        <f>R97</f>
        <v>#DIV/0!</v>
      </c>
      <c r="T97" s="404" t="e">
        <f>Q97/Q107</f>
        <v>#DIV/0!</v>
      </c>
      <c r="U97" s="407" t="e">
        <f>T97</f>
        <v>#DIV/0!</v>
      </c>
      <c r="W97" s="169" t="s">
        <v>18</v>
      </c>
      <c r="X97" s="170">
        <f>COUNTIFS('1. All Data'!$AA$3:$AA$134,"Standing up for our communities",'1. All Data'!$V$3:$V$134,"Numerical Outturn Within 10% Tolerance")</f>
        <v>0</v>
      </c>
      <c r="Y97" s="278" t="e">
        <f t="shared" ref="Y97:Y105" si="6">X97/$X$34</f>
        <v>#DIV/0!</v>
      </c>
      <c r="Z97" s="401" t="e">
        <f>SUM(Y97:Y99)</f>
        <v>#DIV/0!</v>
      </c>
      <c r="AA97" s="278" t="e">
        <f>X97/X107</f>
        <v>#DIV/0!</v>
      </c>
      <c r="AB97" s="410" t="e">
        <f>SUM(AA97:AA99)</f>
        <v>#DIV/0!</v>
      </c>
    </row>
    <row r="98" spans="2:28" ht="15.6">
      <c r="B98" s="412"/>
      <c r="C98" s="415"/>
      <c r="D98" s="405"/>
      <c r="E98" s="405"/>
      <c r="F98" s="405"/>
      <c r="G98" s="408"/>
      <c r="I98" s="412"/>
      <c r="J98" s="415"/>
      <c r="K98" s="405"/>
      <c r="L98" s="405"/>
      <c r="M98" s="405"/>
      <c r="N98" s="408"/>
      <c r="P98" s="412"/>
      <c r="Q98" s="415"/>
      <c r="R98" s="405"/>
      <c r="S98" s="405"/>
      <c r="T98" s="405"/>
      <c r="U98" s="408"/>
      <c r="W98" s="169" t="s">
        <v>19</v>
      </c>
      <c r="X98" s="170">
        <f>COUNTIFS('1. All Data'!$AA$3:$AA$134,"Standing up for our communities",'1. All Data'!$V$3:$V$134,"Target Partially Met")</f>
        <v>0</v>
      </c>
      <c r="Y98" s="278" t="e">
        <f t="shared" si="6"/>
        <v>#DIV/0!</v>
      </c>
      <c r="Z98" s="401"/>
      <c r="AA98" s="278" t="e">
        <f>X98/X107</f>
        <v>#DIV/0!</v>
      </c>
      <c r="AB98" s="410"/>
    </row>
    <row r="99" spans="2:28" ht="15.6">
      <c r="B99" s="413"/>
      <c r="C99" s="416"/>
      <c r="D99" s="406"/>
      <c r="E99" s="406"/>
      <c r="F99" s="406"/>
      <c r="G99" s="409"/>
      <c r="I99" s="413"/>
      <c r="J99" s="416"/>
      <c r="K99" s="406"/>
      <c r="L99" s="406"/>
      <c r="M99" s="406"/>
      <c r="N99" s="409"/>
      <c r="P99" s="413"/>
      <c r="Q99" s="416"/>
      <c r="R99" s="406"/>
      <c r="S99" s="406"/>
      <c r="T99" s="406"/>
      <c r="U99" s="409"/>
      <c r="W99" s="169" t="s">
        <v>22</v>
      </c>
      <c r="X99" s="170">
        <f>COUNTIFS('1. All Data'!$AA$3:$AA$134,"Standing up for our communities",'1. All Data'!$V$3:$V$134,"Completion Date Within Reasonable Tolerance")</f>
        <v>0</v>
      </c>
      <c r="Y99" s="278" t="e">
        <f t="shared" si="6"/>
        <v>#DIV/0!</v>
      </c>
      <c r="Z99" s="401"/>
      <c r="AA99" s="278" t="e">
        <f>X99/X107</f>
        <v>#DIV/0!</v>
      </c>
      <c r="AB99" s="410"/>
    </row>
    <row r="100" spans="2:28" ht="15.6">
      <c r="B100" s="171" t="s">
        <v>27</v>
      </c>
      <c r="C100" s="167">
        <f>COUNTIFS('1. All Data'!$AA$3:$AA$134,"Standing up for our communities",'1. All Data'!$H$3:$H$134,"Completed Behind Schedule")</f>
        <v>0</v>
      </c>
      <c r="D100" s="278">
        <f>C100/C106</f>
        <v>0</v>
      </c>
      <c r="E100" s="401">
        <f>D100+D101</f>
        <v>0</v>
      </c>
      <c r="F100" s="278">
        <f>C100/C107</f>
        <v>0</v>
      </c>
      <c r="G100" s="402">
        <f>F100+F101</f>
        <v>0</v>
      </c>
      <c r="I100" s="171" t="s">
        <v>27</v>
      </c>
      <c r="J100" s="167">
        <f>COUNTIFS('1. All Data'!$AA$3:$AA$134,"Standing up for our communities",'1. All Data'!$M$3:$M$134,"Completed Behind Schedule")</f>
        <v>0</v>
      </c>
      <c r="K100" s="278" t="e">
        <f>J100/J106</f>
        <v>#DIV/0!</v>
      </c>
      <c r="L100" s="401" t="e">
        <f>K100+K101</f>
        <v>#DIV/0!</v>
      </c>
      <c r="M100" s="278" t="e">
        <f>J100/J107</f>
        <v>#DIV/0!</v>
      </c>
      <c r="N100" s="402" t="e">
        <f>M100+M101</f>
        <v>#DIV/0!</v>
      </c>
      <c r="P100" s="171" t="s">
        <v>27</v>
      </c>
      <c r="Q100" s="167">
        <f>COUNTIFS('1. All Data'!$AA$3:$AA$134,"Standing up for our communities",'1. All Data'!$R$3:$R$134,"Completed Behind Schedule")</f>
        <v>0</v>
      </c>
      <c r="R100" s="278" t="e">
        <f>Q100/Q106</f>
        <v>#DIV/0!</v>
      </c>
      <c r="S100" s="401" t="e">
        <f>R100+R101</f>
        <v>#DIV/0!</v>
      </c>
      <c r="T100" s="278" t="e">
        <f>Q100/Q107</f>
        <v>#DIV/0!</v>
      </c>
      <c r="U100" s="402" t="e">
        <f>T100+T101</f>
        <v>#DIV/0!</v>
      </c>
      <c r="W100" s="171" t="s">
        <v>21</v>
      </c>
      <c r="X100" s="167">
        <f>COUNTIFS('1. All Data'!$AA$3:$AA$134,"Standing up for our communities",'1. All Data'!$V$3:$V$134,"Completed Significantly After Target Deadline")</f>
        <v>0</v>
      </c>
      <c r="Y100" s="278" t="e">
        <f t="shared" si="6"/>
        <v>#DIV/0!</v>
      </c>
      <c r="Z100" s="401" t="e">
        <f>SUM(Y100:Y101)</f>
        <v>#DIV/0!</v>
      </c>
      <c r="AA100" s="278" t="e">
        <f>X100/X107</f>
        <v>#DIV/0!</v>
      </c>
      <c r="AB100" s="402" t="e">
        <f>AA100+AA101</f>
        <v>#DIV/0!</v>
      </c>
    </row>
    <row r="101" spans="2:28" ht="15.6">
      <c r="B101" s="171" t="s">
        <v>20</v>
      </c>
      <c r="C101" s="167">
        <f>COUNTIFS('1. All Data'!$AA$3:$AA$134,"Standing up for our communities",'1. All Data'!$H$3:$H$134,"Off Target")</f>
        <v>0</v>
      </c>
      <c r="D101" s="278">
        <f>C101/C106</f>
        <v>0</v>
      </c>
      <c r="E101" s="401"/>
      <c r="F101" s="278">
        <f>C101/C107</f>
        <v>0</v>
      </c>
      <c r="G101" s="402"/>
      <c r="I101" s="171" t="s">
        <v>20</v>
      </c>
      <c r="J101" s="167">
        <f>COUNTIFS('1. All Data'!$AA$3:$AA$134,"Standing up for our communities",'1. All Data'!$M$3:$M$134,"Off Target")</f>
        <v>0</v>
      </c>
      <c r="K101" s="278" t="e">
        <f>J101/J106</f>
        <v>#DIV/0!</v>
      </c>
      <c r="L101" s="401"/>
      <c r="M101" s="278" t="e">
        <f>J101/J107</f>
        <v>#DIV/0!</v>
      </c>
      <c r="N101" s="402"/>
      <c r="P101" s="171" t="s">
        <v>20</v>
      </c>
      <c r="Q101" s="167">
        <f>COUNTIFS('1. All Data'!$AA$3:$AA$134,"Standing up for our communities",'1. All Data'!$R$3:$R$134,"Off Target")</f>
        <v>0</v>
      </c>
      <c r="R101" s="278" t="e">
        <f>Q101/Q106</f>
        <v>#DIV/0!</v>
      </c>
      <c r="S101" s="401"/>
      <c r="T101" s="278" t="e">
        <f>Q101/Q107</f>
        <v>#DIV/0!</v>
      </c>
      <c r="U101" s="402"/>
      <c r="W101" s="171" t="s">
        <v>20</v>
      </c>
      <c r="X101" s="167">
        <f>COUNTIFS('1. All Data'!$AA$3:$AA$134,"Standing up for our communities",'1. All Data'!$V$3:$V$134,"Off Target")</f>
        <v>0</v>
      </c>
      <c r="Y101" s="278" t="e">
        <f t="shared" si="6"/>
        <v>#DIV/0!</v>
      </c>
      <c r="Z101" s="401"/>
      <c r="AA101" s="278" t="e">
        <f>X101/X107</f>
        <v>#DIV/0!</v>
      </c>
      <c r="AB101" s="402"/>
    </row>
    <row r="102" spans="2:28" ht="15.6">
      <c r="B102" s="172" t="s">
        <v>43</v>
      </c>
      <c r="C102" s="167">
        <f>COUNTIFS('1. All Data'!$AA$3:$AA$134,"Standing up for our communities",'1. All Data'!$H$3:$H$134,"Not yet due")</f>
        <v>5</v>
      </c>
      <c r="D102" s="173">
        <f>C102/C106</f>
        <v>0.17857142857142858</v>
      </c>
      <c r="E102" s="173">
        <f>D102</f>
        <v>0.17857142857142858</v>
      </c>
      <c r="F102" s="174"/>
      <c r="G102" s="58"/>
      <c r="I102" s="172" t="s">
        <v>43</v>
      </c>
      <c r="J102" s="167">
        <f>COUNTIFS('1. All Data'!$AA$3:$AA$134,"Standing up for our communities",'1. All Data'!$M$3:$M$134,"Not yet due")</f>
        <v>0</v>
      </c>
      <c r="K102" s="173" t="e">
        <f>J102/J106</f>
        <v>#DIV/0!</v>
      </c>
      <c r="L102" s="173" t="e">
        <f>K102</f>
        <v>#DIV/0!</v>
      </c>
      <c r="M102" s="174"/>
      <c r="N102" s="58"/>
      <c r="P102" s="172" t="s">
        <v>43</v>
      </c>
      <c r="Q102" s="167">
        <f>COUNTIFS('1. All Data'!$AA$3:$AA$134,"Standing up for our communities",'1. All Data'!$R$3:$R$134,"Not yet due")</f>
        <v>0</v>
      </c>
      <c r="R102" s="173" t="e">
        <f>Q102/Q106</f>
        <v>#DIV/0!</v>
      </c>
      <c r="S102" s="173" t="e">
        <f>R102</f>
        <v>#DIV/0!</v>
      </c>
      <c r="T102" s="174"/>
      <c r="U102" s="58"/>
      <c r="W102" s="172" t="s">
        <v>43</v>
      </c>
      <c r="X102" s="167">
        <f>COUNTIFS('1. All Data'!$AA$3:$AA$134,"Standing up for our communities",'1. All Data'!$V$3:$V$134,"Not yet due")</f>
        <v>0</v>
      </c>
      <c r="Y102" s="278" t="e">
        <f t="shared" si="6"/>
        <v>#DIV/0!</v>
      </c>
      <c r="Z102" s="278" t="e">
        <f>Y102</f>
        <v>#DIV/0!</v>
      </c>
      <c r="AA102" s="174"/>
      <c r="AB102" s="58"/>
    </row>
    <row r="103" spans="2:28" ht="15.6">
      <c r="B103" s="172" t="s">
        <v>15</v>
      </c>
      <c r="C103" s="167">
        <f>COUNTIFS('1. All Data'!$AA$3:$AA$134,"Standing up for our communities",'1. All Data'!$H$3:$H$134,"update not provided")</f>
        <v>0</v>
      </c>
      <c r="D103" s="173">
        <f>C103/C106</f>
        <v>0</v>
      </c>
      <c r="E103" s="173">
        <f>D103</f>
        <v>0</v>
      </c>
      <c r="F103" s="174"/>
      <c r="G103" s="2"/>
      <c r="I103" s="172" t="s">
        <v>15</v>
      </c>
      <c r="J103" s="167">
        <f>COUNTIFS('1. All Data'!$AA$3:$AA$134,"Standing up for our communities",'1. All Data'!$M$3:$M$134,"update not provided")</f>
        <v>0</v>
      </c>
      <c r="K103" s="173" t="e">
        <f>J103/J106</f>
        <v>#DIV/0!</v>
      </c>
      <c r="L103" s="173" t="e">
        <f>K103</f>
        <v>#DIV/0!</v>
      </c>
      <c r="M103" s="174"/>
      <c r="N103" s="2"/>
      <c r="P103" s="172" t="s">
        <v>15</v>
      </c>
      <c r="Q103" s="167">
        <f>COUNTIFS('1. All Data'!$AA$3:$AA$134,"Standing up for our communities",'1. All Data'!$R$3:$R$134,"update not provided")</f>
        <v>0</v>
      </c>
      <c r="R103" s="173" t="e">
        <f>Q103/Q106</f>
        <v>#DIV/0!</v>
      </c>
      <c r="S103" s="173" t="e">
        <f>R103</f>
        <v>#DIV/0!</v>
      </c>
      <c r="T103" s="174"/>
      <c r="U103" s="2"/>
      <c r="W103" s="172" t="s">
        <v>15</v>
      </c>
      <c r="X103" s="167">
        <f>COUNTIFS('1. All Data'!$AA$3:$AA$134,"Standing up for our communities",'1. All Data'!$V$3:$V$134,"update not provided")</f>
        <v>0</v>
      </c>
      <c r="Y103" s="278" t="e">
        <f t="shared" si="6"/>
        <v>#DIV/0!</v>
      </c>
      <c r="Z103" s="278" t="e">
        <f>Y103</f>
        <v>#DIV/0!</v>
      </c>
      <c r="AA103" s="174"/>
      <c r="AB103" s="2"/>
    </row>
    <row r="104" spans="2:28" ht="15.6">
      <c r="B104" s="175" t="s">
        <v>23</v>
      </c>
      <c r="C104" s="167">
        <f>COUNTIFS('1. All Data'!$AA$3:$AA$134,"Standing up for our communities",'1. All Data'!$H$3:$H$134,"Deferred")</f>
        <v>0</v>
      </c>
      <c r="D104" s="176">
        <f>C104/C106</f>
        <v>0</v>
      </c>
      <c r="E104" s="176">
        <f>D104</f>
        <v>0</v>
      </c>
      <c r="F104" s="177"/>
      <c r="G104" s="58"/>
      <c r="I104" s="175" t="s">
        <v>23</v>
      </c>
      <c r="J104" s="167">
        <f>COUNTIFS('1. All Data'!$AA$3:$AA$134,"Standing up for our communities",'1. All Data'!$M$3:$M$134,"Deferred")</f>
        <v>0</v>
      </c>
      <c r="K104" s="176" t="e">
        <f>J104/J106</f>
        <v>#DIV/0!</v>
      </c>
      <c r="L104" s="176" t="e">
        <f>K104</f>
        <v>#DIV/0!</v>
      </c>
      <c r="M104" s="177"/>
      <c r="N104" s="58"/>
      <c r="P104" s="175" t="s">
        <v>23</v>
      </c>
      <c r="Q104" s="167">
        <f>COUNTIFS('1. All Data'!$AA$3:$AA$134,"Standing up for our communities",'1. All Data'!$R$3:$R$134,"Deferred")</f>
        <v>0</v>
      </c>
      <c r="R104" s="176" t="e">
        <f>Q104/Q106</f>
        <v>#DIV/0!</v>
      </c>
      <c r="S104" s="176" t="e">
        <f>R104</f>
        <v>#DIV/0!</v>
      </c>
      <c r="T104" s="177"/>
      <c r="U104" s="58"/>
      <c r="W104" s="175" t="s">
        <v>23</v>
      </c>
      <c r="X104" s="167">
        <f>COUNTIFS('1. All Data'!$AA$3:$AA$134,"Standing up for our communities",'1. All Data'!$V$3:$V$134,"Deferred")</f>
        <v>0</v>
      </c>
      <c r="Y104" s="278" t="e">
        <f t="shared" si="6"/>
        <v>#DIV/0!</v>
      </c>
      <c r="Z104" s="278" t="e">
        <f>Y104</f>
        <v>#DIV/0!</v>
      </c>
      <c r="AA104" s="177"/>
      <c r="AB104" s="58"/>
    </row>
    <row r="105" spans="2:28" ht="15.6">
      <c r="B105" s="175" t="s">
        <v>24</v>
      </c>
      <c r="C105" s="167">
        <f>COUNTIFS('1. All Data'!$AA$3:$AA$134,"Standing up for our communities",'1. All Data'!$H$3:$H$134,"Deleted")</f>
        <v>0</v>
      </c>
      <c r="D105" s="176">
        <f>C105/C106</f>
        <v>0</v>
      </c>
      <c r="E105" s="176">
        <f>D105</f>
        <v>0</v>
      </c>
      <c r="F105" s="177"/>
      <c r="G105" s="3"/>
      <c r="I105" s="175" t="s">
        <v>24</v>
      </c>
      <c r="J105" s="167">
        <f>COUNTIFS('1. All Data'!$AA$3:$AA$134,"Standing up for our communities",'1. All Data'!$M$3:$M$134,"Deleted")</f>
        <v>0</v>
      </c>
      <c r="K105" s="176" t="e">
        <f>J105/J106</f>
        <v>#DIV/0!</v>
      </c>
      <c r="L105" s="176" t="e">
        <f>K105</f>
        <v>#DIV/0!</v>
      </c>
      <c r="M105" s="177"/>
      <c r="N105" s="3"/>
      <c r="P105" s="175" t="s">
        <v>24</v>
      </c>
      <c r="Q105" s="167">
        <f>COUNTIFS('1. All Data'!$AA$3:$AA$134,"Standing up for our communities",'1. All Data'!$R$3:$R$134,"Deleted")</f>
        <v>0</v>
      </c>
      <c r="R105" s="176" t="e">
        <f>Q105/Q106</f>
        <v>#DIV/0!</v>
      </c>
      <c r="S105" s="176" t="e">
        <f>R105</f>
        <v>#DIV/0!</v>
      </c>
      <c r="T105" s="177"/>
      <c r="U105" s="3"/>
      <c r="W105" s="175" t="s">
        <v>24</v>
      </c>
      <c r="X105" s="167">
        <f>COUNTIFS('1. All Data'!$AA$3:$AA$134,"Standing up for our communities",'1. All Data'!$V$3:$V$134,"Deleted")</f>
        <v>0</v>
      </c>
      <c r="Y105" s="278" t="e">
        <f t="shared" si="6"/>
        <v>#DIV/0!</v>
      </c>
      <c r="Z105" s="278" t="e">
        <f>Y105</f>
        <v>#DIV/0!</v>
      </c>
      <c r="AA105" s="177"/>
    </row>
    <row r="106" spans="2:28" ht="15.6">
      <c r="B106" s="193" t="s">
        <v>45</v>
      </c>
      <c r="C106" s="179">
        <f>SUM(C95:C105)</f>
        <v>28</v>
      </c>
      <c r="D106" s="177"/>
      <c r="E106" s="177"/>
      <c r="F106" s="58"/>
      <c r="G106" s="58"/>
      <c r="I106" s="193" t="s">
        <v>45</v>
      </c>
      <c r="J106" s="179">
        <f>SUM(J95:J105)</f>
        <v>0</v>
      </c>
      <c r="K106" s="177"/>
      <c r="L106" s="177"/>
      <c r="M106" s="58"/>
      <c r="N106" s="58"/>
      <c r="P106" s="193" t="s">
        <v>45</v>
      </c>
      <c r="Q106" s="179">
        <f>SUM(Q95:Q105)</f>
        <v>0</v>
      </c>
      <c r="R106" s="177"/>
      <c r="S106" s="177"/>
      <c r="T106" s="58"/>
      <c r="U106" s="58"/>
      <c r="W106" s="178" t="s">
        <v>45</v>
      </c>
      <c r="X106" s="179">
        <f>SUM(X95:X105)</f>
        <v>0</v>
      </c>
      <c r="Y106" s="177"/>
      <c r="Z106" s="177"/>
      <c r="AA106" s="58"/>
      <c r="AB106" s="58"/>
    </row>
    <row r="107" spans="2:28" ht="15.6">
      <c r="B107" s="193" t="s">
        <v>46</v>
      </c>
      <c r="C107" s="179">
        <f>C106-C105-C104-C103-C102</f>
        <v>23</v>
      </c>
      <c r="D107" s="58"/>
      <c r="E107" s="58"/>
      <c r="F107" s="58"/>
      <c r="G107" s="58"/>
      <c r="I107" s="193" t="s">
        <v>46</v>
      </c>
      <c r="J107" s="179">
        <f>J106-J105-J104-J103-J102</f>
        <v>0</v>
      </c>
      <c r="K107" s="58"/>
      <c r="L107" s="58"/>
      <c r="M107" s="58"/>
      <c r="N107" s="58"/>
      <c r="P107" s="193" t="s">
        <v>46</v>
      </c>
      <c r="Q107" s="179">
        <f>Q106-Q105-Q104-Q103-Q102</f>
        <v>0</v>
      </c>
      <c r="R107" s="58"/>
      <c r="S107" s="58"/>
      <c r="T107" s="58"/>
      <c r="U107" s="58"/>
      <c r="W107" s="178" t="s">
        <v>46</v>
      </c>
      <c r="X107" s="179">
        <f>X106-X105-X104-X103-X102</f>
        <v>0</v>
      </c>
      <c r="Y107" s="58"/>
      <c r="Z107" s="58"/>
      <c r="AA107" s="58"/>
      <c r="AB107" s="58"/>
    </row>
    <row r="109" spans="2:28" hidden="1"/>
    <row r="110" spans="2:28" hidden="1"/>
    <row r="111" spans="2:28" ht="15.6">
      <c r="B111" s="188" t="s">
        <v>127</v>
      </c>
      <c r="C111" s="189"/>
      <c r="D111" s="189"/>
      <c r="E111" s="189"/>
      <c r="F111" s="190"/>
      <c r="G111" s="191"/>
      <c r="I111" s="188" t="s">
        <v>127</v>
      </c>
      <c r="J111" s="189"/>
      <c r="K111" s="189"/>
      <c r="L111" s="189"/>
      <c r="M111" s="190"/>
      <c r="N111" s="191"/>
      <c r="P111" s="188" t="s">
        <v>127</v>
      </c>
      <c r="Q111" s="189"/>
      <c r="R111" s="189"/>
      <c r="S111" s="189"/>
      <c r="T111" s="190"/>
      <c r="U111" s="191"/>
      <c r="W111" s="188" t="s">
        <v>127</v>
      </c>
      <c r="X111" s="195"/>
      <c r="Y111" s="162"/>
      <c r="Z111" s="162"/>
      <c r="AA111" s="162"/>
      <c r="AB111" s="163"/>
    </row>
    <row r="112" spans="2:28" ht="31.2">
      <c r="B112" s="164" t="s">
        <v>36</v>
      </c>
      <c r="C112" s="164" t="s">
        <v>37</v>
      </c>
      <c r="D112" s="164" t="s">
        <v>38</v>
      </c>
      <c r="E112" s="164" t="s">
        <v>39</v>
      </c>
      <c r="F112" s="164" t="s">
        <v>40</v>
      </c>
      <c r="G112" s="164" t="s">
        <v>41</v>
      </c>
      <c r="I112" s="164" t="s">
        <v>36</v>
      </c>
      <c r="J112" s="164" t="s">
        <v>37</v>
      </c>
      <c r="K112" s="164" t="s">
        <v>38</v>
      </c>
      <c r="L112" s="164" t="s">
        <v>39</v>
      </c>
      <c r="M112" s="164" t="s">
        <v>40</v>
      </c>
      <c r="N112" s="164" t="s">
        <v>41</v>
      </c>
      <c r="P112" s="164" t="s">
        <v>36</v>
      </c>
      <c r="Q112" s="164" t="s">
        <v>37</v>
      </c>
      <c r="R112" s="164" t="s">
        <v>38</v>
      </c>
      <c r="S112" s="164" t="s">
        <v>39</v>
      </c>
      <c r="T112" s="164" t="s">
        <v>40</v>
      </c>
      <c r="U112" s="164" t="s">
        <v>41</v>
      </c>
      <c r="W112" s="164" t="s">
        <v>36</v>
      </c>
      <c r="X112" s="164" t="s">
        <v>37</v>
      </c>
      <c r="Y112" s="164" t="s">
        <v>38</v>
      </c>
      <c r="Z112" s="164" t="s">
        <v>39</v>
      </c>
      <c r="AA112" s="164" t="s">
        <v>40</v>
      </c>
      <c r="AB112" s="164" t="s">
        <v>41</v>
      </c>
    </row>
    <row r="113" spans="2:28" ht="15.6">
      <c r="B113" s="227" t="s">
        <v>42</v>
      </c>
      <c r="C113" s="167">
        <f>COUNTIFS('1. All Data'!$AA$3:$AA$134,"",'1. All Data'!$H$3:$H$134,"Fully Achieved")</f>
        <v>0</v>
      </c>
      <c r="D113" s="278" t="e">
        <f>C113/C124</f>
        <v>#DIV/0!</v>
      </c>
      <c r="E113" s="401" t="e">
        <f>D113+D114</f>
        <v>#DIV/0!</v>
      </c>
      <c r="F113" s="278" t="e">
        <f>C113/C125</f>
        <v>#DIV/0!</v>
      </c>
      <c r="G113" s="403" t="e">
        <f>F113+F114</f>
        <v>#DIV/0!</v>
      </c>
      <c r="I113" s="227" t="s">
        <v>42</v>
      </c>
      <c r="J113" s="167">
        <f>COUNTIFS('1. All Data'!$AA$3:$AA$134,"",'1. All Data'!$M$3:$M$134,"Fully Achieved")</f>
        <v>0</v>
      </c>
      <c r="K113" s="278" t="e">
        <f>J113/J124</f>
        <v>#DIV/0!</v>
      </c>
      <c r="L113" s="401" t="e">
        <f>K113+K114</f>
        <v>#DIV/0!</v>
      </c>
      <c r="M113" s="278" t="e">
        <f>J113/J125</f>
        <v>#DIV/0!</v>
      </c>
      <c r="N113" s="403" t="e">
        <f>M113+M114</f>
        <v>#DIV/0!</v>
      </c>
      <c r="P113" s="227" t="s">
        <v>42</v>
      </c>
      <c r="Q113" s="167">
        <f>COUNTIFS('1. All Data'!$AA$3:$AA$134,"",'1. All Data'!$R$3:$R$134,"Fully Achieved")</f>
        <v>0</v>
      </c>
      <c r="R113" s="278" t="e">
        <f>Q113/Q124</f>
        <v>#DIV/0!</v>
      </c>
      <c r="S113" s="401" t="e">
        <f>R113+R114</f>
        <v>#DIV/0!</v>
      </c>
      <c r="T113" s="278" t="e">
        <f>Q113/Q125</f>
        <v>#DIV/0!</v>
      </c>
      <c r="U113" s="403" t="e">
        <f>T113+T114</f>
        <v>#DIV/0!</v>
      </c>
      <c r="W113" s="227" t="s">
        <v>42</v>
      </c>
      <c r="X113" s="167">
        <f>COUNTIFS('1. All Data'!$AA$3:$AA$134,"",'1. All Data'!$V$3:$V$134,"Fully Achieved")</f>
        <v>0</v>
      </c>
      <c r="Y113" s="278" t="e">
        <f>X113/X124</f>
        <v>#DIV/0!</v>
      </c>
      <c r="Z113" s="401" t="e">
        <f>Y113+Y114</f>
        <v>#DIV/0!</v>
      </c>
      <c r="AA113" s="278" t="e">
        <f>X113/X125</f>
        <v>#DIV/0!</v>
      </c>
      <c r="AB113" s="403" t="e">
        <f>AA113+AA114</f>
        <v>#DIV/0!</v>
      </c>
    </row>
    <row r="114" spans="2:28" ht="15.6">
      <c r="B114" s="227" t="s">
        <v>25</v>
      </c>
      <c r="C114" s="167">
        <f>COUNTIFS('1. All Data'!$AA$3:$AA$134,"",'1. All Data'!$H$3:$H$134,"On Track to be achieved")</f>
        <v>0</v>
      </c>
      <c r="D114" s="278" t="e">
        <f>C114/C124</f>
        <v>#DIV/0!</v>
      </c>
      <c r="E114" s="401"/>
      <c r="F114" s="278" t="e">
        <f>C114/C125</f>
        <v>#DIV/0!</v>
      </c>
      <c r="G114" s="403"/>
      <c r="I114" s="227" t="s">
        <v>25</v>
      </c>
      <c r="J114" s="167">
        <f>COUNTIFS('1. All Data'!$AA$3:$AA$134,"",'1. All Data'!$M$3:$M$134,"On Track to be achieved")</f>
        <v>0</v>
      </c>
      <c r="K114" s="278" t="e">
        <f>J114/J124</f>
        <v>#DIV/0!</v>
      </c>
      <c r="L114" s="401"/>
      <c r="M114" s="278" t="e">
        <f>J114/J125</f>
        <v>#DIV/0!</v>
      </c>
      <c r="N114" s="403"/>
      <c r="P114" s="227" t="s">
        <v>25</v>
      </c>
      <c r="Q114" s="167">
        <f>COUNTIFS('1. All Data'!$AA$3:$AA$134,"",'1. All Data'!$R$3:$R$134,"On Track to be achieved")</f>
        <v>0</v>
      </c>
      <c r="R114" s="278" t="e">
        <f>Q114/Q124</f>
        <v>#DIV/0!</v>
      </c>
      <c r="S114" s="401"/>
      <c r="T114" s="278" t="e">
        <f>Q114/Q125</f>
        <v>#DIV/0!</v>
      </c>
      <c r="U114" s="403"/>
      <c r="W114" s="227" t="s">
        <v>17</v>
      </c>
      <c r="X114" s="167">
        <f>COUNTIFS('1. All Data'!$AA$3:$AA$134,"",'1. All Data'!$V$3:$V$134,"Numerical Outturn Within 5% Tolerance")</f>
        <v>0</v>
      </c>
      <c r="Y114" s="278" t="e">
        <f>X114/X124</f>
        <v>#DIV/0!</v>
      </c>
      <c r="Z114" s="401"/>
      <c r="AA114" s="278" t="e">
        <f>X114/X125</f>
        <v>#DIV/0!</v>
      </c>
      <c r="AB114" s="403"/>
    </row>
    <row r="115" spans="2:28" ht="15.6">
      <c r="B115" s="411" t="s">
        <v>26</v>
      </c>
      <c r="C115" s="414">
        <f>COUNTIFS('1. All Data'!$AA$3:$AA$134,"",'1. All Data'!$H$3:$H$134,"In Danger of Falling Behind Target")</f>
        <v>0</v>
      </c>
      <c r="D115" s="404" t="e">
        <f>C115/C124</f>
        <v>#DIV/0!</v>
      </c>
      <c r="E115" s="404" t="e">
        <f>D115</f>
        <v>#DIV/0!</v>
      </c>
      <c r="F115" s="404" t="e">
        <f>C115/C125</f>
        <v>#DIV/0!</v>
      </c>
      <c r="G115" s="407" t="e">
        <f>F115</f>
        <v>#DIV/0!</v>
      </c>
      <c r="I115" s="411" t="s">
        <v>26</v>
      </c>
      <c r="J115" s="414">
        <f>COUNTIFS('1. All Data'!$AA$3:$AA$134,"",'1. All Data'!$M$3:$M$134,"In Danger of Falling Behind Target")</f>
        <v>0</v>
      </c>
      <c r="K115" s="404" t="e">
        <f>J115/J124</f>
        <v>#DIV/0!</v>
      </c>
      <c r="L115" s="404" t="e">
        <f>K115</f>
        <v>#DIV/0!</v>
      </c>
      <c r="M115" s="404" t="e">
        <f>J115/J125</f>
        <v>#DIV/0!</v>
      </c>
      <c r="N115" s="407" t="e">
        <f>M115</f>
        <v>#DIV/0!</v>
      </c>
      <c r="P115" s="411" t="s">
        <v>26</v>
      </c>
      <c r="Q115" s="414">
        <f>COUNTIFS('1. All Data'!$AA$3:$AA$134,"",'1. All Data'!$R$3:$R$134,"In Danger of Falling Behind Target")</f>
        <v>0</v>
      </c>
      <c r="R115" s="404" t="e">
        <f>Q115/Q124</f>
        <v>#DIV/0!</v>
      </c>
      <c r="S115" s="404" t="e">
        <f>R115</f>
        <v>#DIV/0!</v>
      </c>
      <c r="T115" s="404" t="e">
        <f>Q115/Q125</f>
        <v>#DIV/0!</v>
      </c>
      <c r="U115" s="407" t="e">
        <f>T115</f>
        <v>#DIV/0!</v>
      </c>
      <c r="W115" s="169" t="s">
        <v>18</v>
      </c>
      <c r="X115" s="170">
        <f>COUNTIFS('1. All Data'!$AA$3:$AA$134,"",'1. All Data'!$V$3:$V$134,"Numerical Outturn Within 10% Tolerance")</f>
        <v>0</v>
      </c>
      <c r="Y115" s="278" t="e">
        <f t="shared" ref="Y115:Y123" si="7">X115/$X$34</f>
        <v>#DIV/0!</v>
      </c>
      <c r="Z115" s="401" t="e">
        <f>SUM(Y115:Y117)</f>
        <v>#DIV/0!</v>
      </c>
      <c r="AA115" s="278" t="e">
        <f>X115/X125</f>
        <v>#DIV/0!</v>
      </c>
      <c r="AB115" s="410" t="e">
        <f>SUM(AA115:AA117)</f>
        <v>#DIV/0!</v>
      </c>
    </row>
    <row r="116" spans="2:28" ht="15.6">
      <c r="B116" s="412"/>
      <c r="C116" s="415"/>
      <c r="D116" s="405"/>
      <c r="E116" s="405"/>
      <c r="F116" s="405"/>
      <c r="G116" s="408"/>
      <c r="I116" s="412"/>
      <c r="J116" s="415"/>
      <c r="K116" s="405"/>
      <c r="L116" s="405"/>
      <c r="M116" s="405"/>
      <c r="N116" s="408"/>
      <c r="P116" s="412"/>
      <c r="Q116" s="415"/>
      <c r="R116" s="405"/>
      <c r="S116" s="405"/>
      <c r="T116" s="405"/>
      <c r="U116" s="408"/>
      <c r="W116" s="169" t="s">
        <v>19</v>
      </c>
      <c r="X116" s="170">
        <f>COUNTIFS('1. All Data'!$AA$3:$AA$134,"",'1. All Data'!$V$3:$V$134,"Target Partially Met")</f>
        <v>0</v>
      </c>
      <c r="Y116" s="278" t="e">
        <f t="shared" si="7"/>
        <v>#DIV/0!</v>
      </c>
      <c r="Z116" s="401"/>
      <c r="AA116" s="278" t="e">
        <f>X116/X125</f>
        <v>#DIV/0!</v>
      </c>
      <c r="AB116" s="410"/>
    </row>
    <row r="117" spans="2:28" ht="15.6">
      <c r="B117" s="413"/>
      <c r="C117" s="416"/>
      <c r="D117" s="406"/>
      <c r="E117" s="406"/>
      <c r="F117" s="406"/>
      <c r="G117" s="409"/>
      <c r="I117" s="413"/>
      <c r="J117" s="416"/>
      <c r="K117" s="406"/>
      <c r="L117" s="406"/>
      <c r="M117" s="406"/>
      <c r="N117" s="409"/>
      <c r="P117" s="413"/>
      <c r="Q117" s="416"/>
      <c r="R117" s="406"/>
      <c r="S117" s="406"/>
      <c r="T117" s="406"/>
      <c r="U117" s="409"/>
      <c r="W117" s="169" t="s">
        <v>22</v>
      </c>
      <c r="X117" s="170">
        <f>COUNTIFS('1. All Data'!$AA$3:$AA$134,"",'1. All Data'!$V$3:$V$134,"Completion Date Within Reasonable Tolerance")</f>
        <v>0</v>
      </c>
      <c r="Y117" s="278" t="e">
        <f t="shared" si="7"/>
        <v>#DIV/0!</v>
      </c>
      <c r="Z117" s="401"/>
      <c r="AA117" s="278" t="e">
        <f>X117/X125</f>
        <v>#DIV/0!</v>
      </c>
      <c r="AB117" s="410"/>
    </row>
    <row r="118" spans="2:28" ht="15.6">
      <c r="B118" s="171" t="s">
        <v>27</v>
      </c>
      <c r="C118" s="167">
        <f>COUNTIFS('1. All Data'!$AA$3:$AA$134,"",'1. All Data'!$H$3:$H$134,"Completed Behind Schedule")</f>
        <v>0</v>
      </c>
      <c r="D118" s="278" t="e">
        <f>C118/C124</f>
        <v>#DIV/0!</v>
      </c>
      <c r="E118" s="401" t="e">
        <f>D118+D119</f>
        <v>#DIV/0!</v>
      </c>
      <c r="F118" s="278" t="e">
        <f>C118/C125</f>
        <v>#DIV/0!</v>
      </c>
      <c r="G118" s="402" t="e">
        <f>F118+F119</f>
        <v>#DIV/0!</v>
      </c>
      <c r="I118" s="171" t="s">
        <v>27</v>
      </c>
      <c r="J118" s="167">
        <f>COUNTIFS('1. All Data'!$AA$3:$AA$134,"",'1. All Data'!$M$3:$M$134,"Completed Behind Schedule")</f>
        <v>0</v>
      </c>
      <c r="K118" s="278" t="e">
        <f>J118/J124</f>
        <v>#DIV/0!</v>
      </c>
      <c r="L118" s="401" t="e">
        <f>K118+K119</f>
        <v>#DIV/0!</v>
      </c>
      <c r="M118" s="278" t="e">
        <f>J118/J125</f>
        <v>#DIV/0!</v>
      </c>
      <c r="N118" s="402" t="e">
        <f>M118+M119</f>
        <v>#DIV/0!</v>
      </c>
      <c r="P118" s="171" t="s">
        <v>27</v>
      </c>
      <c r="Q118" s="167">
        <f>COUNTIFS('1. All Data'!$AA$3:$AA$134,"",'1. All Data'!$R$3:$R$134,"Completed Behind Schedule")</f>
        <v>0</v>
      </c>
      <c r="R118" s="278" t="e">
        <f>Q118/Q124</f>
        <v>#DIV/0!</v>
      </c>
      <c r="S118" s="401" t="e">
        <f>R118+R119</f>
        <v>#DIV/0!</v>
      </c>
      <c r="T118" s="278" t="e">
        <f>Q118/Q125</f>
        <v>#DIV/0!</v>
      </c>
      <c r="U118" s="402" t="e">
        <f>T118+T119</f>
        <v>#DIV/0!</v>
      </c>
      <c r="W118" s="171" t="s">
        <v>21</v>
      </c>
      <c r="X118" s="167">
        <f>COUNTIFS('1. All Data'!$AA$3:$AA$134,"",'1. All Data'!$V$3:$V$134,"Completed Significantly After Target Deadline")</f>
        <v>0</v>
      </c>
      <c r="Y118" s="278" t="e">
        <f t="shared" si="7"/>
        <v>#DIV/0!</v>
      </c>
      <c r="Z118" s="401" t="e">
        <f>SUM(Y118:Y119)</f>
        <v>#DIV/0!</v>
      </c>
      <c r="AA118" s="278" t="e">
        <f>X118/X125</f>
        <v>#DIV/0!</v>
      </c>
      <c r="AB118" s="402" t="e">
        <f>AA118+AA119</f>
        <v>#DIV/0!</v>
      </c>
    </row>
    <row r="119" spans="2:28" ht="15.6">
      <c r="B119" s="171" t="s">
        <v>20</v>
      </c>
      <c r="C119" s="167">
        <f>COUNTIFS('1. All Data'!$AA$3:$AA$134,"",'1. All Data'!$H$3:$H$134,"Off Target")</f>
        <v>0</v>
      </c>
      <c r="D119" s="278" t="e">
        <f>C119/C124</f>
        <v>#DIV/0!</v>
      </c>
      <c r="E119" s="401"/>
      <c r="F119" s="278" t="e">
        <f>C119/C125</f>
        <v>#DIV/0!</v>
      </c>
      <c r="G119" s="402"/>
      <c r="I119" s="171" t="s">
        <v>20</v>
      </c>
      <c r="J119" s="167">
        <f>COUNTIFS('1. All Data'!$AA$3:$AA$134,"",'1. All Data'!$M$3:$M$134,"Off Target")</f>
        <v>0</v>
      </c>
      <c r="K119" s="278" t="e">
        <f>J119/J124</f>
        <v>#DIV/0!</v>
      </c>
      <c r="L119" s="401"/>
      <c r="M119" s="278" t="e">
        <f>J119/J125</f>
        <v>#DIV/0!</v>
      </c>
      <c r="N119" s="402"/>
      <c r="P119" s="171" t="s">
        <v>20</v>
      </c>
      <c r="Q119" s="167">
        <f>COUNTIFS('1. All Data'!$AA$3:$AA$134,"",'1. All Data'!$R$3:$R$134,"Off Target")</f>
        <v>0</v>
      </c>
      <c r="R119" s="278" t="e">
        <f>Q119/Q124</f>
        <v>#DIV/0!</v>
      </c>
      <c r="S119" s="401"/>
      <c r="T119" s="278" t="e">
        <f>Q119/Q125</f>
        <v>#DIV/0!</v>
      </c>
      <c r="U119" s="402"/>
      <c r="W119" s="171" t="s">
        <v>20</v>
      </c>
      <c r="X119" s="167">
        <f>COUNTIFS('1. All Data'!$AA$3:$AA$134,"",'1. All Data'!$V$3:$V$134,"Off Target")</f>
        <v>0</v>
      </c>
      <c r="Y119" s="278" t="e">
        <f t="shared" si="7"/>
        <v>#DIV/0!</v>
      </c>
      <c r="Z119" s="401"/>
      <c r="AA119" s="278" t="e">
        <f>X119/X125</f>
        <v>#DIV/0!</v>
      </c>
      <c r="AB119" s="402"/>
    </row>
    <row r="120" spans="2:28" ht="15.6">
      <c r="B120" s="172" t="s">
        <v>43</v>
      </c>
      <c r="C120" s="167">
        <f>COUNTIFS('1. All Data'!$AA$3:$AA$134,"",'1. All Data'!$H$3:$H$134,"Not yet due")</f>
        <v>0</v>
      </c>
      <c r="D120" s="173" t="e">
        <f>C120/C124</f>
        <v>#DIV/0!</v>
      </c>
      <c r="E120" s="173" t="e">
        <f>D120</f>
        <v>#DIV/0!</v>
      </c>
      <c r="F120" s="174"/>
      <c r="G120" s="58"/>
      <c r="I120" s="172" t="s">
        <v>43</v>
      </c>
      <c r="J120" s="167">
        <f>COUNTIFS('1. All Data'!$AA$3:$AA$134,"",'1. All Data'!$M$3:$M$134,"Not yet due")</f>
        <v>0</v>
      </c>
      <c r="K120" s="173" t="e">
        <f>J120/J124</f>
        <v>#DIV/0!</v>
      </c>
      <c r="L120" s="173" t="e">
        <f>K120</f>
        <v>#DIV/0!</v>
      </c>
      <c r="M120" s="174"/>
      <c r="N120" s="58"/>
      <c r="P120" s="172" t="s">
        <v>43</v>
      </c>
      <c r="Q120" s="167">
        <f>COUNTIFS('1. All Data'!$AA$3:$AA$134,"",'1. All Data'!$R$3:$R$134,"Not yet due")</f>
        <v>0</v>
      </c>
      <c r="R120" s="173" t="e">
        <f>Q120/Q124</f>
        <v>#DIV/0!</v>
      </c>
      <c r="S120" s="173" t="e">
        <f>R120</f>
        <v>#DIV/0!</v>
      </c>
      <c r="T120" s="174"/>
      <c r="U120" s="58"/>
      <c r="W120" s="172" t="s">
        <v>43</v>
      </c>
      <c r="X120" s="167">
        <f>COUNTIFS('1. All Data'!$AA$3:$AA$134,"",'1. All Data'!$V$3:$V$134,"Not yet due")</f>
        <v>0</v>
      </c>
      <c r="Y120" s="278" t="e">
        <f t="shared" si="7"/>
        <v>#DIV/0!</v>
      </c>
      <c r="Z120" s="278" t="e">
        <f>Y120</f>
        <v>#DIV/0!</v>
      </c>
      <c r="AA120" s="174"/>
      <c r="AB120" s="58"/>
    </row>
    <row r="121" spans="2:28" ht="15.6">
      <c r="B121" s="172" t="s">
        <v>15</v>
      </c>
      <c r="C121" s="167">
        <f>COUNTIFS('1. All Data'!$AA$3:$AA$134,"",'1. All Data'!$H$3:$H$134,"update not provided")</f>
        <v>0</v>
      </c>
      <c r="D121" s="173" t="e">
        <f>C121/C124</f>
        <v>#DIV/0!</v>
      </c>
      <c r="E121" s="173" t="e">
        <f>D121</f>
        <v>#DIV/0!</v>
      </c>
      <c r="F121" s="174"/>
      <c r="G121" s="2"/>
      <c r="I121" s="172" t="s">
        <v>15</v>
      </c>
      <c r="J121" s="167">
        <f>COUNTIFS('1. All Data'!$AA$3:$AA$134,"",'1. All Data'!$M$3:$M$134,"update not provided")</f>
        <v>0</v>
      </c>
      <c r="K121" s="173" t="e">
        <f>J121/J124</f>
        <v>#DIV/0!</v>
      </c>
      <c r="L121" s="173" t="e">
        <f>K121</f>
        <v>#DIV/0!</v>
      </c>
      <c r="M121" s="174"/>
      <c r="N121" s="2"/>
      <c r="P121" s="172" t="s">
        <v>15</v>
      </c>
      <c r="Q121" s="167">
        <f>COUNTIFS('1. All Data'!$AA$3:$AA$134,"",'1. All Data'!$R$3:$R$134,"update not provided")</f>
        <v>0</v>
      </c>
      <c r="R121" s="173" t="e">
        <f>Q121/Q124</f>
        <v>#DIV/0!</v>
      </c>
      <c r="S121" s="173" t="e">
        <f>R121</f>
        <v>#DIV/0!</v>
      </c>
      <c r="T121" s="174"/>
      <c r="U121" s="2"/>
      <c r="W121" s="172" t="s">
        <v>15</v>
      </c>
      <c r="X121" s="167">
        <f>COUNTIFS('1. All Data'!$AA$3:$AA$134,"",'1. All Data'!$V$3:$V$134,"update not provided")</f>
        <v>0</v>
      </c>
      <c r="Y121" s="278" t="e">
        <f t="shared" si="7"/>
        <v>#DIV/0!</v>
      </c>
      <c r="Z121" s="278" t="e">
        <f>Y121</f>
        <v>#DIV/0!</v>
      </c>
      <c r="AA121" s="174"/>
      <c r="AB121" s="2"/>
    </row>
    <row r="122" spans="2:28" ht="15.6">
      <c r="B122" s="175" t="s">
        <v>23</v>
      </c>
      <c r="C122" s="167">
        <f>COUNTIFS('1. All Data'!$AA$3:$AA$134,"",'1. All Data'!$H$3:$H$134,"Deferred")</f>
        <v>0</v>
      </c>
      <c r="D122" s="176" t="e">
        <f>C122/C124</f>
        <v>#DIV/0!</v>
      </c>
      <c r="E122" s="176" t="e">
        <f>D122</f>
        <v>#DIV/0!</v>
      </c>
      <c r="F122" s="177"/>
      <c r="G122" s="58"/>
      <c r="I122" s="175" t="s">
        <v>23</v>
      </c>
      <c r="J122" s="167">
        <f>COUNTIFS('1. All Data'!$AA$3:$AA$134,"",'1. All Data'!$M$3:$M$134,"Deferred")</f>
        <v>0</v>
      </c>
      <c r="K122" s="176" t="e">
        <f>J122/J124</f>
        <v>#DIV/0!</v>
      </c>
      <c r="L122" s="176" t="e">
        <f>K122</f>
        <v>#DIV/0!</v>
      </c>
      <c r="M122" s="177"/>
      <c r="N122" s="58"/>
      <c r="P122" s="175" t="s">
        <v>23</v>
      </c>
      <c r="Q122" s="167">
        <f>COUNTIFS('1. All Data'!$AA$3:$AA$134,"",'1. All Data'!$R$3:$R$134,"Deferred")</f>
        <v>0</v>
      </c>
      <c r="R122" s="176" t="e">
        <f>Q122/Q124</f>
        <v>#DIV/0!</v>
      </c>
      <c r="S122" s="176" t="e">
        <f>R122</f>
        <v>#DIV/0!</v>
      </c>
      <c r="T122" s="177"/>
      <c r="U122" s="58"/>
      <c r="W122" s="175" t="s">
        <v>23</v>
      </c>
      <c r="X122" s="167">
        <f>COUNTIFS('1. All Data'!$AA$3:$AA$134,"",'1. All Data'!$V$3:$V$134,"Deferred")</f>
        <v>0</v>
      </c>
      <c r="Y122" s="278" t="e">
        <f t="shared" si="7"/>
        <v>#DIV/0!</v>
      </c>
      <c r="Z122" s="278" t="e">
        <f>Y122</f>
        <v>#DIV/0!</v>
      </c>
      <c r="AA122" s="177"/>
      <c r="AB122" s="58"/>
    </row>
    <row r="123" spans="2:28" ht="15.6">
      <c r="B123" s="175" t="s">
        <v>24</v>
      </c>
      <c r="C123" s="167">
        <f>COUNTIFS('1. All Data'!$AA$3:$AA$134,"",'1. All Data'!$H$3:$H$134,"Deleted")</f>
        <v>0</v>
      </c>
      <c r="D123" s="176" t="e">
        <f>C123/C124</f>
        <v>#DIV/0!</v>
      </c>
      <c r="E123" s="176" t="e">
        <f>D123</f>
        <v>#DIV/0!</v>
      </c>
      <c r="F123" s="177"/>
      <c r="G123" s="3"/>
      <c r="I123" s="175" t="s">
        <v>24</v>
      </c>
      <c r="J123" s="167">
        <f>COUNTIFS('1. All Data'!$AA$3:$AA$134,"",'1. All Data'!$M$3:$M$134,"Deleted")</f>
        <v>0</v>
      </c>
      <c r="K123" s="176" t="e">
        <f>J123/J124</f>
        <v>#DIV/0!</v>
      </c>
      <c r="L123" s="176" t="e">
        <f>K123</f>
        <v>#DIV/0!</v>
      </c>
      <c r="M123" s="177"/>
      <c r="N123" s="3"/>
      <c r="P123" s="175" t="s">
        <v>24</v>
      </c>
      <c r="Q123" s="167">
        <f>COUNTIFS('1. All Data'!$AA$3:$AA$134,"",'1. All Data'!$R$3:$R$134,"Deleted")</f>
        <v>0</v>
      </c>
      <c r="R123" s="176" t="e">
        <f>Q123/Q124</f>
        <v>#DIV/0!</v>
      </c>
      <c r="S123" s="176" t="e">
        <f>R123</f>
        <v>#DIV/0!</v>
      </c>
      <c r="T123" s="177"/>
      <c r="U123" s="3"/>
      <c r="W123" s="175" t="s">
        <v>24</v>
      </c>
      <c r="X123" s="167">
        <f>COUNTIFS('1. All Data'!$AA$3:$AA$134,"",'1. All Data'!$V$3:$V$134,"Deleted")</f>
        <v>0</v>
      </c>
      <c r="Y123" s="278" t="e">
        <f t="shared" si="7"/>
        <v>#DIV/0!</v>
      </c>
      <c r="Z123" s="278" t="e">
        <f>Y123</f>
        <v>#DIV/0!</v>
      </c>
      <c r="AA123" s="177"/>
    </row>
    <row r="124" spans="2:28" ht="15.6">
      <c r="B124" s="193" t="s">
        <v>45</v>
      </c>
      <c r="C124" s="179">
        <f>SUM(C113:C123)</f>
        <v>0</v>
      </c>
      <c r="D124" s="177"/>
      <c r="E124" s="177"/>
      <c r="F124" s="58"/>
      <c r="G124" s="58"/>
      <c r="I124" s="193" t="s">
        <v>45</v>
      </c>
      <c r="J124" s="179">
        <f>SUM(J113:J123)</f>
        <v>0</v>
      </c>
      <c r="K124" s="177"/>
      <c r="L124" s="177"/>
      <c r="M124" s="58"/>
      <c r="N124" s="58"/>
      <c r="P124" s="193" t="s">
        <v>45</v>
      </c>
      <c r="Q124" s="179">
        <f>SUM(Q113:Q123)</f>
        <v>0</v>
      </c>
      <c r="R124" s="177"/>
      <c r="S124" s="177"/>
      <c r="T124" s="58"/>
      <c r="U124" s="58"/>
      <c r="W124" s="178" t="s">
        <v>45</v>
      </c>
      <c r="X124" s="179">
        <f>SUM(X113:X123)</f>
        <v>0</v>
      </c>
      <c r="Y124" s="177"/>
      <c r="Z124" s="177"/>
      <c r="AA124" s="58"/>
      <c r="AB124" s="58"/>
    </row>
    <row r="125" spans="2:28" ht="15.6">
      <c r="B125" s="193" t="s">
        <v>46</v>
      </c>
      <c r="C125" s="179">
        <f>C124-C123-C122-C121-C120</f>
        <v>0</v>
      </c>
      <c r="D125" s="58"/>
      <c r="E125" s="58"/>
      <c r="F125" s="58"/>
      <c r="G125" s="58"/>
      <c r="I125" s="193" t="s">
        <v>46</v>
      </c>
      <c r="J125" s="179">
        <f>J124-J123-J122-J121-J120</f>
        <v>0</v>
      </c>
      <c r="K125" s="58"/>
      <c r="L125" s="58"/>
      <c r="M125" s="58"/>
      <c r="N125" s="58"/>
      <c r="P125" s="193" t="s">
        <v>46</v>
      </c>
      <c r="Q125" s="179">
        <f>Q124-Q123-Q122-Q121-Q120</f>
        <v>0</v>
      </c>
      <c r="R125" s="58"/>
      <c r="S125" s="58"/>
      <c r="T125" s="58"/>
      <c r="U125" s="58"/>
      <c r="W125" s="178" t="s">
        <v>46</v>
      </c>
      <c r="X125" s="179">
        <f>X124-X123-X122-X121-X120</f>
        <v>0</v>
      </c>
      <c r="Y125" s="58"/>
      <c r="Z125" s="58"/>
      <c r="AA125" s="58"/>
      <c r="AB125" s="58"/>
    </row>
  </sheetData>
  <mergeCells count="254">
    <mergeCell ref="Z61:Z63"/>
    <mergeCell ref="AB61:AB63"/>
    <mergeCell ref="E64:E65"/>
    <mergeCell ref="G64:G65"/>
    <mergeCell ref="L64:L65"/>
    <mergeCell ref="N64:N65"/>
    <mergeCell ref="S64:S65"/>
    <mergeCell ref="U64:U65"/>
    <mergeCell ref="Z64:Z65"/>
    <mergeCell ref="AB64:AB65"/>
    <mergeCell ref="P61:P63"/>
    <mergeCell ref="Q61:Q63"/>
    <mergeCell ref="R61:R63"/>
    <mergeCell ref="S61:S63"/>
    <mergeCell ref="T61:T63"/>
    <mergeCell ref="U61:U63"/>
    <mergeCell ref="I61:I63"/>
    <mergeCell ref="J61:J63"/>
    <mergeCell ref="K61:K63"/>
    <mergeCell ref="L61:L63"/>
    <mergeCell ref="Z46:Z47"/>
    <mergeCell ref="AB46:AB47"/>
    <mergeCell ref="E59:E60"/>
    <mergeCell ref="G59:G60"/>
    <mergeCell ref="L59:L60"/>
    <mergeCell ref="N59:N60"/>
    <mergeCell ref="S59:S60"/>
    <mergeCell ref="U59:U60"/>
    <mergeCell ref="Z59:Z60"/>
    <mergeCell ref="AB59:AB60"/>
    <mergeCell ref="E46:E47"/>
    <mergeCell ref="G46:G47"/>
    <mergeCell ref="L46:L47"/>
    <mergeCell ref="N46:N47"/>
    <mergeCell ref="S46:S47"/>
    <mergeCell ref="U46:U47"/>
    <mergeCell ref="M43:M45"/>
    <mergeCell ref="N43:N45"/>
    <mergeCell ref="P43:P45"/>
    <mergeCell ref="Q43:Q45"/>
    <mergeCell ref="B61:B63"/>
    <mergeCell ref="C61:C63"/>
    <mergeCell ref="D61:D63"/>
    <mergeCell ref="E61:E63"/>
    <mergeCell ref="F61:F63"/>
    <mergeCell ref="G61:G63"/>
    <mergeCell ref="M61:M63"/>
    <mergeCell ref="N61:N63"/>
    <mergeCell ref="Z41:Z42"/>
    <mergeCell ref="AB41:AB42"/>
    <mergeCell ref="B43:B45"/>
    <mergeCell ref="C43:C45"/>
    <mergeCell ref="D43:D45"/>
    <mergeCell ref="E43:E45"/>
    <mergeCell ref="F43:F45"/>
    <mergeCell ref="G43:G45"/>
    <mergeCell ref="I43:I45"/>
    <mergeCell ref="J43:J45"/>
    <mergeCell ref="E41:E42"/>
    <mergeCell ref="G41:G42"/>
    <mergeCell ref="L41:L42"/>
    <mergeCell ref="N41:N42"/>
    <mergeCell ref="S41:S42"/>
    <mergeCell ref="U41:U42"/>
    <mergeCell ref="R43:R45"/>
    <mergeCell ref="S43:S45"/>
    <mergeCell ref="T43:T45"/>
    <mergeCell ref="U43:U45"/>
    <mergeCell ref="Z43:Z45"/>
    <mergeCell ref="AB43:AB45"/>
    <mergeCell ref="K43:K45"/>
    <mergeCell ref="L43:L45"/>
    <mergeCell ref="Z25:Z27"/>
    <mergeCell ref="AB25:AB27"/>
    <mergeCell ref="E28:E29"/>
    <mergeCell ref="G28:G29"/>
    <mergeCell ref="L28:L29"/>
    <mergeCell ref="N28:N29"/>
    <mergeCell ref="S28:S29"/>
    <mergeCell ref="U28:U29"/>
    <mergeCell ref="Z28:Z29"/>
    <mergeCell ref="AB28:AB29"/>
    <mergeCell ref="P25:P27"/>
    <mergeCell ref="Q25:Q27"/>
    <mergeCell ref="R25:R27"/>
    <mergeCell ref="S25:S27"/>
    <mergeCell ref="T25:T27"/>
    <mergeCell ref="U25:U27"/>
    <mergeCell ref="I25:I27"/>
    <mergeCell ref="J25:J27"/>
    <mergeCell ref="K25:K27"/>
    <mergeCell ref="L25:L27"/>
    <mergeCell ref="M25:M27"/>
    <mergeCell ref="N25:N27"/>
    <mergeCell ref="Z10:Z11"/>
    <mergeCell ref="AB10:AB11"/>
    <mergeCell ref="E23:E24"/>
    <mergeCell ref="G23:G24"/>
    <mergeCell ref="L23:L24"/>
    <mergeCell ref="N23:N24"/>
    <mergeCell ref="S23:S24"/>
    <mergeCell ref="U23:U24"/>
    <mergeCell ref="Z23:Z24"/>
    <mergeCell ref="AB23:AB24"/>
    <mergeCell ref="E10:E11"/>
    <mergeCell ref="G10:G11"/>
    <mergeCell ref="L10:L11"/>
    <mergeCell ref="N10:N11"/>
    <mergeCell ref="S10:S11"/>
    <mergeCell ref="U10:U11"/>
    <mergeCell ref="K7:K9"/>
    <mergeCell ref="L7:L9"/>
    <mergeCell ref="M7:M9"/>
    <mergeCell ref="N7:N9"/>
    <mergeCell ref="P7:P9"/>
    <mergeCell ref="Q7:Q9"/>
    <mergeCell ref="B25:B27"/>
    <mergeCell ref="C25:C27"/>
    <mergeCell ref="D25:D27"/>
    <mergeCell ref="E25:E27"/>
    <mergeCell ref="F25:F27"/>
    <mergeCell ref="G25:G27"/>
    <mergeCell ref="AD7:AD11"/>
    <mergeCell ref="AD5:AD6"/>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E77:E78"/>
    <mergeCell ref="G77:G78"/>
    <mergeCell ref="B79:B81"/>
    <mergeCell ref="C79:C81"/>
    <mergeCell ref="D79:D81"/>
    <mergeCell ref="E79:E81"/>
    <mergeCell ref="F79:F81"/>
    <mergeCell ref="G79:G81"/>
    <mergeCell ref="E82:E83"/>
    <mergeCell ref="G82:G83"/>
    <mergeCell ref="E95:E96"/>
    <mergeCell ref="G95:G96"/>
    <mergeCell ref="B97:B99"/>
    <mergeCell ref="C97:C99"/>
    <mergeCell ref="D97:D99"/>
    <mergeCell ref="E97:E99"/>
    <mergeCell ref="F97:F99"/>
    <mergeCell ref="G97:G99"/>
    <mergeCell ref="E100:E101"/>
    <mergeCell ref="G100:G101"/>
    <mergeCell ref="E113:E114"/>
    <mergeCell ref="G113:G114"/>
    <mergeCell ref="B115:B117"/>
    <mergeCell ref="C115:C117"/>
    <mergeCell ref="D115:D117"/>
    <mergeCell ref="E115:E117"/>
    <mergeCell ref="F115:F117"/>
    <mergeCell ref="G115:G117"/>
    <mergeCell ref="E118:E119"/>
    <mergeCell ref="G118:G119"/>
    <mergeCell ref="L77:L78"/>
    <mergeCell ref="N77:N78"/>
    <mergeCell ref="S77:S78"/>
    <mergeCell ref="U77:U78"/>
    <mergeCell ref="Z77:Z78"/>
    <mergeCell ref="AB77:AB78"/>
    <mergeCell ref="I79:I81"/>
    <mergeCell ref="J79:J81"/>
    <mergeCell ref="K79:K81"/>
    <mergeCell ref="L79:L81"/>
    <mergeCell ref="M79:M81"/>
    <mergeCell ref="N79:N81"/>
    <mergeCell ref="P79:P81"/>
    <mergeCell ref="Q79:Q81"/>
    <mergeCell ref="R79:R81"/>
    <mergeCell ref="S79:S81"/>
    <mergeCell ref="T79:T81"/>
    <mergeCell ref="U79:U81"/>
    <mergeCell ref="Z79:Z81"/>
    <mergeCell ref="AB79:AB81"/>
    <mergeCell ref="L82:L83"/>
    <mergeCell ref="N82:N83"/>
    <mergeCell ref="S82:S83"/>
    <mergeCell ref="U82:U83"/>
    <mergeCell ref="Z82:Z83"/>
    <mergeCell ref="AB82:AB83"/>
    <mergeCell ref="L95:L96"/>
    <mergeCell ref="N95:N96"/>
    <mergeCell ref="S95:S96"/>
    <mergeCell ref="U95:U96"/>
    <mergeCell ref="Z95:Z96"/>
    <mergeCell ref="AB95:AB96"/>
    <mergeCell ref="I97:I99"/>
    <mergeCell ref="J97:J99"/>
    <mergeCell ref="K97:K99"/>
    <mergeCell ref="L97:L99"/>
    <mergeCell ref="M97:M99"/>
    <mergeCell ref="N97:N99"/>
    <mergeCell ref="P97:P99"/>
    <mergeCell ref="Q97:Q99"/>
    <mergeCell ref="R97:R99"/>
    <mergeCell ref="S97:S99"/>
    <mergeCell ref="T97:T99"/>
    <mergeCell ref="U97:U99"/>
    <mergeCell ref="Z97:Z99"/>
    <mergeCell ref="AB97:AB99"/>
    <mergeCell ref="L100:L101"/>
    <mergeCell ref="N100:N101"/>
    <mergeCell ref="S100:S101"/>
    <mergeCell ref="U100:U101"/>
    <mergeCell ref="Z100:Z101"/>
    <mergeCell ref="AB100:AB101"/>
    <mergeCell ref="I115:I117"/>
    <mergeCell ref="J115:J117"/>
    <mergeCell ref="K115:K117"/>
    <mergeCell ref="L115:L117"/>
    <mergeCell ref="M115:M117"/>
    <mergeCell ref="N115:N117"/>
    <mergeCell ref="P115:P117"/>
    <mergeCell ref="Q115:Q117"/>
    <mergeCell ref="R115:R117"/>
    <mergeCell ref="L118:L119"/>
    <mergeCell ref="N118:N119"/>
    <mergeCell ref="S118:S119"/>
    <mergeCell ref="U118:U119"/>
    <mergeCell ref="Z118:Z119"/>
    <mergeCell ref="AB118:AB119"/>
    <mergeCell ref="L113:L114"/>
    <mergeCell ref="N113:N114"/>
    <mergeCell ref="S113:S114"/>
    <mergeCell ref="U113:U114"/>
    <mergeCell ref="Z113:Z114"/>
    <mergeCell ref="AB113:AB114"/>
    <mergeCell ref="S115:S117"/>
    <mergeCell ref="T115:T117"/>
    <mergeCell ref="U115:U117"/>
    <mergeCell ref="Z115:Z117"/>
    <mergeCell ref="AB115:AB117"/>
  </mergeCells>
  <pageMargins left="0.25" right="0.25" top="0.75" bottom="0.75" header="0.3" footer="0.3"/>
  <pageSetup paperSize="8" fitToHeight="0" orientation="portrait" verticalDpi="0" r:id="rId1"/>
  <rowBreaks count="2" manualBreakCount="2">
    <brk id="53" max="6" man="1"/>
    <brk id="108" max="6" man="1"/>
  </rowBreaks>
  <ignoredErrors>
    <ignoredError sqref="F10 F7 F5"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L88"/>
  <sheetViews>
    <sheetView workbookViewId="0">
      <selection activeCell="K20" sqref="K20"/>
    </sheetView>
  </sheetViews>
  <sheetFormatPr defaultColWidth="9.33203125" defaultRowHeight="14.4"/>
  <cols>
    <col min="1" max="1" width="3.44140625" style="8" customWidth="1"/>
    <col min="2" max="9" width="9.33203125" style="8"/>
    <col min="10" max="10" width="3.44140625" style="8" customWidth="1"/>
    <col min="11" max="11" width="9.33203125" style="9"/>
    <col min="12" max="18" width="9.33203125" style="8"/>
    <col min="19" max="19" width="3.44140625" style="8" customWidth="1"/>
    <col min="20" max="27" width="9.33203125" style="8" customWidth="1"/>
    <col min="28" max="28" width="3.44140625" style="8" customWidth="1"/>
    <col min="29" max="36" width="9.33203125" style="8" customWidth="1"/>
    <col min="37" max="37" width="3.44140625" style="8" customWidth="1"/>
    <col min="38" max="47" width="9.33203125" style="8" customWidth="1"/>
    <col min="48" max="50" width="0" style="8" hidden="1" customWidth="1"/>
    <col min="51" max="51" width="9.33203125" style="8"/>
    <col min="52" max="55" width="10" style="11" customWidth="1"/>
    <col min="56" max="16384" width="9.33203125" style="8"/>
  </cols>
  <sheetData>
    <row r="1" spans="2:64" s="6" customFormat="1" ht="35.4">
      <c r="B1" s="5" t="s">
        <v>47</v>
      </c>
      <c r="M1" s="421"/>
      <c r="N1" s="421"/>
      <c r="O1" s="421"/>
      <c r="P1" s="421"/>
      <c r="Q1" s="421"/>
      <c r="R1" s="421"/>
      <c r="S1" s="421"/>
      <c r="T1" s="421"/>
      <c r="U1" s="421"/>
      <c r="V1" s="421"/>
      <c r="W1" s="421"/>
      <c r="X1" s="421"/>
      <c r="Y1" s="421"/>
      <c r="Z1" s="421"/>
      <c r="AY1" s="421"/>
      <c r="AZ1" s="421"/>
      <c r="BA1" s="421"/>
      <c r="BB1" s="421"/>
      <c r="BC1" s="421"/>
      <c r="BD1" s="421"/>
      <c r="BE1" s="421"/>
      <c r="BF1" s="421"/>
      <c r="BG1" s="421"/>
      <c r="BH1" s="421"/>
      <c r="BI1" s="421"/>
      <c r="BJ1" s="421"/>
      <c r="BK1" s="421"/>
      <c r="BL1" s="421"/>
    </row>
    <row r="2" spans="2:64" s="6" customFormat="1" ht="35.4" hidden="1">
      <c r="B2" s="7"/>
      <c r="M2" s="421"/>
      <c r="N2" s="421"/>
      <c r="O2" s="421"/>
      <c r="P2" s="421"/>
      <c r="Q2" s="421"/>
      <c r="R2" s="421"/>
      <c r="S2" s="421"/>
      <c r="T2" s="421"/>
      <c r="U2" s="421"/>
      <c r="V2" s="421"/>
      <c r="W2" s="421"/>
      <c r="X2" s="421"/>
      <c r="Y2" s="421"/>
      <c r="Z2" s="421"/>
      <c r="AY2" s="421"/>
      <c r="AZ2" s="421"/>
      <c r="BA2" s="421"/>
      <c r="BB2" s="421"/>
      <c r="BC2" s="421"/>
      <c r="BD2" s="421"/>
      <c r="BE2" s="421"/>
      <c r="BF2" s="421"/>
      <c r="BG2" s="421"/>
      <c r="BH2" s="421"/>
      <c r="BI2" s="421"/>
      <c r="BJ2" s="421"/>
      <c r="BK2" s="421"/>
      <c r="BL2" s="421"/>
    </row>
    <row r="3" spans="2:64" s="6" customFormat="1" ht="35.4" hidden="1">
      <c r="M3" s="421"/>
      <c r="N3" s="421"/>
      <c r="O3" s="421"/>
      <c r="P3" s="421"/>
      <c r="Q3" s="421"/>
      <c r="R3" s="421"/>
      <c r="S3" s="421"/>
      <c r="T3" s="421"/>
      <c r="U3" s="421"/>
      <c r="V3" s="421"/>
      <c r="W3" s="421"/>
      <c r="X3" s="421"/>
      <c r="Y3" s="421"/>
      <c r="Z3" s="421"/>
      <c r="AY3" s="421"/>
      <c r="AZ3" s="421"/>
      <c r="BA3" s="421"/>
      <c r="BB3" s="421"/>
      <c r="BC3" s="421"/>
      <c r="BD3" s="421"/>
      <c r="BE3" s="421"/>
      <c r="BF3" s="421"/>
      <c r="BG3" s="421"/>
      <c r="BH3" s="421"/>
      <c r="BI3" s="421"/>
      <c r="BJ3" s="421"/>
      <c r="BK3" s="421"/>
      <c r="BL3" s="421"/>
    </row>
    <row r="4" spans="2:64">
      <c r="N4" s="10"/>
      <c r="W4" s="10"/>
      <c r="AF4" s="10"/>
      <c r="AO4" s="10"/>
    </row>
    <row r="5" spans="2:64">
      <c r="AY5" s="16" t="s">
        <v>48</v>
      </c>
      <c r="AZ5" s="17"/>
      <c r="BA5" s="17"/>
      <c r="BB5" s="17"/>
      <c r="BC5" s="17"/>
      <c r="BD5" s="9"/>
    </row>
    <row r="6" spans="2:64">
      <c r="AY6" s="18"/>
      <c r="AZ6" s="19" t="s">
        <v>7</v>
      </c>
      <c r="BA6" s="19" t="s">
        <v>8</v>
      </c>
      <c r="BB6" s="19" t="s">
        <v>9</v>
      </c>
      <c r="BC6" s="19" t="s">
        <v>6</v>
      </c>
      <c r="BD6" s="9"/>
    </row>
    <row r="7" spans="2:64">
      <c r="AY7" s="20" t="s">
        <v>49</v>
      </c>
      <c r="AZ7" s="21">
        <f>'2a. % By Priority'!G5</f>
        <v>0.94936708860759489</v>
      </c>
      <c r="BA7" s="21" t="e">
        <f>'2a. % By Priority'!N5</f>
        <v>#DIV/0!</v>
      </c>
      <c r="BB7" s="21" t="e">
        <f>'2a. % By Priority'!U5</f>
        <v>#DIV/0!</v>
      </c>
      <c r="BC7" s="21" t="e">
        <f>'2a. % By Priority'!AB5</f>
        <v>#DIV/0!</v>
      </c>
      <c r="BD7" s="9"/>
    </row>
    <row r="8" spans="2:64">
      <c r="L8" s="13"/>
      <c r="M8" s="13"/>
      <c r="AY8" s="20" t="s">
        <v>50</v>
      </c>
      <c r="AZ8" s="21">
        <f>'2a. % By Priority'!G7</f>
        <v>1.2658227848101266E-2</v>
      </c>
      <c r="BA8" s="21" t="e">
        <f>'2a. % By Priority'!N7</f>
        <v>#DIV/0!</v>
      </c>
      <c r="BB8" s="21" t="e">
        <f>'2a. % By Priority'!U7</f>
        <v>#DIV/0!</v>
      </c>
      <c r="BC8" s="21" t="e">
        <f>'2a. % By Priority'!AB7</f>
        <v>#DIV/0!</v>
      </c>
      <c r="BD8" s="9"/>
    </row>
    <row r="9" spans="2:64">
      <c r="L9" s="13"/>
      <c r="M9" s="13"/>
      <c r="AY9" s="20" t="s">
        <v>51</v>
      </c>
      <c r="AZ9" s="21">
        <f>'2a. % By Priority'!G10</f>
        <v>3.7974683544303799E-2</v>
      </c>
      <c r="BA9" s="21" t="e">
        <f>'2a. % By Priority'!N10</f>
        <v>#DIV/0!</v>
      </c>
      <c r="BB9" s="21" t="e">
        <f>'2a. % By Priority'!U10</f>
        <v>#DIV/0!</v>
      </c>
      <c r="BC9" s="21" t="e">
        <f>'2a. % By Priority'!AB10</f>
        <v>#DIV/0!</v>
      </c>
      <c r="BD9" s="9"/>
    </row>
    <row r="10" spans="2:64">
      <c r="L10" s="13"/>
      <c r="M10" s="13"/>
      <c r="AY10" s="18"/>
      <c r="AZ10" s="22"/>
      <c r="BA10" s="22"/>
      <c r="BB10" s="22"/>
      <c r="BC10" s="22"/>
      <c r="BD10" s="9"/>
    </row>
    <row r="11" spans="2:64">
      <c r="AY11" s="23"/>
      <c r="AZ11" s="24"/>
      <c r="BA11" s="24"/>
      <c r="BB11" s="25"/>
      <c r="BC11" s="25"/>
      <c r="BD11" s="9"/>
    </row>
    <row r="12" spans="2:64">
      <c r="AY12" s="23"/>
      <c r="AZ12" s="24"/>
      <c r="BA12" s="24"/>
      <c r="BB12" s="25"/>
      <c r="BC12" s="25"/>
      <c r="BD12" s="9"/>
    </row>
    <row r="13" spans="2:64">
      <c r="AY13" s="23"/>
      <c r="AZ13" s="24"/>
      <c r="BA13" s="24"/>
      <c r="BB13" s="25"/>
      <c r="BC13" s="25"/>
      <c r="BD13" s="9"/>
    </row>
    <row r="14" spans="2:64">
      <c r="AY14" s="26"/>
      <c r="AZ14" s="17"/>
      <c r="BA14" s="17"/>
      <c r="BB14" s="17"/>
      <c r="BC14" s="17"/>
      <c r="BD14" s="9"/>
    </row>
    <row r="15" spans="2:64">
      <c r="AY15" s="26"/>
      <c r="AZ15" s="17"/>
      <c r="BA15" s="17"/>
      <c r="BB15" s="17"/>
      <c r="BC15" s="17"/>
      <c r="BD15" s="9"/>
    </row>
    <row r="16" spans="2:64">
      <c r="AY16" s="26"/>
      <c r="AZ16" s="17"/>
      <c r="BA16" s="17"/>
      <c r="BB16" s="17"/>
      <c r="BC16" s="17"/>
      <c r="BD16" s="9"/>
    </row>
    <row r="17" spans="12:56">
      <c r="AY17" s="26"/>
      <c r="AZ17" s="17"/>
      <c r="BA17" s="17"/>
      <c r="BB17" s="17"/>
      <c r="BC17" s="17"/>
      <c r="BD17" s="9"/>
    </row>
    <row r="18" spans="12:56">
      <c r="AY18" s="26"/>
      <c r="AZ18" s="17"/>
      <c r="BA18" s="17"/>
      <c r="BB18" s="17"/>
      <c r="BC18" s="17"/>
      <c r="BD18" s="9"/>
    </row>
    <row r="19" spans="12:56">
      <c r="AY19" s="26"/>
      <c r="AZ19" s="17"/>
      <c r="BA19" s="17"/>
      <c r="BB19" s="17"/>
      <c r="BC19" s="17"/>
      <c r="BD19" s="9"/>
    </row>
    <row r="20" spans="12:56">
      <c r="N20" s="10"/>
      <c r="W20" s="10"/>
      <c r="AF20" s="10"/>
      <c r="AO20" s="10"/>
      <c r="AY20" s="26"/>
      <c r="AZ20" s="17"/>
      <c r="BA20" s="17"/>
      <c r="BB20" s="17"/>
      <c r="BC20" s="17"/>
      <c r="BD20" s="9"/>
    </row>
    <row r="21" spans="12:56">
      <c r="AY21" s="16" t="s">
        <v>126</v>
      </c>
      <c r="AZ21" s="17"/>
      <c r="BA21" s="17"/>
      <c r="BB21" s="17"/>
      <c r="BC21" s="17"/>
      <c r="BD21" s="9"/>
    </row>
    <row r="22" spans="12:56">
      <c r="AY22" s="18"/>
      <c r="AZ22" s="19" t="s">
        <v>7</v>
      </c>
      <c r="BA22" s="19" t="s">
        <v>8</v>
      </c>
      <c r="BB22" s="19" t="s">
        <v>9</v>
      </c>
      <c r="BC22" s="19" t="s">
        <v>6</v>
      </c>
      <c r="BD22" s="9"/>
    </row>
    <row r="23" spans="12:56">
      <c r="AY23" s="20" t="s">
        <v>49</v>
      </c>
      <c r="AZ23" s="21">
        <f>'2a. % By Priority'!G23</f>
        <v>0.84615384615384615</v>
      </c>
      <c r="BA23" s="21" t="e">
        <f>'2a. % By Priority'!N23</f>
        <v>#DIV/0!</v>
      </c>
      <c r="BB23" s="21" t="e">
        <f>'2a. % By Priority'!U23</f>
        <v>#DIV/0!</v>
      </c>
      <c r="BC23" s="21" t="e">
        <f>'2a. % By Priority'!AB23</f>
        <v>#DIV/0!</v>
      </c>
      <c r="BD23" s="9"/>
    </row>
    <row r="24" spans="12:56">
      <c r="L24" s="13"/>
      <c r="M24" s="13"/>
      <c r="AY24" s="20" t="s">
        <v>50</v>
      </c>
      <c r="AZ24" s="21">
        <f>'2a. % By Priority'!G25</f>
        <v>0</v>
      </c>
      <c r="BA24" s="21" t="e">
        <f>'2a. % By Priority'!N25</f>
        <v>#DIV/0!</v>
      </c>
      <c r="BB24" s="21" t="e">
        <f>'2a. % By Priority'!U25</f>
        <v>#DIV/0!</v>
      </c>
      <c r="BC24" s="21" t="e">
        <f>'2a. % By Priority'!AB25</f>
        <v>#DIV/0!</v>
      </c>
      <c r="BD24" s="9"/>
    </row>
    <row r="25" spans="12:56">
      <c r="L25" s="13"/>
      <c r="M25" s="13"/>
      <c r="AY25" s="20" t="s">
        <v>51</v>
      </c>
      <c r="AZ25" s="21">
        <f>'2a. % By Priority'!G28</f>
        <v>0.15384615384615385</v>
      </c>
      <c r="BA25" s="21" t="e">
        <f>'2a. % By Priority'!N28</f>
        <v>#DIV/0!</v>
      </c>
      <c r="BB25" s="21" t="e">
        <f>'2a. % By Priority'!U28</f>
        <v>#DIV/0!</v>
      </c>
      <c r="BC25" s="21" t="e">
        <f>'2a. % By Priority'!AB28</f>
        <v>#DIV/0!</v>
      </c>
      <c r="BD25" s="9"/>
    </row>
    <row r="26" spans="12:56">
      <c r="L26" s="13"/>
      <c r="M26" s="13"/>
      <c r="AY26" s="26"/>
      <c r="AZ26" s="17"/>
      <c r="BA26" s="17"/>
      <c r="BB26" s="17"/>
      <c r="BC26" s="17"/>
      <c r="BD26" s="9"/>
    </row>
    <row r="27" spans="12:56">
      <c r="AY27" s="23"/>
      <c r="AZ27" s="17"/>
      <c r="BA27" s="17"/>
      <c r="BB27" s="17"/>
      <c r="BC27" s="17"/>
      <c r="BD27" s="9"/>
    </row>
    <row r="28" spans="12:56">
      <c r="AY28" s="23"/>
      <c r="AZ28" s="17"/>
      <c r="BA28" s="17"/>
      <c r="BB28" s="17"/>
      <c r="BC28" s="17"/>
      <c r="BD28" s="9"/>
    </row>
    <row r="29" spans="12:56">
      <c r="AY29" s="23"/>
      <c r="AZ29" s="17"/>
      <c r="BA29" s="17"/>
      <c r="BB29" s="17"/>
      <c r="BC29" s="17"/>
      <c r="BD29" s="9"/>
    </row>
    <row r="30" spans="12:56">
      <c r="AY30" s="26"/>
      <c r="AZ30" s="17"/>
      <c r="BA30" s="17"/>
      <c r="BB30" s="17"/>
      <c r="BC30" s="17"/>
      <c r="BD30" s="9"/>
    </row>
    <row r="31" spans="12:56">
      <c r="AY31" s="26"/>
      <c r="AZ31" s="17"/>
      <c r="BA31" s="17"/>
      <c r="BB31" s="17"/>
      <c r="BC31" s="17"/>
      <c r="BD31" s="9"/>
    </row>
    <row r="32" spans="12:56">
      <c r="AY32" s="26"/>
      <c r="AZ32" s="17"/>
      <c r="BA32" s="17"/>
      <c r="BB32" s="17"/>
      <c r="BC32" s="17"/>
      <c r="BD32" s="9"/>
    </row>
    <row r="33" spans="11:56">
      <c r="AY33" s="26"/>
      <c r="AZ33" s="17"/>
      <c r="BA33" s="17"/>
      <c r="BB33" s="17"/>
      <c r="BC33" s="17"/>
      <c r="BD33" s="9"/>
    </row>
    <row r="34" spans="11:56">
      <c r="AY34" s="26"/>
      <c r="AZ34" s="17"/>
      <c r="BA34" s="17"/>
      <c r="BB34" s="17"/>
      <c r="BC34" s="17"/>
      <c r="BD34" s="9"/>
    </row>
    <row r="35" spans="11:56">
      <c r="AY35" s="26"/>
      <c r="AZ35" s="17"/>
      <c r="BA35" s="17"/>
      <c r="BB35" s="17"/>
      <c r="BC35" s="17"/>
      <c r="BD35" s="9"/>
    </row>
    <row r="36" spans="11:56">
      <c r="N36" s="10"/>
      <c r="W36" s="10"/>
      <c r="AF36" s="10"/>
      <c r="AO36" s="10"/>
      <c r="AY36" s="26"/>
      <c r="AZ36" s="17"/>
      <c r="BA36" s="17"/>
      <c r="BB36" s="17"/>
      <c r="BC36" s="17"/>
      <c r="BD36" s="9"/>
    </row>
    <row r="37" spans="11:56">
      <c r="AY37" s="16" t="s">
        <v>122</v>
      </c>
      <c r="AZ37" s="27"/>
      <c r="BA37" s="27"/>
      <c r="BB37" s="27"/>
      <c r="BC37" s="27"/>
      <c r="BD37" s="15"/>
    </row>
    <row r="38" spans="11:56">
      <c r="AY38" s="28"/>
      <c r="AZ38" s="19" t="s">
        <v>7</v>
      </c>
      <c r="BA38" s="19" t="s">
        <v>8</v>
      </c>
      <c r="BB38" s="19" t="s">
        <v>9</v>
      </c>
      <c r="BC38" s="19" t="s">
        <v>6</v>
      </c>
      <c r="BD38" s="15"/>
    </row>
    <row r="39" spans="11:56">
      <c r="AY39" s="20" t="s">
        <v>49</v>
      </c>
      <c r="AZ39" s="21">
        <f>'2a. % By Priority'!G41</f>
        <v>0.94444444444444442</v>
      </c>
      <c r="BA39" s="21" t="e">
        <f>'2a. % By Priority'!N41</f>
        <v>#DIV/0!</v>
      </c>
      <c r="BB39" s="21" t="e">
        <f>'2a. % By Priority'!U41</f>
        <v>#DIV/0!</v>
      </c>
      <c r="BC39" s="21" t="e">
        <f>'2a. % By Priority'!AB41</f>
        <v>#DIV/0!</v>
      </c>
      <c r="BD39" s="15"/>
    </row>
    <row r="40" spans="11:56">
      <c r="K40" s="13"/>
      <c r="L40" s="13"/>
      <c r="AY40" s="20" t="s">
        <v>50</v>
      </c>
      <c r="AZ40" s="21">
        <f>'2a. % By Priority'!G43</f>
        <v>5.5555555555555552E-2</v>
      </c>
      <c r="BA40" s="21" t="e">
        <f>'2a. % By Priority'!N43</f>
        <v>#DIV/0!</v>
      </c>
      <c r="BB40" s="21" t="e">
        <f>'2a. % By Priority'!U43</f>
        <v>#DIV/0!</v>
      </c>
      <c r="BC40" s="21" t="e">
        <f>'2a. % By Priority'!AB43</f>
        <v>#DIV/0!</v>
      </c>
      <c r="BD40" s="15"/>
    </row>
    <row r="41" spans="11:56">
      <c r="K41" s="13"/>
      <c r="L41" s="13"/>
      <c r="AY41" s="20" t="s">
        <v>51</v>
      </c>
      <c r="AZ41" s="21">
        <f>'2a. % By Priority'!G46</f>
        <v>0</v>
      </c>
      <c r="BA41" s="21" t="e">
        <f>'2a. % By Priority'!N46</f>
        <v>#DIV/0!</v>
      </c>
      <c r="BB41" s="21" t="e">
        <f>'2a. % By Priority'!U46</f>
        <v>#DIV/0!</v>
      </c>
      <c r="BC41" s="21" t="e">
        <f>'2a. % By Priority'!AB46</f>
        <v>#DIV/0!</v>
      </c>
      <c r="BD41" s="15"/>
    </row>
    <row r="42" spans="11:56">
      <c r="K42" s="13"/>
      <c r="L42" s="13"/>
      <c r="AY42" s="26"/>
      <c r="AZ42" s="17"/>
      <c r="BA42" s="17"/>
      <c r="BB42" s="17"/>
      <c r="BC42" s="17"/>
      <c r="BD42" s="9"/>
    </row>
    <row r="43" spans="11:56">
      <c r="AY43" s="23"/>
      <c r="AZ43" s="17"/>
      <c r="BA43" s="17"/>
      <c r="BB43" s="17"/>
      <c r="BC43" s="17"/>
      <c r="BD43" s="9"/>
    </row>
    <row r="44" spans="11:56">
      <c r="AY44" s="23"/>
      <c r="AZ44" s="17"/>
      <c r="BA44" s="17"/>
      <c r="BB44" s="17"/>
      <c r="BC44" s="17"/>
      <c r="BD44" s="9"/>
    </row>
    <row r="45" spans="11:56">
      <c r="AY45" s="23"/>
      <c r="AZ45" s="17"/>
      <c r="BA45" s="17"/>
      <c r="BB45" s="17"/>
      <c r="BC45" s="17"/>
      <c r="BD45" s="9"/>
    </row>
    <row r="46" spans="11:56">
      <c r="AY46" s="26"/>
      <c r="AZ46" s="17"/>
      <c r="BA46" s="17"/>
      <c r="BB46" s="17"/>
      <c r="BC46" s="17"/>
      <c r="BD46" s="9"/>
    </row>
    <row r="47" spans="11:56">
      <c r="AY47" s="26"/>
      <c r="AZ47" s="17"/>
      <c r="BA47" s="17"/>
      <c r="BB47" s="17"/>
      <c r="BC47" s="17"/>
      <c r="BD47" s="9"/>
    </row>
    <row r="48" spans="11:56">
      <c r="AY48" s="26"/>
      <c r="AZ48" s="17"/>
      <c r="BA48" s="17"/>
      <c r="BB48" s="17"/>
      <c r="BC48" s="17"/>
      <c r="BD48" s="9"/>
    </row>
    <row r="49" spans="12:56">
      <c r="AY49" s="26"/>
      <c r="AZ49" s="17"/>
      <c r="BA49" s="17"/>
      <c r="BB49" s="17"/>
      <c r="BC49" s="17"/>
      <c r="BD49" s="9"/>
    </row>
    <row r="50" spans="12:56">
      <c r="AY50" s="26"/>
      <c r="AZ50" s="17"/>
      <c r="BA50" s="17"/>
      <c r="BB50" s="17"/>
      <c r="BC50" s="17"/>
      <c r="BD50" s="9"/>
    </row>
    <row r="51" spans="12:56">
      <c r="AY51" s="26"/>
      <c r="AZ51" s="17"/>
      <c r="BA51" s="17"/>
      <c r="BB51" s="17"/>
      <c r="BC51" s="17"/>
      <c r="BD51" s="9"/>
    </row>
    <row r="52" spans="12:56">
      <c r="N52" s="10"/>
      <c r="W52" s="10"/>
      <c r="AF52" s="10"/>
      <c r="AP52" s="10"/>
      <c r="AY52" s="26"/>
      <c r="AZ52" s="17"/>
      <c r="BA52" s="17"/>
      <c r="BB52" s="17"/>
      <c r="BC52" s="17"/>
      <c r="BD52" s="9"/>
    </row>
    <row r="53" spans="12:56">
      <c r="AY53" s="16" t="s">
        <v>136</v>
      </c>
      <c r="AZ53" s="27"/>
      <c r="BA53" s="27"/>
      <c r="BB53" s="27"/>
      <c r="BC53" s="27"/>
      <c r="BD53" s="9"/>
    </row>
    <row r="54" spans="12:56">
      <c r="AY54" s="28"/>
      <c r="AZ54" s="19" t="s">
        <v>7</v>
      </c>
      <c r="BA54" s="19" t="s">
        <v>8</v>
      </c>
      <c r="BB54" s="19" t="s">
        <v>9</v>
      </c>
      <c r="BC54" s="19" t="s">
        <v>6</v>
      </c>
      <c r="BD54" s="9"/>
    </row>
    <row r="55" spans="12:56">
      <c r="AY55" s="20" t="s">
        <v>49</v>
      </c>
      <c r="AZ55" s="21">
        <f>'2a. % By Priority'!G59</f>
        <v>1</v>
      </c>
      <c r="BA55" s="21" t="e">
        <f>'2a. % By Priority'!N59</f>
        <v>#DIV/0!</v>
      </c>
      <c r="BB55" s="21" t="e">
        <f>'2a. % By Priority'!U59</f>
        <v>#DIV/0!</v>
      </c>
      <c r="BC55" s="21" t="e">
        <f>'2a. % By Priority'!AB59</f>
        <v>#DIV/0!</v>
      </c>
      <c r="BD55" s="9"/>
    </row>
    <row r="56" spans="12:56">
      <c r="L56" s="13"/>
      <c r="M56" s="13"/>
      <c r="AY56" s="20" t="s">
        <v>50</v>
      </c>
      <c r="AZ56" s="21">
        <f>'2a. % By Priority'!G61</f>
        <v>0</v>
      </c>
      <c r="BA56" s="21" t="e">
        <f>'2a. % By Priority'!N61</f>
        <v>#DIV/0!</v>
      </c>
      <c r="BB56" s="21" t="e">
        <f>'2a. % By Priority'!U61</f>
        <v>#DIV/0!</v>
      </c>
      <c r="BC56" s="21" t="e">
        <f>'2a. % By Priority'!AB61</f>
        <v>#DIV/0!</v>
      </c>
      <c r="BD56" s="9"/>
    </row>
    <row r="57" spans="12:56">
      <c r="L57" s="13"/>
      <c r="M57" s="13"/>
      <c r="AY57" s="20" t="s">
        <v>51</v>
      </c>
      <c r="AZ57" s="21">
        <f>'2a. % By Priority'!G64</f>
        <v>0</v>
      </c>
      <c r="BA57" s="21" t="e">
        <f>'2a. % By Priority'!N64</f>
        <v>#DIV/0!</v>
      </c>
      <c r="BB57" s="21" t="e">
        <f>'2a. % By Priority'!U64</f>
        <v>#DIV/0!</v>
      </c>
      <c r="BC57" s="21" t="e">
        <f>'2a. % By Priority'!AB64</f>
        <v>#DIV/0!</v>
      </c>
      <c r="BD57" s="9"/>
    </row>
    <row r="58" spans="12:56">
      <c r="L58" s="13"/>
      <c r="M58" s="13"/>
      <c r="AY58" s="9"/>
      <c r="AZ58" s="12"/>
      <c r="BA58" s="12"/>
      <c r="BB58" s="12"/>
      <c r="BC58" s="12"/>
      <c r="BD58" s="9"/>
    </row>
    <row r="59" spans="12:56">
      <c r="AY59" s="14"/>
      <c r="AZ59" s="12"/>
      <c r="BA59" s="12"/>
      <c r="BB59" s="12"/>
      <c r="BC59" s="12"/>
      <c r="BD59" s="9"/>
    </row>
    <row r="60" spans="12:56">
      <c r="AY60" s="14"/>
      <c r="AZ60" s="12"/>
      <c r="BA60" s="12"/>
      <c r="BB60" s="12"/>
      <c r="BC60" s="12"/>
      <c r="BD60" s="9"/>
    </row>
    <row r="61" spans="12:56">
      <c r="AY61" s="14"/>
      <c r="AZ61" s="12"/>
      <c r="BA61" s="12"/>
      <c r="BB61" s="12"/>
      <c r="BC61" s="12"/>
      <c r="BD61" s="9"/>
    </row>
    <row r="62" spans="12:56">
      <c r="AY62" s="9"/>
      <c r="AZ62" s="12"/>
      <c r="BA62" s="12"/>
      <c r="BB62" s="12"/>
      <c r="BC62" s="12"/>
      <c r="BD62" s="9"/>
    </row>
    <row r="63" spans="12:56">
      <c r="AY63" s="9"/>
      <c r="AZ63" s="12"/>
      <c r="BA63" s="12"/>
      <c r="BB63" s="12"/>
      <c r="BC63" s="12"/>
      <c r="BD63" s="9"/>
    </row>
    <row r="64" spans="12:56">
      <c r="AY64" s="9"/>
      <c r="AZ64" s="12"/>
      <c r="BA64" s="12"/>
      <c r="BB64" s="12"/>
      <c r="BC64" s="12"/>
      <c r="BD64" s="9"/>
    </row>
    <row r="65" spans="51:56">
      <c r="AY65" s="9"/>
      <c r="AZ65" s="12"/>
      <c r="BA65" s="12"/>
      <c r="BB65" s="12"/>
      <c r="BC65" s="12"/>
      <c r="BD65" s="9"/>
    </row>
    <row r="66" spans="51:56">
      <c r="AY66" s="9"/>
      <c r="AZ66" s="12"/>
      <c r="BA66" s="12"/>
      <c r="BB66" s="12"/>
      <c r="BC66" s="12"/>
      <c r="BD66" s="9"/>
    </row>
    <row r="69" spans="51:56">
      <c r="AY69" s="16" t="s">
        <v>124</v>
      </c>
      <c r="AZ69" s="27"/>
      <c r="BA69" s="27"/>
      <c r="BB69" s="27"/>
      <c r="BC69" s="27"/>
    </row>
    <row r="70" spans="51:56">
      <c r="AY70" s="28"/>
      <c r="AZ70" s="19" t="s">
        <v>7</v>
      </c>
      <c r="BA70" s="19" t="s">
        <v>8</v>
      </c>
      <c r="BB70" s="19" t="s">
        <v>9</v>
      </c>
      <c r="BC70" s="19" t="s">
        <v>6</v>
      </c>
    </row>
    <row r="71" spans="51:56">
      <c r="AY71" s="20" t="s">
        <v>49</v>
      </c>
      <c r="AZ71" s="21">
        <f>'2a. % By Priority'!G77</f>
        <v>0.9</v>
      </c>
      <c r="BA71" s="21" t="e">
        <f>'2a. % By Priority'!N77</f>
        <v>#DIV/0!</v>
      </c>
      <c r="BB71" s="21" t="e">
        <f>'2a. % By Priority'!U77</f>
        <v>#DIV/0!</v>
      </c>
      <c r="BC71" s="21" t="e">
        <f>'2a. % By Priority'!AB77</f>
        <v>#DIV/0!</v>
      </c>
    </row>
    <row r="72" spans="51:56">
      <c r="AY72" s="20" t="s">
        <v>50</v>
      </c>
      <c r="AZ72" s="21">
        <f>'2a. % By Priority'!G79</f>
        <v>0</v>
      </c>
      <c r="BA72" s="21" t="e">
        <f>'2a. % By Priority'!N79</f>
        <v>#DIV/0!</v>
      </c>
      <c r="BB72" s="21" t="e">
        <f>'2a. % By Priority'!U79</f>
        <v>#DIV/0!</v>
      </c>
      <c r="BC72" s="21" t="e">
        <f>'2a. % By Priority'!AB79</f>
        <v>#DIV/0!</v>
      </c>
    </row>
    <row r="73" spans="51:56">
      <c r="AY73" s="20" t="s">
        <v>51</v>
      </c>
      <c r="AZ73" s="21">
        <f>'2a. % By Priority'!G82</f>
        <v>0.1</v>
      </c>
      <c r="BA73" s="21" t="e">
        <f>'2a. % By Priority'!N82</f>
        <v>#DIV/0!</v>
      </c>
      <c r="BB73" s="21" t="e">
        <f>'2a. % By Priority'!U82</f>
        <v>#DIV/0!</v>
      </c>
      <c r="BC73" s="21" t="e">
        <f>'2a. % By Priority'!AB82</f>
        <v>#DIV/0!</v>
      </c>
    </row>
    <row r="84" spans="51:55">
      <c r="AY84" s="16" t="s">
        <v>125</v>
      </c>
    </row>
    <row r="85" spans="51:55">
      <c r="AY85" s="28"/>
      <c r="AZ85" s="19" t="s">
        <v>7</v>
      </c>
      <c r="BA85" s="19" t="s">
        <v>8</v>
      </c>
      <c r="BB85" s="19" t="s">
        <v>9</v>
      </c>
      <c r="BC85" s="19" t="s">
        <v>6</v>
      </c>
    </row>
    <row r="86" spans="51:55">
      <c r="AY86" s="20" t="s">
        <v>49</v>
      </c>
      <c r="AZ86" s="21">
        <f>'2a. % By Priority'!G95</f>
        <v>1</v>
      </c>
      <c r="BA86" s="21" t="e">
        <f>'2a. % By Priority'!N95</f>
        <v>#DIV/0!</v>
      </c>
      <c r="BB86" s="21" t="e">
        <f>'2a. % By Priority'!U95</f>
        <v>#DIV/0!</v>
      </c>
      <c r="BC86" s="21" t="e">
        <f>'2a. % By Priority'!AB95</f>
        <v>#DIV/0!</v>
      </c>
    </row>
    <row r="87" spans="51:55">
      <c r="AY87" s="20" t="s">
        <v>50</v>
      </c>
      <c r="AZ87" s="21">
        <f>'2a. % By Priority'!G97</f>
        <v>0</v>
      </c>
      <c r="BA87" s="21" t="e">
        <f>'2a. % By Priority'!N97</f>
        <v>#DIV/0!</v>
      </c>
      <c r="BB87" s="21" t="e">
        <f>'2a. % By Priority'!U97</f>
        <v>#DIV/0!</v>
      </c>
      <c r="BC87" s="21" t="e">
        <f>'2a. % By Priority'!AB97</f>
        <v>#DIV/0!</v>
      </c>
    </row>
    <row r="88" spans="51:55">
      <c r="AY88" s="20" t="s">
        <v>51</v>
      </c>
      <c r="AZ88" s="21">
        <f>'2a. % By Priority'!G100</f>
        <v>0</v>
      </c>
      <c r="BA88" s="21" t="e">
        <f>'2a. % By Priority'!N100</f>
        <v>#DIV/0!</v>
      </c>
      <c r="BB88" s="21" t="e">
        <f>'2a. % By Priority'!U100</f>
        <v>#DIV/0!</v>
      </c>
      <c r="BC88" s="21" t="e">
        <f>'2a. % By Priority'!AB100</f>
        <v>#DIV/0!</v>
      </c>
    </row>
  </sheetData>
  <sheetProtection algorithmName="SHA-512" hashValue="NBuUEVDodZh+D043q5MqOADUzi0CxqTnZJkcPdThaLiEQt4tbNM0ELD6dQJ4BKyvRqVesGv8hgH5FLg3DlKUXw==" saltValue="1rqq2Q+URqaHjNmRsPQ86A==" spinCount="100000" sheet="1" objects="1" scenarios="1"/>
  <mergeCells count="2">
    <mergeCell ref="M1:Z3"/>
    <mergeCell ref="AY1:BL3"/>
  </mergeCells>
  <pageMargins left="0.25" right="0.25" top="0.75" bottom="0.75" header="0.3" footer="0.3"/>
  <pageSetup paperSize="8" scale="51" orientation="landscape" verticalDpi="0" r:id="rId1"/>
  <colBreaks count="1" manualBreakCount="1">
    <brk id="45" max="1048575" man="1"/>
  </col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7"/>
  <sheetViews>
    <sheetView topLeftCell="B1" zoomScale="70" zoomScaleNormal="70" workbookViewId="0">
      <selection activeCell="B94" sqref="B94:G108"/>
    </sheetView>
  </sheetViews>
  <sheetFormatPr defaultColWidth="9.33203125" defaultRowHeight="13.8"/>
  <cols>
    <col min="1" max="1" width="3.44140625" style="157" hidden="1" customWidth="1"/>
    <col min="2" max="2" width="52.33203125" style="157" bestFit="1" customWidth="1"/>
    <col min="3" max="3" width="12.33203125" style="154" bestFit="1" customWidth="1"/>
    <col min="4" max="4" width="11.6640625" style="154" bestFit="1" customWidth="1"/>
    <col min="5" max="5" width="15" style="154" bestFit="1" customWidth="1"/>
    <col min="6" max="6" width="11.6640625" style="157" bestFit="1" customWidth="1"/>
    <col min="7" max="7" width="16.6640625" style="154" bestFit="1" customWidth="1"/>
    <col min="8" max="8" width="4.5546875" style="157" customWidth="1"/>
    <col min="9" max="9" width="51.33203125" style="157" hidden="1" customWidth="1"/>
    <col min="10" max="10" width="12.33203125" style="154" hidden="1" customWidth="1"/>
    <col min="11" max="11" width="11.6640625" style="154" hidden="1" customWidth="1"/>
    <col min="12" max="12" width="15" style="154" hidden="1" customWidth="1"/>
    <col min="13" max="13" width="11.6640625" style="157" hidden="1" customWidth="1"/>
    <col min="14" max="14" width="16.6640625" style="154" hidden="1" customWidth="1"/>
    <col min="15" max="15" width="4.5546875" style="157" hidden="1" customWidth="1"/>
    <col min="16" max="16" width="52.5546875" style="157" hidden="1" customWidth="1"/>
    <col min="17" max="17" width="12.33203125" style="154" hidden="1" customWidth="1"/>
    <col min="18" max="18" width="11.6640625" style="154" hidden="1" customWidth="1"/>
    <col min="19" max="19" width="15" style="154" hidden="1" customWidth="1"/>
    <col min="20" max="20" width="11.6640625" style="157" hidden="1" customWidth="1"/>
    <col min="21" max="21" width="16.6640625" style="154" hidden="1" customWidth="1"/>
    <col min="22" max="22" width="4.5546875" style="157" hidden="1" customWidth="1"/>
    <col min="23" max="23" width="51.6640625" style="154" hidden="1" customWidth="1"/>
    <col min="24" max="24" width="12.33203125" style="154" hidden="1" customWidth="1"/>
    <col min="25" max="25" width="20.44140625" style="154" hidden="1" customWidth="1"/>
    <col min="26" max="26" width="15" style="154" hidden="1" customWidth="1"/>
    <col min="27" max="27" width="11.6640625" style="154" hidden="1" customWidth="1"/>
    <col min="28" max="28" width="16.6640625" style="181" hidden="1" customWidth="1"/>
    <col min="29" max="29" width="9.33203125" style="157" customWidth="1"/>
    <col min="30" max="16384" width="9.33203125" style="157"/>
  </cols>
  <sheetData>
    <row r="1" spans="2:30" s="151" customFormat="1" ht="21">
      <c r="B1" s="196" t="s">
        <v>397</v>
      </c>
      <c r="C1" s="197"/>
      <c r="D1" s="198"/>
      <c r="E1" s="198"/>
      <c r="F1" s="199"/>
      <c r="G1" s="198"/>
      <c r="I1" s="196" t="s">
        <v>132</v>
      </c>
      <c r="J1" s="197"/>
      <c r="K1" s="198"/>
      <c r="L1" s="198"/>
      <c r="M1" s="199"/>
      <c r="N1" s="198"/>
      <c r="P1" s="196" t="s">
        <v>133</v>
      </c>
      <c r="Q1" s="197"/>
      <c r="R1" s="198"/>
      <c r="S1" s="198"/>
      <c r="T1" s="199"/>
      <c r="U1" s="198"/>
      <c r="W1" s="200" t="s">
        <v>134</v>
      </c>
      <c r="X1" s="201"/>
      <c r="Y1" s="201"/>
      <c r="Z1" s="201"/>
      <c r="AA1" s="201"/>
      <c r="AB1" s="202"/>
    </row>
    <row r="2" spans="2:30" ht="15.6">
      <c r="B2" s="152"/>
      <c r="C2" s="153"/>
      <c r="D2" s="153"/>
      <c r="E2" s="153"/>
      <c r="F2" s="152"/>
      <c r="G2" s="153"/>
      <c r="I2" s="152"/>
      <c r="J2" s="153"/>
      <c r="K2" s="153"/>
      <c r="L2" s="153"/>
      <c r="M2" s="152"/>
      <c r="N2" s="153"/>
      <c r="P2" s="152"/>
      <c r="Q2" s="153"/>
      <c r="R2" s="153"/>
      <c r="S2" s="153"/>
      <c r="T2" s="152"/>
      <c r="U2" s="153"/>
      <c r="W2" s="155"/>
      <c r="X2" s="155"/>
      <c r="Y2" s="155"/>
      <c r="Z2" s="155"/>
      <c r="AA2" s="155"/>
      <c r="AB2" s="156"/>
    </row>
    <row r="3" spans="2:30" s="166" customFormat="1" ht="15.6">
      <c r="B3" s="225" t="s">
        <v>128</v>
      </c>
      <c r="C3" s="204"/>
      <c r="D3" s="204"/>
      <c r="E3" s="204"/>
      <c r="F3" s="205"/>
      <c r="G3" s="204"/>
      <c r="I3" s="225" t="s">
        <v>128</v>
      </c>
      <c r="J3" s="204"/>
      <c r="K3" s="204"/>
      <c r="L3" s="204"/>
      <c r="M3" s="205"/>
      <c r="N3" s="204"/>
      <c r="P3" s="225" t="s">
        <v>128</v>
      </c>
      <c r="Q3" s="204"/>
      <c r="R3" s="204"/>
      <c r="S3" s="204"/>
      <c r="T3" s="205"/>
      <c r="U3" s="204"/>
      <c r="W3" s="225" t="s">
        <v>128</v>
      </c>
      <c r="X3" s="204"/>
      <c r="Y3" s="204"/>
      <c r="Z3" s="204"/>
      <c r="AA3" s="205"/>
      <c r="AB3" s="204"/>
    </row>
    <row r="4" spans="2:30" ht="42" customHeight="1">
      <c r="B4" s="206" t="s">
        <v>36</v>
      </c>
      <c r="C4" s="207" t="s">
        <v>37</v>
      </c>
      <c r="D4" s="207" t="s">
        <v>38</v>
      </c>
      <c r="E4" s="207" t="s">
        <v>39</v>
      </c>
      <c r="F4" s="206" t="s">
        <v>40</v>
      </c>
      <c r="G4" s="207" t="s">
        <v>41</v>
      </c>
      <c r="I4" s="206" t="s">
        <v>36</v>
      </c>
      <c r="J4" s="207" t="s">
        <v>37</v>
      </c>
      <c r="K4" s="207" t="s">
        <v>38</v>
      </c>
      <c r="L4" s="207" t="s">
        <v>39</v>
      </c>
      <c r="M4" s="206" t="s">
        <v>40</v>
      </c>
      <c r="N4" s="207" t="s">
        <v>41</v>
      </c>
      <c r="P4" s="206" t="s">
        <v>36</v>
      </c>
      <c r="Q4" s="207" t="s">
        <v>37</v>
      </c>
      <c r="R4" s="207" t="s">
        <v>38</v>
      </c>
      <c r="S4" s="207" t="s">
        <v>39</v>
      </c>
      <c r="T4" s="206" t="s">
        <v>40</v>
      </c>
      <c r="U4" s="207" t="s">
        <v>41</v>
      </c>
      <c r="W4" s="164" t="s">
        <v>36</v>
      </c>
      <c r="X4" s="164" t="s">
        <v>37</v>
      </c>
      <c r="Y4" s="164" t="s">
        <v>38</v>
      </c>
      <c r="Z4" s="164" t="s">
        <v>39</v>
      </c>
      <c r="AA4" s="164" t="s">
        <v>40</v>
      </c>
      <c r="AB4" s="164" t="s">
        <v>41</v>
      </c>
    </row>
    <row r="5" spans="2:30" ht="21.75" customHeight="1">
      <c r="B5" s="228" t="s">
        <v>42</v>
      </c>
      <c r="C5" s="208">
        <f>COUNTIFS('1. All Data'!$AB$3:$AB$136,"Communities and Regulatory Services",'1. All Data'!$H$3:$H$136,"Fully Achieved")</f>
        <v>0</v>
      </c>
      <c r="D5" s="209">
        <f>C5/C16</f>
        <v>0</v>
      </c>
      <c r="E5" s="422">
        <f>D5+D6</f>
        <v>0.6</v>
      </c>
      <c r="F5" s="210">
        <f>C5/C17</f>
        <v>0</v>
      </c>
      <c r="G5" s="424">
        <f>F5+F6</f>
        <v>1</v>
      </c>
      <c r="I5" s="228" t="s">
        <v>42</v>
      </c>
      <c r="J5" s="208">
        <f>COUNTIFS('1. All Data'!$AB$3:$AB$136,"Communities and Regulatory Services",'1. All Data'!$M$3:$M$136,"Fully Achieved")</f>
        <v>0</v>
      </c>
      <c r="K5" s="209" t="e">
        <f>J5/J16</f>
        <v>#DIV/0!</v>
      </c>
      <c r="L5" s="422" t="e">
        <f>K5+K6</f>
        <v>#DIV/0!</v>
      </c>
      <c r="M5" s="210" t="e">
        <f>J5/J17</f>
        <v>#DIV/0!</v>
      </c>
      <c r="N5" s="424" t="e">
        <f>M5+M6</f>
        <v>#DIV/0!</v>
      </c>
      <c r="P5" s="228" t="s">
        <v>42</v>
      </c>
      <c r="Q5" s="208">
        <f>COUNTIFS('1. All Data'!$AB$3:$AB$136,"Communities and Regulatory Services",'1. All Data'!$R$3:$R$136,"Fully Achieved")</f>
        <v>0</v>
      </c>
      <c r="R5" s="209" t="e">
        <f>Q5/Q16</f>
        <v>#DIV/0!</v>
      </c>
      <c r="S5" s="422" t="e">
        <f>R5+R6</f>
        <v>#DIV/0!</v>
      </c>
      <c r="T5" s="210" t="e">
        <f>Q5/Q17</f>
        <v>#DIV/0!</v>
      </c>
      <c r="U5" s="424" t="e">
        <f>T5+T6</f>
        <v>#DIV/0!</v>
      </c>
      <c r="W5" s="228" t="s">
        <v>42</v>
      </c>
      <c r="X5" s="208">
        <f>COUNTIFS('1. All Data'!$AB$3:$AB$136,"Communities and Regulatory Services",'1. All Data'!$V$3:$V$136,"Fully Achieved")</f>
        <v>0</v>
      </c>
      <c r="Y5" s="209" t="e">
        <f>X5/X16</f>
        <v>#DIV/0!</v>
      </c>
      <c r="Z5" s="422" t="e">
        <f>Y5+Y6</f>
        <v>#DIV/0!</v>
      </c>
      <c r="AA5" s="209" t="e">
        <f>X5/X17</f>
        <v>#DIV/0!</v>
      </c>
      <c r="AB5" s="403" t="e">
        <f>AA5+AA6</f>
        <v>#DIV/0!</v>
      </c>
    </row>
    <row r="6" spans="2:30" ht="18.75" customHeight="1">
      <c r="B6" s="228" t="s">
        <v>25</v>
      </c>
      <c r="C6" s="208">
        <f>COUNTIFS('1. All Data'!$AB$3:$AB$136,"Communities and Regulatory Services",'1. All Data'!$H$3:$H$136,"On Track to be Achieved")</f>
        <v>9</v>
      </c>
      <c r="D6" s="209">
        <f>C6/C16</f>
        <v>0.6</v>
      </c>
      <c r="E6" s="422"/>
      <c r="F6" s="210">
        <f>C6/C17</f>
        <v>1</v>
      </c>
      <c r="G6" s="424"/>
      <c r="I6" s="228" t="s">
        <v>25</v>
      </c>
      <c r="J6" s="208">
        <f>COUNTIFS('1. All Data'!$AB$3:$AB$136,"Communities and Regulatory Services",'1. All Data'!$M$3:$M$136,"On Track to be Achieved")</f>
        <v>0</v>
      </c>
      <c r="K6" s="209" t="e">
        <f>J6/J16</f>
        <v>#DIV/0!</v>
      </c>
      <c r="L6" s="422"/>
      <c r="M6" s="210" t="e">
        <f>J6/J17</f>
        <v>#DIV/0!</v>
      </c>
      <c r="N6" s="424"/>
      <c r="P6" s="228" t="s">
        <v>25</v>
      </c>
      <c r="Q6" s="208">
        <f>COUNTIFS('1. All Data'!$AB$3:$AB$136,"Communities and Regulatory Services",'1. All Data'!$R$3:$R$136,"On Track to be Achieved")</f>
        <v>0</v>
      </c>
      <c r="R6" s="209" t="e">
        <f>Q6/Q16</f>
        <v>#DIV/0!</v>
      </c>
      <c r="S6" s="422"/>
      <c r="T6" s="210" t="e">
        <f>Q6/Q17</f>
        <v>#DIV/0!</v>
      </c>
      <c r="U6" s="424"/>
      <c r="W6" s="228" t="s">
        <v>17</v>
      </c>
      <c r="X6" s="208">
        <f>COUNTIFS('1. All Data'!$AB$3:$AB$136,"Communities and Regulatory Services",'1. All Data'!$V$3:$V$136,"Numerical Outturn Within 5% Tolerance")</f>
        <v>0</v>
      </c>
      <c r="Y6" s="209" t="e">
        <f>X6/X16</f>
        <v>#DIV/0!</v>
      </c>
      <c r="Z6" s="422"/>
      <c r="AA6" s="209" t="e">
        <f>X6/X17</f>
        <v>#DIV/0!</v>
      </c>
      <c r="AB6" s="403"/>
    </row>
    <row r="7" spans="2:30" ht="21" customHeight="1">
      <c r="B7" s="434" t="s">
        <v>26</v>
      </c>
      <c r="C7" s="437">
        <f>COUNTIFS('1. All Data'!$AB$3:$AB$136,"Communities and Regulatory Services",'1. All Data'!$H$3:$H$136,"In Danger of Falling Behind Target")</f>
        <v>0</v>
      </c>
      <c r="D7" s="425">
        <f>C7/C16</f>
        <v>0</v>
      </c>
      <c r="E7" s="425">
        <f>D7</f>
        <v>0</v>
      </c>
      <c r="F7" s="428">
        <f>C7/C17</f>
        <v>0</v>
      </c>
      <c r="G7" s="431">
        <f>F7</f>
        <v>0</v>
      </c>
      <c r="I7" s="434" t="s">
        <v>26</v>
      </c>
      <c r="J7" s="437">
        <f>COUNTIFS('1. All Data'!$AB$3:$AB$136,"Communities and Regulatory Services",'1. All Data'!$M$3:$M$136,"In Danger of Falling Behind Target")</f>
        <v>0</v>
      </c>
      <c r="K7" s="425" t="e">
        <f>J7/J16</f>
        <v>#DIV/0!</v>
      </c>
      <c r="L7" s="425" t="e">
        <f>K7</f>
        <v>#DIV/0!</v>
      </c>
      <c r="M7" s="428" t="e">
        <f>J7/J17</f>
        <v>#DIV/0!</v>
      </c>
      <c r="N7" s="431" t="e">
        <f>M7</f>
        <v>#DIV/0!</v>
      </c>
      <c r="P7" s="434" t="s">
        <v>26</v>
      </c>
      <c r="Q7" s="437">
        <f>COUNTIFS('1. All Data'!$AB$3:$AB$136,"Communities and Regulatory Services",'1. All Data'!$R$3:$R$136,"In Danger of Falling Behind Target")</f>
        <v>0</v>
      </c>
      <c r="R7" s="425" t="e">
        <f>Q7/Q16</f>
        <v>#DIV/0!</v>
      </c>
      <c r="S7" s="425" t="e">
        <f>R7</f>
        <v>#DIV/0!</v>
      </c>
      <c r="T7" s="428" t="e">
        <f>Q7/Q17</f>
        <v>#DIV/0!</v>
      </c>
      <c r="U7" s="431" t="e">
        <f>T7</f>
        <v>#DIV/0!</v>
      </c>
      <c r="W7" s="169" t="s">
        <v>18</v>
      </c>
      <c r="X7" s="170">
        <f>COUNTIFS('1. All Data'!$AB$3:$AB$136,"Communities and Regulatory Services",'1. All Data'!$V$3:$V$136,"Numerical Outturn Within 10% Tolerance")</f>
        <v>0</v>
      </c>
      <c r="Y7" s="168" t="e">
        <f>X7/$X$16</f>
        <v>#DIV/0!</v>
      </c>
      <c r="Z7" s="401" t="e">
        <f>SUM(Y7:Y9)</f>
        <v>#DIV/0!</v>
      </c>
      <c r="AA7" s="168" t="e">
        <f>X7/$X$17</f>
        <v>#DIV/0!</v>
      </c>
      <c r="AB7" s="410" t="e">
        <f>SUM(AA7:AA9)</f>
        <v>#DIV/0!</v>
      </c>
    </row>
    <row r="8" spans="2:30" ht="20.25" customHeight="1">
      <c r="B8" s="435"/>
      <c r="C8" s="438"/>
      <c r="D8" s="426"/>
      <c r="E8" s="426"/>
      <c r="F8" s="429"/>
      <c r="G8" s="432"/>
      <c r="I8" s="435"/>
      <c r="J8" s="438"/>
      <c r="K8" s="426"/>
      <c r="L8" s="426"/>
      <c r="M8" s="429"/>
      <c r="N8" s="432"/>
      <c r="P8" s="435"/>
      <c r="Q8" s="438"/>
      <c r="R8" s="426"/>
      <c r="S8" s="426"/>
      <c r="T8" s="429"/>
      <c r="U8" s="432"/>
      <c r="W8" s="169" t="s">
        <v>19</v>
      </c>
      <c r="X8" s="170">
        <f>COUNTIFS('1. All Data'!$AB$3:$AB$136,"Communities and Regulatory Services",'1. All Data'!$V$3:$V$136,"Target Partially Met")</f>
        <v>0</v>
      </c>
      <c r="Y8" s="168" t="e">
        <f>X8/$X$16</f>
        <v>#DIV/0!</v>
      </c>
      <c r="Z8" s="401"/>
      <c r="AA8" s="168" t="e">
        <f>X8/$X$17</f>
        <v>#DIV/0!</v>
      </c>
      <c r="AB8" s="410"/>
    </row>
    <row r="9" spans="2:30" ht="18.75" customHeight="1">
      <c r="B9" s="436"/>
      <c r="C9" s="439"/>
      <c r="D9" s="427"/>
      <c r="E9" s="427"/>
      <c r="F9" s="430"/>
      <c r="G9" s="433"/>
      <c r="I9" s="436"/>
      <c r="J9" s="439"/>
      <c r="K9" s="427"/>
      <c r="L9" s="427"/>
      <c r="M9" s="430"/>
      <c r="N9" s="433"/>
      <c r="P9" s="436"/>
      <c r="Q9" s="439"/>
      <c r="R9" s="427"/>
      <c r="S9" s="427"/>
      <c r="T9" s="430"/>
      <c r="U9" s="433"/>
      <c r="W9" s="169" t="s">
        <v>22</v>
      </c>
      <c r="X9" s="170">
        <f>COUNTIFS('1. All Data'!$AB$3:$AB$136,"Communities and Regulatory Services",'1. All Data'!$V$3:$V$136,"Completion Date Within Reasonable Tolerance")</f>
        <v>0</v>
      </c>
      <c r="Y9" s="168" t="e">
        <f>X9/$X$16</f>
        <v>#DIV/0!</v>
      </c>
      <c r="Z9" s="401"/>
      <c r="AA9" s="168" t="e">
        <f>X9/$X$17</f>
        <v>#DIV/0!</v>
      </c>
      <c r="AB9" s="410"/>
    </row>
    <row r="10" spans="2:30" ht="20.25" customHeight="1">
      <c r="B10" s="211" t="s">
        <v>27</v>
      </c>
      <c r="C10" s="208">
        <f>COUNTIFS('1. All Data'!$AB$3:$AB$136,"Communities and Regulatory Services",'1. All Data'!$H$3:$H$136,"Completed Behind Schedule")</f>
        <v>0</v>
      </c>
      <c r="D10" s="209">
        <f>C10/C16</f>
        <v>0</v>
      </c>
      <c r="E10" s="422">
        <f>D10+D11</f>
        <v>0</v>
      </c>
      <c r="F10" s="210">
        <f>C10/C17</f>
        <v>0</v>
      </c>
      <c r="G10" s="423">
        <f>F10+F11</f>
        <v>0</v>
      </c>
      <c r="I10" s="211" t="s">
        <v>27</v>
      </c>
      <c r="J10" s="208">
        <f>COUNTIFS('1. All Data'!$AB$3:$AB$136,"Communities and Regulatory Services",'1. All Data'!$M$3:$M$136,"Completed Behind Schedule")</f>
        <v>0</v>
      </c>
      <c r="K10" s="209" t="e">
        <f>J10/J16</f>
        <v>#DIV/0!</v>
      </c>
      <c r="L10" s="422" t="e">
        <f>K10+K11</f>
        <v>#DIV/0!</v>
      </c>
      <c r="M10" s="210" t="e">
        <f>J10/J17</f>
        <v>#DIV/0!</v>
      </c>
      <c r="N10" s="423" t="e">
        <f>M10+M11</f>
        <v>#DIV/0!</v>
      </c>
      <c r="P10" s="211" t="s">
        <v>27</v>
      </c>
      <c r="Q10" s="208">
        <f>COUNTIFS('1. All Data'!$AB$3:$AB$136,"Communities and Regulatory Services",'1. All Data'!$R$3:$R$136,"Completed Behind Schedule")</f>
        <v>0</v>
      </c>
      <c r="R10" s="209" t="e">
        <f>Q10/Q16</f>
        <v>#DIV/0!</v>
      </c>
      <c r="S10" s="422" t="e">
        <f>R10+R11</f>
        <v>#DIV/0!</v>
      </c>
      <c r="T10" s="210" t="e">
        <f>Q10/Q17</f>
        <v>#DIV/0!</v>
      </c>
      <c r="U10" s="423" t="e">
        <f>T10+T11</f>
        <v>#DIV/0!</v>
      </c>
      <c r="W10" s="171" t="s">
        <v>21</v>
      </c>
      <c r="X10" s="208">
        <f>COUNTIFS('1. All Data'!$AB$3:$AB$136,"Communities and Regulatory Services",'1. All Data'!$V$3:$V$136,"Completed Significantly After Target Deadline")</f>
        <v>0</v>
      </c>
      <c r="Y10" s="209" t="e">
        <f>X10/X16</f>
        <v>#DIV/0!</v>
      </c>
      <c r="Z10" s="422" t="e">
        <f>Y10+Y11</f>
        <v>#DIV/0!</v>
      </c>
      <c r="AA10" s="168" t="e">
        <f>X10/$X$17</f>
        <v>#DIV/0!</v>
      </c>
      <c r="AB10" s="402" t="e">
        <f>AA10+AA11</f>
        <v>#DIV/0!</v>
      </c>
    </row>
    <row r="11" spans="2:30" ht="20.25" customHeight="1">
      <c r="B11" s="211" t="s">
        <v>20</v>
      </c>
      <c r="C11" s="208">
        <f>COUNTIFS('1. All Data'!$AB$3:$AB$136,"Communities and Regulatory Services",'1. All Data'!$H$3:$H$136,"Off Target")</f>
        <v>0</v>
      </c>
      <c r="D11" s="209">
        <f>C11/C16</f>
        <v>0</v>
      </c>
      <c r="E11" s="422"/>
      <c r="F11" s="210">
        <f>C11/C17</f>
        <v>0</v>
      </c>
      <c r="G11" s="423"/>
      <c r="I11" s="211" t="s">
        <v>20</v>
      </c>
      <c r="J11" s="208">
        <f>COUNTIFS('1. All Data'!$AB$3:$AB$136,"Communities and Regulatory Services",'1. All Data'!$M$3:$M$136,"Off Target")</f>
        <v>0</v>
      </c>
      <c r="K11" s="209" t="e">
        <f>J11/J16</f>
        <v>#DIV/0!</v>
      </c>
      <c r="L11" s="422"/>
      <c r="M11" s="210" t="e">
        <f>J11/J17</f>
        <v>#DIV/0!</v>
      </c>
      <c r="N11" s="423"/>
      <c r="P11" s="211" t="s">
        <v>20</v>
      </c>
      <c r="Q11" s="208">
        <f>COUNTIFS('1. All Data'!$AB$3:$AB$136,"Communities and Regulatory Services",'1. All Data'!$R$3:$R$136,"Off Target")</f>
        <v>0</v>
      </c>
      <c r="R11" s="209" t="e">
        <f>Q11/Q16</f>
        <v>#DIV/0!</v>
      </c>
      <c r="S11" s="422"/>
      <c r="T11" s="210" t="e">
        <f>Q11/Q17</f>
        <v>#DIV/0!</v>
      </c>
      <c r="U11" s="423"/>
      <c r="W11" s="171" t="s">
        <v>20</v>
      </c>
      <c r="X11" s="208">
        <f>COUNTIFS('1. All Data'!$AB$3:$AB$136,"Communities and Regulatory Services",'1. All Data'!$V$3:$V$136,"Off Target")</f>
        <v>0</v>
      </c>
      <c r="Y11" s="209" t="e">
        <f>X11/X16</f>
        <v>#DIV/0!</v>
      </c>
      <c r="Z11" s="422"/>
      <c r="AA11" s="168" t="e">
        <f>X11/$X$17</f>
        <v>#DIV/0!</v>
      </c>
      <c r="AB11" s="402"/>
    </row>
    <row r="12" spans="2:30" ht="15" customHeight="1">
      <c r="B12" s="212" t="s">
        <v>43</v>
      </c>
      <c r="C12" s="208">
        <f>COUNTIFS('1. All Data'!$AB$3:$AB$136,"Communities and Regulatory Services",'1. All Data'!$H$3:$H$136,"Not yet due")</f>
        <v>6</v>
      </c>
      <c r="D12" s="213">
        <f>C12/C16</f>
        <v>0.4</v>
      </c>
      <c r="E12" s="213">
        <f>D12</f>
        <v>0.4</v>
      </c>
      <c r="F12" s="214"/>
      <c r="G12" s="58"/>
      <c r="I12" s="212" t="s">
        <v>43</v>
      </c>
      <c r="J12" s="208">
        <f>COUNTIFS('1. All Data'!$AB$3:$AB$136,"Communities and Regulatory Services",'1. All Data'!$M$3:$M$136,"Not yet due")</f>
        <v>0</v>
      </c>
      <c r="K12" s="213" t="e">
        <f>J12/J16</f>
        <v>#DIV/0!</v>
      </c>
      <c r="L12" s="213" t="e">
        <f>K12</f>
        <v>#DIV/0!</v>
      </c>
      <c r="M12" s="214"/>
      <c r="N12" s="58"/>
      <c r="P12" s="212" t="s">
        <v>43</v>
      </c>
      <c r="Q12" s="208">
        <f>COUNTIFS('1. All Data'!$AB$3:$AB$136,"Communities and Regulatory Services",'1. All Data'!$R$3:$R$136,"Not yet due")</f>
        <v>0</v>
      </c>
      <c r="R12" s="213" t="e">
        <f>Q12/Q16</f>
        <v>#DIV/0!</v>
      </c>
      <c r="S12" s="213" t="e">
        <f>R12</f>
        <v>#DIV/0!</v>
      </c>
      <c r="T12" s="214"/>
      <c r="U12" s="58"/>
      <c r="W12" s="172" t="s">
        <v>43</v>
      </c>
      <c r="X12" s="208">
        <f>COUNTIFS('1. All Data'!$AB$3:$AB$136,"Communities and Regulatory Services",'1. All Data'!$V$3:$V$136,"Not yet due")</f>
        <v>0</v>
      </c>
      <c r="Y12" s="213" t="e">
        <f>X12/X16</f>
        <v>#DIV/0!</v>
      </c>
      <c r="Z12" s="213" t="e">
        <f>Y12</f>
        <v>#DIV/0!</v>
      </c>
      <c r="AA12" s="174"/>
      <c r="AB12" s="58"/>
    </row>
    <row r="13" spans="2:30" ht="15" customHeight="1">
      <c r="B13" s="212" t="s">
        <v>15</v>
      </c>
      <c r="C13" s="208">
        <f>COUNTIFS('1. All Data'!$AB$3:$AB$136,"Communities and Regulatory Services",'1. All Data'!$H$3:$H$136,"Update not provided")</f>
        <v>0</v>
      </c>
      <c r="D13" s="213">
        <f>C13/C16</f>
        <v>0</v>
      </c>
      <c r="E13" s="213">
        <f>D13</f>
        <v>0</v>
      </c>
      <c r="F13" s="214"/>
      <c r="G13" s="2"/>
      <c r="I13" s="212" t="s">
        <v>15</v>
      </c>
      <c r="J13" s="208">
        <f>COUNTIFS('1. All Data'!$AB$3:$AB$136,"Communities and Regulatory Services",'1. All Data'!$M$3:$M$136,"Update not provided")</f>
        <v>0</v>
      </c>
      <c r="K13" s="213" t="e">
        <f>J13/J16</f>
        <v>#DIV/0!</v>
      </c>
      <c r="L13" s="213" t="e">
        <f>K13</f>
        <v>#DIV/0!</v>
      </c>
      <c r="M13" s="214"/>
      <c r="N13" s="2"/>
      <c r="P13" s="212" t="s">
        <v>15</v>
      </c>
      <c r="Q13" s="208">
        <f>COUNTIFS('1. All Data'!$AB$3:$AB$136,"Communities and Regulatory Services",'1. All Data'!$R$3:$R$136,"Update not provided")</f>
        <v>0</v>
      </c>
      <c r="R13" s="213" t="e">
        <f>Q13/Q16</f>
        <v>#DIV/0!</v>
      </c>
      <c r="S13" s="213" t="e">
        <f>R13</f>
        <v>#DIV/0!</v>
      </c>
      <c r="T13" s="214"/>
      <c r="U13" s="2"/>
      <c r="W13" s="172" t="s">
        <v>15</v>
      </c>
      <c r="X13" s="208">
        <f>COUNTIFS('1. All Data'!$AB$3:$AB$136,"Communities and Regulatory Services",'1. All Data'!$V$3:$V$136,"Update not provided")</f>
        <v>0</v>
      </c>
      <c r="Y13" s="213" t="e">
        <f>X13/X16</f>
        <v>#DIV/0!</v>
      </c>
      <c r="Z13" s="213" t="e">
        <f>Y13</f>
        <v>#DIV/0!</v>
      </c>
      <c r="AA13" s="174"/>
      <c r="AB13" s="2"/>
    </row>
    <row r="14" spans="2:30" ht="15.75" customHeight="1">
      <c r="B14" s="215" t="s">
        <v>23</v>
      </c>
      <c r="C14" s="208">
        <f>COUNTIFS('1. All Data'!$AB$3:$AB$136,"Communities and Regulatory Services",'1. All Data'!$H$3:$H$136,"Deferred")</f>
        <v>0</v>
      </c>
      <c r="D14" s="216">
        <f>C14/C16</f>
        <v>0</v>
      </c>
      <c r="E14" s="216">
        <f>D14</f>
        <v>0</v>
      </c>
      <c r="F14" s="217"/>
      <c r="G14" s="58"/>
      <c r="I14" s="215" t="s">
        <v>23</v>
      </c>
      <c r="J14" s="208">
        <f>COUNTIFS('1. All Data'!$AB$3:$AB$136,"Communities and Regulatory Services",'1. All Data'!$M$3:$M$136,"Deferred")</f>
        <v>0</v>
      </c>
      <c r="K14" s="216" t="e">
        <f>J14/J16</f>
        <v>#DIV/0!</v>
      </c>
      <c r="L14" s="216" t="e">
        <f>K14</f>
        <v>#DIV/0!</v>
      </c>
      <c r="M14" s="217"/>
      <c r="N14" s="58"/>
      <c r="P14" s="215" t="s">
        <v>23</v>
      </c>
      <c r="Q14" s="208">
        <f>COUNTIFS('1. All Data'!$AB$3:$AB$136,"Communities and Regulatory Services",'1. All Data'!$R$3:$R$136,"Deferred")</f>
        <v>0</v>
      </c>
      <c r="R14" s="216" t="e">
        <f>Q14/Q16</f>
        <v>#DIV/0!</v>
      </c>
      <c r="S14" s="216" t="e">
        <f>R14</f>
        <v>#DIV/0!</v>
      </c>
      <c r="T14" s="217"/>
      <c r="U14" s="58"/>
      <c r="W14" s="175" t="s">
        <v>23</v>
      </c>
      <c r="X14" s="208">
        <f>COUNTIFS('1. All Data'!$AB$3:$AB$136,"Communities and Regulatory Services",'1. All Data'!$V$3:$V$136,"Deferred")</f>
        <v>0</v>
      </c>
      <c r="Y14" s="216" t="e">
        <f>X14/X16</f>
        <v>#DIV/0!</v>
      </c>
      <c r="Z14" s="216" t="e">
        <f>Y14</f>
        <v>#DIV/0!</v>
      </c>
      <c r="AA14" s="177"/>
      <c r="AB14" s="58"/>
    </row>
    <row r="15" spans="2:30" ht="15.75" customHeight="1">
      <c r="B15" s="215" t="s">
        <v>24</v>
      </c>
      <c r="C15" s="208">
        <f>COUNTIFS('1. All Data'!$AB$3:$AB$136,"Communities and Regulatory Services",'1. All Data'!$H$3:$H$136,"Deleted")</f>
        <v>0</v>
      </c>
      <c r="D15" s="216">
        <f>C15/C16</f>
        <v>0</v>
      </c>
      <c r="E15" s="216">
        <f>D15</f>
        <v>0</v>
      </c>
      <c r="F15" s="217"/>
      <c r="G15" s="29"/>
      <c r="I15" s="215" t="s">
        <v>24</v>
      </c>
      <c r="J15" s="208">
        <f>COUNTIFS('1. All Data'!$AB$3:$AB$136,"Communities and Regulatory Services",'1. All Data'!$M$3:$M$136,"Deleted")</f>
        <v>0</v>
      </c>
      <c r="K15" s="216" t="e">
        <f>J15/J16</f>
        <v>#DIV/0!</v>
      </c>
      <c r="L15" s="216" t="e">
        <f>K15</f>
        <v>#DIV/0!</v>
      </c>
      <c r="M15" s="217"/>
      <c r="N15" s="29"/>
      <c r="P15" s="215" t="s">
        <v>24</v>
      </c>
      <c r="Q15" s="208">
        <f>COUNTIFS('1. All Data'!$AB$3:$AB$136,"Communities and Regulatory Services",'1. All Data'!$R$3:$R$136,"Deleted")</f>
        <v>0</v>
      </c>
      <c r="R15" s="216" t="e">
        <f>Q15/Q16</f>
        <v>#DIV/0!</v>
      </c>
      <c r="S15" s="216" t="e">
        <f>R15</f>
        <v>#DIV/0!</v>
      </c>
      <c r="T15" s="217"/>
      <c r="U15" s="29"/>
      <c r="W15" s="175" t="s">
        <v>24</v>
      </c>
      <c r="X15" s="208">
        <f>COUNTIFS('1. All Data'!$AB$3:$AB$136,"Communities and Regulatory Services",'1. All Data'!$V$3:$V$136,"Deleted")</f>
        <v>0</v>
      </c>
      <c r="Y15" s="216" t="e">
        <f>X15/X16</f>
        <v>#DIV/0!</v>
      </c>
      <c r="Z15" s="216" t="e">
        <f>Y15</f>
        <v>#DIV/0!</v>
      </c>
      <c r="AA15" s="177"/>
      <c r="AD15" s="3"/>
    </row>
    <row r="16" spans="2:30" ht="15.75" customHeight="1">
      <c r="B16" s="218" t="s">
        <v>45</v>
      </c>
      <c r="C16" s="219">
        <f>SUM(C5:C15)</f>
        <v>15</v>
      </c>
      <c r="D16" s="177"/>
      <c r="E16" s="177"/>
      <c r="F16" s="220"/>
      <c r="G16" s="58"/>
      <c r="I16" s="218" t="s">
        <v>45</v>
      </c>
      <c r="J16" s="219">
        <f>SUM(J5:J15)</f>
        <v>0</v>
      </c>
      <c r="K16" s="177"/>
      <c r="L16" s="177"/>
      <c r="M16" s="220"/>
      <c r="N16" s="58"/>
      <c r="P16" s="218" t="s">
        <v>45</v>
      </c>
      <c r="Q16" s="219">
        <f>SUM(Q5:Q15)</f>
        <v>0</v>
      </c>
      <c r="R16" s="177"/>
      <c r="S16" s="177"/>
      <c r="T16" s="220"/>
      <c r="U16" s="58"/>
      <c r="W16" s="178" t="s">
        <v>45</v>
      </c>
      <c r="X16" s="219">
        <f>SUM(X5:X15)</f>
        <v>0</v>
      </c>
      <c r="Y16" s="177"/>
      <c r="Z16" s="177"/>
      <c r="AA16" s="58"/>
      <c r="AB16" s="58"/>
    </row>
    <row r="17" spans="2:29" ht="15.75" customHeight="1">
      <c r="B17" s="218" t="s">
        <v>46</v>
      </c>
      <c r="C17" s="219">
        <f>C16-C15-C14-C13-C12</f>
        <v>9</v>
      </c>
      <c r="D17" s="58"/>
      <c r="E17" s="58"/>
      <c r="F17" s="220"/>
      <c r="G17" s="58"/>
      <c r="I17" s="218" t="s">
        <v>46</v>
      </c>
      <c r="J17" s="219">
        <f>J16-J15-J14-J13-J12</f>
        <v>0</v>
      </c>
      <c r="K17" s="58"/>
      <c r="L17" s="58"/>
      <c r="M17" s="220"/>
      <c r="N17" s="58"/>
      <c r="P17" s="218" t="s">
        <v>46</v>
      </c>
      <c r="Q17" s="219">
        <f>Q16-Q15-Q14-Q13-Q12</f>
        <v>0</v>
      </c>
      <c r="R17" s="58"/>
      <c r="S17" s="58"/>
      <c r="T17" s="220"/>
      <c r="U17" s="58"/>
      <c r="W17" s="178" t="s">
        <v>46</v>
      </c>
      <c r="X17" s="219">
        <f>X16-X15-X14-X13-X12</f>
        <v>0</v>
      </c>
      <c r="Y17" s="58"/>
      <c r="Z17" s="58"/>
      <c r="AA17" s="58"/>
      <c r="AB17" s="58"/>
    </row>
    <row r="18" spans="2:29" ht="15.75" customHeight="1">
      <c r="W18" s="180"/>
      <c r="AA18" s="2"/>
    </row>
    <row r="19" spans="2:29" ht="15.75" customHeight="1">
      <c r="AA19" s="2"/>
    </row>
    <row r="20" spans="2:29" s="166" customFormat="1" ht="15.75" customHeight="1">
      <c r="B20" s="187"/>
      <c r="C20" s="165"/>
      <c r="D20" s="165"/>
      <c r="E20" s="165"/>
      <c r="F20" s="220"/>
      <c r="G20" s="165"/>
      <c r="I20" s="187"/>
      <c r="J20" s="165"/>
      <c r="K20" s="165"/>
      <c r="L20" s="165"/>
      <c r="M20" s="220"/>
      <c r="N20" s="165"/>
      <c r="P20" s="187"/>
      <c r="Q20" s="165"/>
      <c r="R20" s="165"/>
      <c r="S20" s="165"/>
      <c r="T20" s="220"/>
      <c r="U20" s="165"/>
      <c r="W20" s="165"/>
      <c r="X20" s="165"/>
      <c r="Y20" s="165"/>
      <c r="Z20" s="165"/>
      <c r="AA20" s="58"/>
      <c r="AB20" s="186"/>
    </row>
    <row r="21" spans="2:29" ht="15" customHeight="1">
      <c r="W21" s="221"/>
      <c r="X21" s="58"/>
      <c r="Y21" s="58"/>
      <c r="Z21" s="58"/>
      <c r="AA21" s="58"/>
      <c r="AB21" s="177"/>
      <c r="AC21" s="166"/>
    </row>
    <row r="22" spans="2:29" s="166" customFormat="1" ht="15.6">
      <c r="B22" s="203" t="s">
        <v>95</v>
      </c>
      <c r="C22" s="204"/>
      <c r="D22" s="204"/>
      <c r="E22" s="204"/>
      <c r="F22" s="205"/>
      <c r="G22" s="204"/>
      <c r="I22" s="203" t="s">
        <v>95</v>
      </c>
      <c r="J22" s="204"/>
      <c r="K22" s="204"/>
      <c r="L22" s="204"/>
      <c r="M22" s="205"/>
      <c r="N22" s="204"/>
      <c r="P22" s="203" t="s">
        <v>95</v>
      </c>
      <c r="Q22" s="204"/>
      <c r="R22" s="204"/>
      <c r="S22" s="204"/>
      <c r="T22" s="205"/>
      <c r="U22" s="204"/>
      <c r="W22" s="203" t="s">
        <v>95</v>
      </c>
      <c r="X22" s="204"/>
      <c r="Y22" s="204"/>
      <c r="Z22" s="204"/>
      <c r="AA22" s="205"/>
      <c r="AB22" s="204"/>
    </row>
    <row r="23" spans="2:29" ht="42" customHeight="1">
      <c r="B23" s="206" t="s">
        <v>36</v>
      </c>
      <c r="C23" s="207" t="s">
        <v>37</v>
      </c>
      <c r="D23" s="207" t="s">
        <v>38</v>
      </c>
      <c r="E23" s="207" t="s">
        <v>39</v>
      </c>
      <c r="F23" s="206" t="s">
        <v>40</v>
      </c>
      <c r="G23" s="207" t="s">
        <v>41</v>
      </c>
      <c r="I23" s="206" t="s">
        <v>36</v>
      </c>
      <c r="J23" s="207" t="s">
        <v>37</v>
      </c>
      <c r="K23" s="207" t="s">
        <v>38</v>
      </c>
      <c r="L23" s="207" t="s">
        <v>39</v>
      </c>
      <c r="M23" s="206" t="s">
        <v>40</v>
      </c>
      <c r="N23" s="207" t="s">
        <v>41</v>
      </c>
      <c r="P23" s="206" t="s">
        <v>36</v>
      </c>
      <c r="Q23" s="207" t="s">
        <v>37</v>
      </c>
      <c r="R23" s="207" t="s">
        <v>38</v>
      </c>
      <c r="S23" s="207" t="s">
        <v>39</v>
      </c>
      <c r="T23" s="206" t="s">
        <v>40</v>
      </c>
      <c r="U23" s="207" t="s">
        <v>41</v>
      </c>
      <c r="W23" s="164" t="s">
        <v>36</v>
      </c>
      <c r="X23" s="164" t="s">
        <v>37</v>
      </c>
      <c r="Y23" s="164" t="s">
        <v>38</v>
      </c>
      <c r="Z23" s="164" t="s">
        <v>39</v>
      </c>
      <c r="AA23" s="164" t="s">
        <v>40</v>
      </c>
      <c r="AB23" s="164" t="s">
        <v>41</v>
      </c>
      <c r="AC23" s="166"/>
    </row>
    <row r="24" spans="2:29" ht="21.75" customHeight="1">
      <c r="B24" s="228" t="s">
        <v>42</v>
      </c>
      <c r="C24" s="208">
        <f>COUNTIFS('1. All Data'!$AB$3:$AB$136,"Environment and climate change",'1. All Data'!$H$3:$H$136,"Fully Achieved")</f>
        <v>0</v>
      </c>
      <c r="D24" s="209">
        <f>C24/C35</f>
        <v>0</v>
      </c>
      <c r="E24" s="422">
        <f>D24+D25</f>
        <v>0.64</v>
      </c>
      <c r="F24" s="210">
        <f>C24/C36</f>
        <v>0</v>
      </c>
      <c r="G24" s="424">
        <f>F24+F25</f>
        <v>1</v>
      </c>
      <c r="I24" s="228" t="s">
        <v>42</v>
      </c>
      <c r="J24" s="208">
        <f>COUNTIFS('1. All Data'!$AB$3:$AB$136,"Environment and Climate Change",'1. All Data'!$M$3:$M$136,"Fully Achieved")</f>
        <v>0</v>
      </c>
      <c r="K24" s="209" t="e">
        <f>J24/J35</f>
        <v>#DIV/0!</v>
      </c>
      <c r="L24" s="422" t="e">
        <f>K24+K25</f>
        <v>#DIV/0!</v>
      </c>
      <c r="M24" s="210" t="e">
        <f>J24/J36</f>
        <v>#DIV/0!</v>
      </c>
      <c r="N24" s="424" t="e">
        <f>M24+M25</f>
        <v>#DIV/0!</v>
      </c>
      <c r="P24" s="228" t="s">
        <v>42</v>
      </c>
      <c r="Q24" s="208">
        <f>COUNTIFS('1. All Data'!$AB$3:$AB$136,"Environment and Climate Change",'1. All Data'!$R$3:$R$136,"Fully Achieved")</f>
        <v>0</v>
      </c>
      <c r="R24" s="209" t="e">
        <f>Q24/Q35</f>
        <v>#DIV/0!</v>
      </c>
      <c r="S24" s="422" t="e">
        <f>R24+R25</f>
        <v>#DIV/0!</v>
      </c>
      <c r="T24" s="210" t="e">
        <f>Q24/Q36</f>
        <v>#DIV/0!</v>
      </c>
      <c r="U24" s="424" t="e">
        <f>T24+T25</f>
        <v>#DIV/0!</v>
      </c>
      <c r="W24" s="228" t="s">
        <v>42</v>
      </c>
      <c r="X24" s="208">
        <f>COUNTIFS('1. All Data'!$AB$3:$AB$136,"Environment and Climate Change",'1. All Data'!$V$3:$V$136,"Fully Achieved")</f>
        <v>0</v>
      </c>
      <c r="Y24" s="209" t="e">
        <f>X24/X35</f>
        <v>#DIV/0!</v>
      </c>
      <c r="Z24" s="422" t="e">
        <f>Y24+Y25</f>
        <v>#DIV/0!</v>
      </c>
      <c r="AA24" s="209" t="e">
        <f>X24/X36</f>
        <v>#DIV/0!</v>
      </c>
      <c r="AB24" s="403" t="e">
        <f>AA24+AA25</f>
        <v>#DIV/0!</v>
      </c>
      <c r="AC24" s="166"/>
    </row>
    <row r="25" spans="2:29" ht="18.75" customHeight="1">
      <c r="B25" s="228" t="s">
        <v>25</v>
      </c>
      <c r="C25" s="208">
        <f>COUNTIFS('1. All Data'!$AB$3:$AB$136,"Environment and climate change",'1. All Data'!$H$3:$H$136,"On Track to be Achieved")</f>
        <v>16</v>
      </c>
      <c r="D25" s="209">
        <f>C25/C35</f>
        <v>0.64</v>
      </c>
      <c r="E25" s="422"/>
      <c r="F25" s="210">
        <f>C25/C36</f>
        <v>1</v>
      </c>
      <c r="G25" s="424"/>
      <c r="I25" s="228" t="s">
        <v>25</v>
      </c>
      <c r="J25" s="208">
        <f>COUNTIFS('1. All Data'!$AB$3:$AB$136,"Environment and Climate Change",'1. All Data'!$M$3:$M$136,"On Track to be Achieved")</f>
        <v>0</v>
      </c>
      <c r="K25" s="209" t="e">
        <f>J25/J35</f>
        <v>#DIV/0!</v>
      </c>
      <c r="L25" s="422"/>
      <c r="M25" s="210" t="e">
        <f>J25/J36</f>
        <v>#DIV/0!</v>
      </c>
      <c r="N25" s="424"/>
      <c r="P25" s="228" t="s">
        <v>25</v>
      </c>
      <c r="Q25" s="208">
        <f>COUNTIFS('1. All Data'!$AB$3:$AB$136,"Environment and Climate Change",'1. All Data'!$R$3:$R$136,"On Track to be Achieved")</f>
        <v>0</v>
      </c>
      <c r="R25" s="209" t="e">
        <f>Q25/Q35</f>
        <v>#DIV/0!</v>
      </c>
      <c r="S25" s="422"/>
      <c r="T25" s="210" t="e">
        <f>Q25/Q36</f>
        <v>#DIV/0!</v>
      </c>
      <c r="U25" s="424"/>
      <c r="W25" s="228" t="s">
        <v>17</v>
      </c>
      <c r="X25" s="208">
        <f>COUNTIFS('1. All Data'!$AB$3:$AB$136,"Environment and Climate Change",'1. All Data'!$V$3:$V$136,"Numerical Outturn Within 5% Tolerance")</f>
        <v>0</v>
      </c>
      <c r="Y25" s="209" t="e">
        <f>X25/X35</f>
        <v>#DIV/0!</v>
      </c>
      <c r="Z25" s="422"/>
      <c r="AA25" s="209" t="e">
        <f>X25/X36</f>
        <v>#DIV/0!</v>
      </c>
      <c r="AB25" s="403"/>
      <c r="AC25" s="166"/>
    </row>
    <row r="26" spans="2:29" ht="21" customHeight="1">
      <c r="B26" s="434" t="s">
        <v>26</v>
      </c>
      <c r="C26" s="437">
        <f>COUNTIFS('1. All Data'!$AB$3:$AB$136,"Environment and climate change",'1. All Data'!$H$3:$H$136,"In Danger of Falling Behind Target")</f>
        <v>0</v>
      </c>
      <c r="D26" s="425">
        <f>C26/C35</f>
        <v>0</v>
      </c>
      <c r="E26" s="425">
        <f>D26</f>
        <v>0</v>
      </c>
      <c r="F26" s="428">
        <f>C26/C36</f>
        <v>0</v>
      </c>
      <c r="G26" s="431">
        <f>F26</f>
        <v>0</v>
      </c>
      <c r="I26" s="434" t="s">
        <v>26</v>
      </c>
      <c r="J26" s="437">
        <f>COUNTIFS('1. All Data'!$AB$3:$AB$136,"Environment and Climate Change",'1. All Data'!$M$3:$M$136,"In Danger of Falling Behind Target")</f>
        <v>0</v>
      </c>
      <c r="K26" s="425" t="e">
        <f>J26/J35</f>
        <v>#DIV/0!</v>
      </c>
      <c r="L26" s="425" t="e">
        <f>K26</f>
        <v>#DIV/0!</v>
      </c>
      <c r="M26" s="428" t="e">
        <f>J26/J36</f>
        <v>#DIV/0!</v>
      </c>
      <c r="N26" s="431" t="e">
        <f>M26</f>
        <v>#DIV/0!</v>
      </c>
      <c r="P26" s="434" t="s">
        <v>26</v>
      </c>
      <c r="Q26" s="437">
        <f>COUNTIFS('1. All Data'!$AB$3:$AB$136,"Environment and Climate Change",'1. All Data'!$R$3:$R$136,"In Danger of Falling Behind Target")</f>
        <v>0</v>
      </c>
      <c r="R26" s="425" t="e">
        <f>Q26/Q35</f>
        <v>#DIV/0!</v>
      </c>
      <c r="S26" s="425" t="e">
        <f>R26</f>
        <v>#DIV/0!</v>
      </c>
      <c r="T26" s="428" t="e">
        <f>Q26/Q36</f>
        <v>#DIV/0!</v>
      </c>
      <c r="U26" s="431" t="e">
        <f>T26</f>
        <v>#DIV/0!</v>
      </c>
      <c r="W26" s="169" t="s">
        <v>18</v>
      </c>
      <c r="X26" s="170">
        <f>COUNTIFS('1. All Data'!$AB$3:$AB$136,"Environment and Climate Change",'1. All Data'!$V$3:$V$136,"Numerical Outturn Within 10% Tolerance")</f>
        <v>0</v>
      </c>
      <c r="Y26" s="168" t="e">
        <f>X26/X35</f>
        <v>#DIV/0!</v>
      </c>
      <c r="Z26" s="401" t="e">
        <f>SUM(Y26:Y28)</f>
        <v>#DIV/0!</v>
      </c>
      <c r="AA26" s="168" t="e">
        <f>X26/X36</f>
        <v>#DIV/0!</v>
      </c>
      <c r="AB26" s="410" t="e">
        <f>SUM(AA26:AA28)</f>
        <v>#DIV/0!</v>
      </c>
      <c r="AC26" s="166"/>
    </row>
    <row r="27" spans="2:29" ht="20.25" customHeight="1">
      <c r="B27" s="435"/>
      <c r="C27" s="438"/>
      <c r="D27" s="426"/>
      <c r="E27" s="426"/>
      <c r="F27" s="429"/>
      <c r="G27" s="432"/>
      <c r="I27" s="435"/>
      <c r="J27" s="438"/>
      <c r="K27" s="426"/>
      <c r="L27" s="426"/>
      <c r="M27" s="429"/>
      <c r="N27" s="432"/>
      <c r="P27" s="435"/>
      <c r="Q27" s="438"/>
      <c r="R27" s="426"/>
      <c r="S27" s="426"/>
      <c r="T27" s="429"/>
      <c r="U27" s="432"/>
      <c r="W27" s="169" t="s">
        <v>19</v>
      </c>
      <c r="X27" s="170">
        <f>COUNTIFS('1. All Data'!$AB$3:$AB$136,"Environment and Climate Change",'1. All Data'!$V$3:$V$136,"Target Partially Met")</f>
        <v>0</v>
      </c>
      <c r="Y27" s="168" t="e">
        <f>X27/X35</f>
        <v>#DIV/0!</v>
      </c>
      <c r="Z27" s="401"/>
      <c r="AA27" s="168" t="e">
        <f>X27/X36</f>
        <v>#DIV/0!</v>
      </c>
      <c r="AB27" s="410"/>
      <c r="AC27" s="166"/>
    </row>
    <row r="28" spans="2:29" ht="15.75" customHeight="1">
      <c r="B28" s="436"/>
      <c r="C28" s="439"/>
      <c r="D28" s="427"/>
      <c r="E28" s="427"/>
      <c r="F28" s="430"/>
      <c r="G28" s="433"/>
      <c r="I28" s="436"/>
      <c r="J28" s="439"/>
      <c r="K28" s="427"/>
      <c r="L28" s="427"/>
      <c r="M28" s="430"/>
      <c r="N28" s="433"/>
      <c r="P28" s="436"/>
      <c r="Q28" s="439"/>
      <c r="R28" s="427"/>
      <c r="S28" s="427"/>
      <c r="T28" s="430"/>
      <c r="U28" s="433"/>
      <c r="W28" s="169" t="s">
        <v>22</v>
      </c>
      <c r="X28" s="170">
        <f>COUNTIFS('1. All Data'!$AB$3:$AB$136,"Environment and Climate Change",'1. All Data'!$V$3:$V$136,"Completion Date Within Reasonable Tolerance")</f>
        <v>0</v>
      </c>
      <c r="Y28" s="168" t="e">
        <f>X28/X35</f>
        <v>#DIV/0!</v>
      </c>
      <c r="Z28" s="401"/>
      <c r="AA28" s="168" t="e">
        <f>X28/X36</f>
        <v>#DIV/0!</v>
      </c>
      <c r="AB28" s="410"/>
      <c r="AC28" s="166"/>
    </row>
    <row r="29" spans="2:29" ht="20.25" customHeight="1">
      <c r="B29" s="211" t="s">
        <v>27</v>
      </c>
      <c r="C29" s="208">
        <f>COUNTIFS('1. All Data'!$AB$3:$AB$136,"Environment and climate change",'1. All Data'!$H$3:$H$136,"Completed Behind Schedule")</f>
        <v>0</v>
      </c>
      <c r="D29" s="209">
        <f>C29/C35</f>
        <v>0</v>
      </c>
      <c r="E29" s="422">
        <f>D29+D30</f>
        <v>0</v>
      </c>
      <c r="F29" s="210">
        <f>C29/C36</f>
        <v>0</v>
      </c>
      <c r="G29" s="423">
        <f>F29+F30</f>
        <v>0</v>
      </c>
      <c r="I29" s="211" t="s">
        <v>27</v>
      </c>
      <c r="J29" s="208">
        <f>COUNTIFS('1. All Data'!$AB$3:$AB$136,"Environment and Climate Change",'1. All Data'!$M$3:$M$136,"Completed Behind Schedule")</f>
        <v>0</v>
      </c>
      <c r="K29" s="209" t="e">
        <f>J29/J35</f>
        <v>#DIV/0!</v>
      </c>
      <c r="L29" s="422" t="e">
        <f>K29+K30</f>
        <v>#DIV/0!</v>
      </c>
      <c r="M29" s="210" t="e">
        <f>J29/J36</f>
        <v>#DIV/0!</v>
      </c>
      <c r="N29" s="423" t="e">
        <f>M29+M30</f>
        <v>#DIV/0!</v>
      </c>
      <c r="P29" s="211" t="s">
        <v>27</v>
      </c>
      <c r="Q29" s="208">
        <f>COUNTIFS('1. All Data'!$AB$3:$AB$136,"Environment and Climate Change",'1. All Data'!$R$3:$R$136,"Completed Behind Schedule")</f>
        <v>0</v>
      </c>
      <c r="R29" s="209" t="e">
        <f>Q29/Q35</f>
        <v>#DIV/0!</v>
      </c>
      <c r="S29" s="422" t="e">
        <f>R29+R30</f>
        <v>#DIV/0!</v>
      </c>
      <c r="T29" s="210" t="e">
        <f>Q29/Q36</f>
        <v>#DIV/0!</v>
      </c>
      <c r="U29" s="423" t="e">
        <f>T29+T30</f>
        <v>#DIV/0!</v>
      </c>
      <c r="W29" s="171" t="s">
        <v>21</v>
      </c>
      <c r="X29" s="208">
        <f>COUNTIFS('1. All Data'!$AB$3:$AB$136,"Environment and Climate Change",'1. All Data'!$V$3:$V$136,"Completed Significantly After Target Deadline")</f>
        <v>0</v>
      </c>
      <c r="Y29" s="209" t="e">
        <f>X29/X35</f>
        <v>#DIV/0!</v>
      </c>
      <c r="Z29" s="422" t="e">
        <f>Y29+Y30</f>
        <v>#DIV/0!</v>
      </c>
      <c r="AA29" s="209" t="e">
        <f>X29/X36</f>
        <v>#DIV/0!</v>
      </c>
      <c r="AB29" s="402" t="e">
        <f>AA29+AA30</f>
        <v>#DIV/0!</v>
      </c>
      <c r="AC29" s="166"/>
    </row>
    <row r="30" spans="2:29" ht="20.25" customHeight="1">
      <c r="B30" s="211" t="s">
        <v>20</v>
      </c>
      <c r="C30" s="208">
        <f>COUNTIFS('1. All Data'!$AB$3:$AB$136,"Environment and climate change",'1. All Data'!$H$3:$H$136,"Off Target")</f>
        <v>0</v>
      </c>
      <c r="D30" s="209">
        <f>C30/C35</f>
        <v>0</v>
      </c>
      <c r="E30" s="422"/>
      <c r="F30" s="210">
        <f>C30/C36</f>
        <v>0</v>
      </c>
      <c r="G30" s="423"/>
      <c r="I30" s="211" t="s">
        <v>20</v>
      </c>
      <c r="J30" s="208">
        <f>COUNTIFS('1. All Data'!$AB$3:$AB$136,"Environment and Climate Change",'1. All Data'!$M$3:$M$136,"Off Target")</f>
        <v>0</v>
      </c>
      <c r="K30" s="209" t="e">
        <f>J30/J35</f>
        <v>#DIV/0!</v>
      </c>
      <c r="L30" s="422"/>
      <c r="M30" s="210" t="e">
        <f>J30/J36</f>
        <v>#DIV/0!</v>
      </c>
      <c r="N30" s="423"/>
      <c r="P30" s="211" t="s">
        <v>20</v>
      </c>
      <c r="Q30" s="208">
        <f>COUNTIFS('1. All Data'!$AB$3:$AB$136,"Environment and Climate Change",'1. All Data'!$R$3:$R$136,"Off Target")</f>
        <v>0</v>
      </c>
      <c r="R30" s="209" t="e">
        <f>Q30/Q35</f>
        <v>#DIV/0!</v>
      </c>
      <c r="S30" s="422"/>
      <c r="T30" s="210" t="e">
        <f>Q30/Q36</f>
        <v>#DIV/0!</v>
      </c>
      <c r="U30" s="423"/>
      <c r="W30" s="171" t="s">
        <v>20</v>
      </c>
      <c r="X30" s="208">
        <f>COUNTIFS('1. All Data'!$AB$3:$AB$136,"Environment and Climate Change",'1. All Data'!$V$3:$V$136,"Off Target")</f>
        <v>0</v>
      </c>
      <c r="Y30" s="209" t="e">
        <f>X30/X35</f>
        <v>#DIV/0!</v>
      </c>
      <c r="Z30" s="422"/>
      <c r="AA30" s="209" t="e">
        <f>X30/X36</f>
        <v>#DIV/0!</v>
      </c>
      <c r="AB30" s="402"/>
      <c r="AC30" s="166"/>
    </row>
    <row r="31" spans="2:29" ht="15" customHeight="1">
      <c r="B31" s="212" t="s">
        <v>43</v>
      </c>
      <c r="C31" s="208">
        <f>COUNTIFS('1. All Data'!$AB$3:$AB$136,"Environment and climate change",'1. All Data'!$H$3:$H$136,"Not yet due")</f>
        <v>9</v>
      </c>
      <c r="D31" s="213">
        <f>C31/C35</f>
        <v>0.36</v>
      </c>
      <c r="E31" s="213">
        <f>D31</f>
        <v>0.36</v>
      </c>
      <c r="F31" s="214"/>
      <c r="G31" s="58"/>
      <c r="I31" s="212" t="s">
        <v>43</v>
      </c>
      <c r="J31" s="208">
        <f>COUNTIFS('1. All Data'!$AB$3:$AB$136,"Environment and Climate Change",'1. All Data'!$M$3:$M$136,"Not yet due")</f>
        <v>0</v>
      </c>
      <c r="K31" s="213" t="e">
        <f>J31/J35</f>
        <v>#DIV/0!</v>
      </c>
      <c r="L31" s="213" t="e">
        <f>K31</f>
        <v>#DIV/0!</v>
      </c>
      <c r="M31" s="214"/>
      <c r="N31" s="58"/>
      <c r="P31" s="212" t="s">
        <v>43</v>
      </c>
      <c r="Q31" s="208">
        <f>COUNTIFS('1. All Data'!$AB$3:$AB$136,"Environment and Climate Change",'1. All Data'!$R$3:$R$136,"Not yet due")</f>
        <v>0</v>
      </c>
      <c r="R31" s="213" t="e">
        <f>Q31/Q35</f>
        <v>#DIV/0!</v>
      </c>
      <c r="S31" s="213" t="e">
        <f>R31</f>
        <v>#DIV/0!</v>
      </c>
      <c r="T31" s="214"/>
      <c r="U31" s="58"/>
      <c r="W31" s="172" t="s">
        <v>43</v>
      </c>
      <c r="X31" s="208">
        <f>COUNTIFS('1. All Data'!$AB$3:$AB$136,"Environment and Climate Change",'1. All Data'!$V$3:$V$136,"Not yet due")</f>
        <v>0</v>
      </c>
      <c r="Y31" s="213" t="e">
        <f>X31/X35</f>
        <v>#DIV/0!</v>
      </c>
      <c r="Z31" s="213" t="e">
        <f>Y31</f>
        <v>#DIV/0!</v>
      </c>
      <c r="AA31" s="174"/>
      <c r="AB31" s="58"/>
      <c r="AC31" s="166"/>
    </row>
    <row r="32" spans="2:29" ht="15" customHeight="1">
      <c r="B32" s="212" t="s">
        <v>15</v>
      </c>
      <c r="C32" s="208">
        <f>COUNTIFS('1. All Data'!$AB$3:$AB$136,"Environment and climate change",'1. All Data'!$H$3:$H$136,"Update not provided")</f>
        <v>0</v>
      </c>
      <c r="D32" s="213">
        <f>C32/C35</f>
        <v>0</v>
      </c>
      <c r="E32" s="213">
        <f>D32</f>
        <v>0</v>
      </c>
      <c r="F32" s="214"/>
      <c r="G32" s="2"/>
      <c r="I32" s="212" t="s">
        <v>15</v>
      </c>
      <c r="J32" s="208">
        <f>COUNTIFS('1. All Data'!$AB$3:$AB$136,"Environment and Climate Change",'1. All Data'!$M$3:$M$136,"Update not provided")</f>
        <v>0</v>
      </c>
      <c r="K32" s="213" t="e">
        <f>J32/J35</f>
        <v>#DIV/0!</v>
      </c>
      <c r="L32" s="213" t="e">
        <f>K32</f>
        <v>#DIV/0!</v>
      </c>
      <c r="M32" s="214"/>
      <c r="N32" s="2"/>
      <c r="P32" s="212" t="s">
        <v>15</v>
      </c>
      <c r="Q32" s="208">
        <f>COUNTIFS('1. All Data'!$AB$3:$AB$136,"Environment and Climate Change",'1. All Data'!$R$3:$R$136,"Update not provided")</f>
        <v>0</v>
      </c>
      <c r="R32" s="213" t="e">
        <f>Q32/Q35</f>
        <v>#DIV/0!</v>
      </c>
      <c r="S32" s="213" t="e">
        <f>R32</f>
        <v>#DIV/0!</v>
      </c>
      <c r="T32" s="214"/>
      <c r="U32" s="2"/>
      <c r="W32" s="172" t="s">
        <v>15</v>
      </c>
      <c r="X32" s="208">
        <f>COUNTIFS('1. All Data'!$AB$3:$AB$136,"Environment and Climate Change",'1. All Data'!$V$3:$V$136,"Update not provided")</f>
        <v>0</v>
      </c>
      <c r="Y32" s="213" t="e">
        <f>X32/X35</f>
        <v>#DIV/0!</v>
      </c>
      <c r="Z32" s="213" t="e">
        <f>Y32</f>
        <v>#DIV/0!</v>
      </c>
      <c r="AA32" s="174"/>
      <c r="AB32" s="2"/>
      <c r="AC32" s="166"/>
    </row>
    <row r="33" spans="2:29" ht="15.75" customHeight="1">
      <c r="B33" s="215" t="s">
        <v>23</v>
      </c>
      <c r="C33" s="208">
        <f>COUNTIFS('1. All Data'!$AB$3:$AB$136,"Environment and climate change",'1. All Data'!$H$3:$H$136,"Deferred")</f>
        <v>0</v>
      </c>
      <c r="D33" s="216">
        <f>C33/C35</f>
        <v>0</v>
      </c>
      <c r="E33" s="216">
        <f>D33</f>
        <v>0</v>
      </c>
      <c r="F33" s="217"/>
      <c r="G33" s="58"/>
      <c r="I33" s="215" t="s">
        <v>23</v>
      </c>
      <c r="J33" s="208">
        <f>COUNTIFS('1. All Data'!$AB$3:$AB$136,"Environment and Climate Change",'1. All Data'!$M$3:$M$136,"Deferred")</f>
        <v>0</v>
      </c>
      <c r="K33" s="216" t="e">
        <f>J33/J35</f>
        <v>#DIV/0!</v>
      </c>
      <c r="L33" s="216" t="e">
        <f>K33</f>
        <v>#DIV/0!</v>
      </c>
      <c r="M33" s="217"/>
      <c r="N33" s="58"/>
      <c r="P33" s="215" t="s">
        <v>23</v>
      </c>
      <c r="Q33" s="208">
        <f>COUNTIFS('1. All Data'!$AB$3:$AB$136,"Environment and Climate Change",'1. All Data'!$R$3:$R$136,"Deferred")</f>
        <v>0</v>
      </c>
      <c r="R33" s="216" t="e">
        <f>Q33/Q35</f>
        <v>#DIV/0!</v>
      </c>
      <c r="S33" s="216" t="e">
        <f>R33</f>
        <v>#DIV/0!</v>
      </c>
      <c r="T33" s="217"/>
      <c r="U33" s="58"/>
      <c r="W33" s="175" t="s">
        <v>23</v>
      </c>
      <c r="X33" s="208">
        <f>COUNTIFS('1. All Data'!$AB$3:$AB$136,"Environment and Climate Change",'1. All Data'!$V$3:$V$136,"Deferred")</f>
        <v>0</v>
      </c>
      <c r="Y33" s="216" t="e">
        <f>X33/X35</f>
        <v>#DIV/0!</v>
      </c>
      <c r="Z33" s="216" t="e">
        <f>Y33</f>
        <v>#DIV/0!</v>
      </c>
      <c r="AA33" s="177"/>
      <c r="AB33" s="58"/>
      <c r="AC33" s="166"/>
    </row>
    <row r="34" spans="2:29" ht="15.75" customHeight="1">
      <c r="B34" s="215" t="s">
        <v>24</v>
      </c>
      <c r="C34" s="208">
        <f>COUNTIFS('1. All Data'!$AB$3:$AB$136,"Environment and climate change",'1. All Data'!$H$3:$H$136,"Deleted")</f>
        <v>0</v>
      </c>
      <c r="D34" s="216">
        <f>C34/C35</f>
        <v>0</v>
      </c>
      <c r="E34" s="216">
        <f>D34</f>
        <v>0</v>
      </c>
      <c r="F34" s="217"/>
      <c r="G34" s="29"/>
      <c r="I34" s="215" t="s">
        <v>24</v>
      </c>
      <c r="J34" s="208">
        <f>COUNTIFS('1. All Data'!$AB$3:$AB$136,"Environment and Climate Change",'1. All Data'!$M$3:$M$136,"Deleted")</f>
        <v>0</v>
      </c>
      <c r="K34" s="216" t="e">
        <f>J34/J35</f>
        <v>#DIV/0!</v>
      </c>
      <c r="L34" s="216" t="e">
        <f>K34</f>
        <v>#DIV/0!</v>
      </c>
      <c r="M34" s="217"/>
      <c r="N34" s="29"/>
      <c r="P34" s="215" t="s">
        <v>24</v>
      </c>
      <c r="Q34" s="208">
        <f>COUNTIFS('1. All Data'!$AB$3:$AB$136,"Environment and Climate Change",'1. All Data'!$R$3:$R$136,"Deleted")</f>
        <v>0</v>
      </c>
      <c r="R34" s="216" t="e">
        <f>Q34/Q35</f>
        <v>#DIV/0!</v>
      </c>
      <c r="S34" s="216" t="e">
        <f>R34</f>
        <v>#DIV/0!</v>
      </c>
      <c r="T34" s="217"/>
      <c r="U34" s="29"/>
      <c r="W34" s="175" t="s">
        <v>24</v>
      </c>
      <c r="X34" s="208">
        <f>COUNTIFS('1. All Data'!$AB$3:$AB$136,"Environment and Climate Change",'1. All Data'!$V$3:$V$136,"Deleted")</f>
        <v>0</v>
      </c>
      <c r="Y34" s="216" t="e">
        <f>X34/X35</f>
        <v>#DIV/0!</v>
      </c>
      <c r="Z34" s="216" t="e">
        <f>Y34</f>
        <v>#DIV/0!</v>
      </c>
      <c r="AA34" s="177"/>
      <c r="AB34" s="3"/>
      <c r="AC34" s="166"/>
    </row>
    <row r="35" spans="2:29" ht="15.75" customHeight="1">
      <c r="B35" s="218" t="s">
        <v>45</v>
      </c>
      <c r="C35" s="219">
        <f>SUM(C24:C34)</f>
        <v>25</v>
      </c>
      <c r="D35" s="177"/>
      <c r="E35" s="177"/>
      <c r="F35" s="220"/>
      <c r="G35" s="58"/>
      <c r="I35" s="218" t="s">
        <v>45</v>
      </c>
      <c r="J35" s="219">
        <f>SUM(J24:J34)</f>
        <v>0</v>
      </c>
      <c r="K35" s="177"/>
      <c r="L35" s="177"/>
      <c r="M35" s="220"/>
      <c r="N35" s="58"/>
      <c r="P35" s="218" t="s">
        <v>45</v>
      </c>
      <c r="Q35" s="219">
        <f>SUM(Q24:Q34)</f>
        <v>0</v>
      </c>
      <c r="R35" s="177"/>
      <c r="S35" s="177"/>
      <c r="T35" s="220"/>
      <c r="U35" s="58"/>
      <c r="W35" s="178" t="s">
        <v>45</v>
      </c>
      <c r="X35" s="219">
        <f>SUM(X24:X34)</f>
        <v>0</v>
      </c>
      <c r="Y35" s="177"/>
      <c r="Z35" s="177"/>
      <c r="AA35" s="58"/>
      <c r="AB35" s="58"/>
      <c r="AC35" s="166"/>
    </row>
    <row r="36" spans="2:29" ht="15.75" customHeight="1">
      <c r="B36" s="218" t="s">
        <v>46</v>
      </c>
      <c r="C36" s="219">
        <f>C35-C34-C33-C32-C31</f>
        <v>16</v>
      </c>
      <c r="D36" s="58"/>
      <c r="E36" s="58"/>
      <c r="F36" s="220"/>
      <c r="G36" s="58"/>
      <c r="I36" s="218" t="s">
        <v>46</v>
      </c>
      <c r="J36" s="219">
        <f>J35-J34-J33-J32-J31</f>
        <v>0</v>
      </c>
      <c r="K36" s="58"/>
      <c r="L36" s="58"/>
      <c r="M36" s="220"/>
      <c r="N36" s="58"/>
      <c r="P36" s="218" t="s">
        <v>46</v>
      </c>
      <c r="Q36" s="219">
        <f>Q35-Q34-Q33-Q32-Q31</f>
        <v>0</v>
      </c>
      <c r="R36" s="58"/>
      <c r="S36" s="58"/>
      <c r="T36" s="220"/>
      <c r="U36" s="58"/>
      <c r="W36" s="178" t="s">
        <v>46</v>
      </c>
      <c r="X36" s="219">
        <f>X35-X34-X33-X32-X31</f>
        <v>0</v>
      </c>
      <c r="Y36" s="58"/>
      <c r="Z36" s="58"/>
      <c r="AA36" s="58"/>
      <c r="AB36" s="58"/>
      <c r="AC36" s="166"/>
    </row>
    <row r="37" spans="2:29" ht="15.75" customHeight="1">
      <c r="W37" s="180"/>
      <c r="AA37" s="2"/>
      <c r="AC37" s="166"/>
    </row>
    <row r="38" spans="2:29" ht="15.75" customHeight="1">
      <c r="W38" s="165"/>
      <c r="X38" s="165"/>
      <c r="Y38" s="165"/>
      <c r="Z38" s="165"/>
      <c r="AA38" s="165"/>
      <c r="AB38" s="186"/>
      <c r="AC38" s="166"/>
    </row>
    <row r="39" spans="2:29" s="166" customFormat="1" ht="15.75" customHeight="1">
      <c r="B39" s="187"/>
      <c r="C39" s="165"/>
      <c r="D39" s="165"/>
      <c r="E39" s="165"/>
      <c r="F39" s="220"/>
      <c r="G39" s="165"/>
      <c r="I39" s="187"/>
      <c r="J39" s="165"/>
      <c r="K39" s="165"/>
      <c r="L39" s="165"/>
      <c r="M39" s="220"/>
      <c r="N39" s="165"/>
      <c r="P39" s="187"/>
      <c r="Q39" s="165"/>
      <c r="R39" s="165"/>
      <c r="S39" s="165"/>
      <c r="T39" s="220"/>
      <c r="U39" s="165"/>
      <c r="W39" s="221"/>
      <c r="X39" s="58"/>
      <c r="Y39" s="58"/>
      <c r="Z39" s="58"/>
      <c r="AA39" s="58"/>
      <c r="AB39" s="177"/>
    </row>
    <row r="40" spans="2:29" s="166" customFormat="1" ht="15.75" customHeight="1">
      <c r="B40" s="203" t="s">
        <v>118</v>
      </c>
      <c r="C40" s="204"/>
      <c r="D40" s="204"/>
      <c r="E40" s="204"/>
      <c r="F40" s="205"/>
      <c r="G40" s="204"/>
      <c r="I40" s="203" t="s">
        <v>118</v>
      </c>
      <c r="J40" s="204"/>
      <c r="K40" s="204"/>
      <c r="L40" s="204"/>
      <c r="M40" s="205"/>
      <c r="N40" s="204"/>
      <c r="P40" s="203" t="s">
        <v>118</v>
      </c>
      <c r="Q40" s="204"/>
      <c r="R40" s="204"/>
      <c r="S40" s="204"/>
      <c r="T40" s="205"/>
      <c r="U40" s="204"/>
      <c r="W40" s="203" t="s">
        <v>118</v>
      </c>
      <c r="X40" s="204"/>
      <c r="Y40" s="204"/>
      <c r="Z40" s="204"/>
      <c r="AA40" s="205"/>
      <c r="AB40" s="204"/>
    </row>
    <row r="41" spans="2:29" ht="36" customHeight="1">
      <c r="B41" s="206" t="s">
        <v>36</v>
      </c>
      <c r="C41" s="207" t="s">
        <v>37</v>
      </c>
      <c r="D41" s="207" t="s">
        <v>38</v>
      </c>
      <c r="E41" s="207" t="s">
        <v>39</v>
      </c>
      <c r="F41" s="206" t="s">
        <v>40</v>
      </c>
      <c r="G41" s="207" t="s">
        <v>41</v>
      </c>
      <c r="I41" s="206" t="s">
        <v>36</v>
      </c>
      <c r="J41" s="207" t="s">
        <v>37</v>
      </c>
      <c r="K41" s="207" t="s">
        <v>38</v>
      </c>
      <c r="L41" s="207" t="s">
        <v>39</v>
      </c>
      <c r="M41" s="206" t="s">
        <v>40</v>
      </c>
      <c r="N41" s="207" t="s">
        <v>41</v>
      </c>
      <c r="P41" s="206" t="s">
        <v>36</v>
      </c>
      <c r="Q41" s="207" t="s">
        <v>37</v>
      </c>
      <c r="R41" s="207" t="s">
        <v>38</v>
      </c>
      <c r="S41" s="207" t="s">
        <v>39</v>
      </c>
      <c r="T41" s="206" t="s">
        <v>40</v>
      </c>
      <c r="U41" s="207" t="s">
        <v>41</v>
      </c>
      <c r="W41" s="164" t="s">
        <v>36</v>
      </c>
      <c r="X41" s="164" t="s">
        <v>37</v>
      </c>
      <c r="Y41" s="164" t="s">
        <v>38</v>
      </c>
      <c r="Z41" s="164" t="s">
        <v>39</v>
      </c>
      <c r="AA41" s="164" t="s">
        <v>40</v>
      </c>
      <c r="AB41" s="164" t="s">
        <v>41</v>
      </c>
      <c r="AC41" s="166"/>
    </row>
    <row r="42" spans="2:29" ht="18.75" customHeight="1">
      <c r="B42" s="228" t="s">
        <v>42</v>
      </c>
      <c r="C42" s="208">
        <f>COUNTIFS('1. All Data'!$AB$3:$AB$136,"Finance and treasury management",'1. All Data'!$H$3:$H$136,"Fully Achieved")</f>
        <v>0</v>
      </c>
      <c r="D42" s="209">
        <f>C42/C53</f>
        <v>0</v>
      </c>
      <c r="E42" s="422">
        <f>D42+D43</f>
        <v>0.5714285714285714</v>
      </c>
      <c r="F42" s="210">
        <f>C42/C54</f>
        <v>0</v>
      </c>
      <c r="G42" s="424">
        <f>F42+F43</f>
        <v>0.88888888888888884</v>
      </c>
      <c r="I42" s="228" t="s">
        <v>42</v>
      </c>
      <c r="J42" s="208">
        <f>COUNTIFS('1. All Data'!$AB$3:$AB$136,"Finance and Treasury Management",'1. All Data'!$M$3:$M$136,"Fully Achieved")</f>
        <v>0</v>
      </c>
      <c r="K42" s="209" t="e">
        <f>J42/J53</f>
        <v>#DIV/0!</v>
      </c>
      <c r="L42" s="422" t="e">
        <f>K42+K43</f>
        <v>#DIV/0!</v>
      </c>
      <c r="M42" s="210" t="e">
        <f>J42/J54</f>
        <v>#DIV/0!</v>
      </c>
      <c r="N42" s="424" t="e">
        <f>M42+M43</f>
        <v>#DIV/0!</v>
      </c>
      <c r="P42" s="228" t="s">
        <v>42</v>
      </c>
      <c r="Q42" s="208">
        <f>COUNTIFS('1. All Data'!$AB$3:$AB$136,"Finance and Treasury Management",'1. All Data'!$R$3:$R$136,"Fully Achieved")</f>
        <v>0</v>
      </c>
      <c r="R42" s="209" t="e">
        <f>Q42/Q53</f>
        <v>#DIV/0!</v>
      </c>
      <c r="S42" s="422" t="e">
        <f>R42+R43</f>
        <v>#DIV/0!</v>
      </c>
      <c r="T42" s="210" t="e">
        <f>Q42/Q54</f>
        <v>#DIV/0!</v>
      </c>
      <c r="U42" s="424" t="e">
        <f>T42+T43</f>
        <v>#DIV/0!</v>
      </c>
      <c r="W42" s="228" t="s">
        <v>42</v>
      </c>
      <c r="X42" s="208">
        <f>COUNTIFS('1. All Data'!$AB$3:$AB$136,"Finance and Treasury Management",'1. All Data'!$V$3:$V$136,"Fully Achieved")</f>
        <v>0</v>
      </c>
      <c r="Y42" s="209" t="e">
        <f>X42/X53</f>
        <v>#DIV/0!</v>
      </c>
      <c r="Z42" s="422" t="e">
        <f>Y42+Y43</f>
        <v>#DIV/0!</v>
      </c>
      <c r="AA42" s="209" t="e">
        <f>X42/X54</f>
        <v>#DIV/0!</v>
      </c>
      <c r="AB42" s="403" t="e">
        <f>AA42+AA43</f>
        <v>#DIV/0!</v>
      </c>
      <c r="AC42" s="166"/>
    </row>
    <row r="43" spans="2:29" ht="18.75" customHeight="1">
      <c r="B43" s="228" t="s">
        <v>25</v>
      </c>
      <c r="C43" s="208">
        <f>COUNTIFS('1. All Data'!$AB$3:$AB$136,"Finance and treasury management",'1. All Data'!$H$3:$H$136,"On Track to be Achieved")</f>
        <v>8</v>
      </c>
      <c r="D43" s="209">
        <f>C43/C53</f>
        <v>0.5714285714285714</v>
      </c>
      <c r="E43" s="422"/>
      <c r="F43" s="210">
        <f>C43/C54</f>
        <v>0.88888888888888884</v>
      </c>
      <c r="G43" s="424"/>
      <c r="I43" s="228" t="s">
        <v>25</v>
      </c>
      <c r="J43" s="208">
        <f>COUNTIFS('1. All Data'!$AB$3:$AB$136,"Finance and Treasury Management",'1. All Data'!$M$3:$M$136,"On Track to be Achieved")</f>
        <v>0</v>
      </c>
      <c r="K43" s="209" t="e">
        <f>J43/J53</f>
        <v>#DIV/0!</v>
      </c>
      <c r="L43" s="422"/>
      <c r="M43" s="210" t="e">
        <f>J43/J54</f>
        <v>#DIV/0!</v>
      </c>
      <c r="N43" s="424"/>
      <c r="P43" s="228" t="s">
        <v>25</v>
      </c>
      <c r="Q43" s="208">
        <f>COUNTIFS('1. All Data'!$AB$3:$AB$136,"Finance and Treasury Management",'1. All Data'!$R$3:$R$136,"On Track to be Achieved")</f>
        <v>0</v>
      </c>
      <c r="R43" s="209" t="e">
        <f>Q43/Q53</f>
        <v>#DIV/0!</v>
      </c>
      <c r="S43" s="422"/>
      <c r="T43" s="210" t="e">
        <f>Q43/Q54</f>
        <v>#DIV/0!</v>
      </c>
      <c r="U43" s="424"/>
      <c r="W43" s="228" t="s">
        <v>17</v>
      </c>
      <c r="X43" s="208">
        <f>COUNTIFS('1. All Data'!$AB$3:$AB$136,"Finance and Treasury Management",'1. All Data'!$V$3:$V$136,"Numerical Outturn Within 5% Tolerance")</f>
        <v>0</v>
      </c>
      <c r="Y43" s="209" t="e">
        <f>X43/X53</f>
        <v>#DIV/0!</v>
      </c>
      <c r="Z43" s="422"/>
      <c r="AA43" s="209" t="e">
        <f>X43/X54</f>
        <v>#DIV/0!</v>
      </c>
      <c r="AB43" s="403"/>
      <c r="AC43" s="166"/>
    </row>
    <row r="44" spans="2:29" ht="16.5" customHeight="1">
      <c r="B44" s="434" t="s">
        <v>26</v>
      </c>
      <c r="C44" s="437">
        <f>COUNTIFS('1. All Data'!$AB$3:$AB$136,"Finance and treasury management",'1. All Data'!$H$3:$H$136,"In Danger of Falling Behind Target")</f>
        <v>0</v>
      </c>
      <c r="D44" s="425">
        <f>C44/C53</f>
        <v>0</v>
      </c>
      <c r="E44" s="425">
        <f>D44</f>
        <v>0</v>
      </c>
      <c r="F44" s="428">
        <f>C44/C54</f>
        <v>0</v>
      </c>
      <c r="G44" s="431">
        <f>F44</f>
        <v>0</v>
      </c>
      <c r="I44" s="434" t="s">
        <v>26</v>
      </c>
      <c r="J44" s="437">
        <f>COUNTIFS('1. All Data'!$AB$3:$AB$136,"Finance and Treasury Management",'1. All Data'!$M$3:$M$136,"In Danger of Falling Behind Target")</f>
        <v>0</v>
      </c>
      <c r="K44" s="425" t="e">
        <f>J44/J53</f>
        <v>#DIV/0!</v>
      </c>
      <c r="L44" s="425" t="e">
        <f>K44</f>
        <v>#DIV/0!</v>
      </c>
      <c r="M44" s="428" t="e">
        <f>J44/J54</f>
        <v>#DIV/0!</v>
      </c>
      <c r="N44" s="431" t="e">
        <f>M44</f>
        <v>#DIV/0!</v>
      </c>
      <c r="P44" s="434" t="s">
        <v>26</v>
      </c>
      <c r="Q44" s="437">
        <f>COUNTIFS('1. All Data'!$AB$3:$AB$136,"Finance and Treasury Management",'1. All Data'!$R$3:$R$136,"In Danger of Falling Behind Target")</f>
        <v>0</v>
      </c>
      <c r="R44" s="425" t="e">
        <f>Q44/Q53</f>
        <v>#DIV/0!</v>
      </c>
      <c r="S44" s="425" t="e">
        <f>R44</f>
        <v>#DIV/0!</v>
      </c>
      <c r="T44" s="428" t="e">
        <f>Q44/Q54</f>
        <v>#DIV/0!</v>
      </c>
      <c r="U44" s="431" t="e">
        <f>T44</f>
        <v>#DIV/0!</v>
      </c>
      <c r="W44" s="169" t="s">
        <v>18</v>
      </c>
      <c r="X44" s="170">
        <f>COUNTIFS('1. All Data'!$AB$3:$AB$136,"Finance and Treasury Management",'1. All Data'!$V$3:$V$136,"Numerical Outturn Within 10% Tolerance")</f>
        <v>0</v>
      </c>
      <c r="Y44" s="168" t="e">
        <f>X44/X53</f>
        <v>#DIV/0!</v>
      </c>
      <c r="Z44" s="401" t="e">
        <f>SUM(Y44:Y46)</f>
        <v>#DIV/0!</v>
      </c>
      <c r="AA44" s="168" t="e">
        <f>X44/X54</f>
        <v>#DIV/0!</v>
      </c>
      <c r="AB44" s="410" t="e">
        <f>SUM(AA44:AA46)</f>
        <v>#DIV/0!</v>
      </c>
      <c r="AC44" s="166"/>
    </row>
    <row r="45" spans="2:29" ht="16.5" customHeight="1">
      <c r="B45" s="435"/>
      <c r="C45" s="438"/>
      <c r="D45" s="426"/>
      <c r="E45" s="426"/>
      <c r="F45" s="429"/>
      <c r="G45" s="432"/>
      <c r="I45" s="435"/>
      <c r="J45" s="438"/>
      <c r="K45" s="426"/>
      <c r="L45" s="426"/>
      <c r="M45" s="429"/>
      <c r="N45" s="432"/>
      <c r="P45" s="435"/>
      <c r="Q45" s="438"/>
      <c r="R45" s="426"/>
      <c r="S45" s="426"/>
      <c r="T45" s="429"/>
      <c r="U45" s="432"/>
      <c r="W45" s="169" t="s">
        <v>19</v>
      </c>
      <c r="X45" s="170">
        <f>COUNTIFS('1. All Data'!$AB$3:$AB$136,"Finance and Treasury Management",'1. All Data'!$V$3:$V$136,"Target Partially Met")</f>
        <v>0</v>
      </c>
      <c r="Y45" s="168" t="e">
        <f>X45/X53</f>
        <v>#DIV/0!</v>
      </c>
      <c r="Z45" s="401"/>
      <c r="AA45" s="168" t="e">
        <f>X45/X54</f>
        <v>#DIV/0!</v>
      </c>
      <c r="AB45" s="410"/>
      <c r="AC45" s="166"/>
    </row>
    <row r="46" spans="2:29" ht="16.5" customHeight="1">
      <c r="B46" s="436"/>
      <c r="C46" s="439"/>
      <c r="D46" s="427"/>
      <c r="E46" s="427"/>
      <c r="F46" s="430"/>
      <c r="G46" s="433"/>
      <c r="I46" s="436"/>
      <c r="J46" s="439"/>
      <c r="K46" s="427"/>
      <c r="L46" s="427"/>
      <c r="M46" s="430"/>
      <c r="N46" s="433"/>
      <c r="P46" s="436"/>
      <c r="Q46" s="439"/>
      <c r="R46" s="427"/>
      <c r="S46" s="427"/>
      <c r="T46" s="430"/>
      <c r="U46" s="433"/>
      <c r="W46" s="169" t="s">
        <v>22</v>
      </c>
      <c r="X46" s="170">
        <f>COUNTIFS('1. All Data'!$AB$3:$AB$136,"Finance and Treasury Management",'1. All Data'!$V$3:$V$136,"Completion Date Within Reasonable Tolerance")</f>
        <v>0</v>
      </c>
      <c r="Y46" s="168" t="e">
        <f>X46/X53</f>
        <v>#DIV/0!</v>
      </c>
      <c r="Z46" s="401"/>
      <c r="AA46" s="168" t="e">
        <f>X46/X54</f>
        <v>#DIV/0!</v>
      </c>
      <c r="AB46" s="410"/>
      <c r="AC46" s="166"/>
    </row>
    <row r="47" spans="2:29" ht="22.5" customHeight="1">
      <c r="B47" s="211" t="s">
        <v>27</v>
      </c>
      <c r="C47" s="208">
        <f>COUNTIFS('1. All Data'!$AB$3:$AB$136,"Finance and treasury management",'1. All Data'!$H$3:$H$136,"Completed Behind Schedule")</f>
        <v>1</v>
      </c>
      <c r="D47" s="209">
        <f>C47/C53</f>
        <v>7.1428571428571425E-2</v>
      </c>
      <c r="E47" s="422">
        <f>D47+D48</f>
        <v>7.1428571428571425E-2</v>
      </c>
      <c r="F47" s="210">
        <f>C47/C54</f>
        <v>0.1111111111111111</v>
      </c>
      <c r="G47" s="423">
        <f>F47+F48</f>
        <v>0.1111111111111111</v>
      </c>
      <c r="I47" s="211" t="s">
        <v>27</v>
      </c>
      <c r="J47" s="208">
        <f>COUNTIFS('1. All Data'!$AB$3:$AB$136,"Finance and Treasury Management",'1. All Data'!$M$3:$M$136,"Completed Behind Schedule")</f>
        <v>0</v>
      </c>
      <c r="K47" s="209" t="e">
        <f>J47/J53</f>
        <v>#DIV/0!</v>
      </c>
      <c r="L47" s="422" t="e">
        <f>K47+K48</f>
        <v>#DIV/0!</v>
      </c>
      <c r="M47" s="210" t="e">
        <f>J47/J54</f>
        <v>#DIV/0!</v>
      </c>
      <c r="N47" s="423" t="e">
        <f>M47+M48</f>
        <v>#DIV/0!</v>
      </c>
      <c r="P47" s="211" t="s">
        <v>27</v>
      </c>
      <c r="Q47" s="208">
        <f>COUNTIFS('1. All Data'!$AB$3:$AB$136,"Finance and Treasury Management",'1. All Data'!$R$3:$R$136,"Completed Behind Schedule")</f>
        <v>0</v>
      </c>
      <c r="R47" s="209" t="e">
        <f>Q47/Q53</f>
        <v>#DIV/0!</v>
      </c>
      <c r="S47" s="422" t="e">
        <f>R47+R48</f>
        <v>#DIV/0!</v>
      </c>
      <c r="T47" s="210" t="e">
        <f>Q47/Q54</f>
        <v>#DIV/0!</v>
      </c>
      <c r="U47" s="423" t="e">
        <f>T47+T48</f>
        <v>#DIV/0!</v>
      </c>
      <c r="W47" s="171" t="s">
        <v>21</v>
      </c>
      <c r="X47" s="208">
        <f>COUNTIFS('1. All Data'!$AB$3:$AB$136,"Finance and Treasury Management",'1. All Data'!$V$3:$V$136,"Completed Significantly After Target Deadline")</f>
        <v>0</v>
      </c>
      <c r="Y47" s="209" t="e">
        <f>X47/X53</f>
        <v>#DIV/0!</v>
      </c>
      <c r="Z47" s="422" t="e">
        <f>Y47+Y48</f>
        <v>#DIV/0!</v>
      </c>
      <c r="AA47" s="209" t="e">
        <f>X47/X54</f>
        <v>#DIV/0!</v>
      </c>
      <c r="AB47" s="402" t="e">
        <f>AA47+AA48</f>
        <v>#DIV/0!</v>
      </c>
      <c r="AC47" s="166"/>
    </row>
    <row r="48" spans="2:29" ht="22.5" customHeight="1">
      <c r="B48" s="211" t="s">
        <v>20</v>
      </c>
      <c r="C48" s="208">
        <f>COUNTIFS('1. All Data'!$AB$3:$AB$136,"Finance and treasury management",'1. All Data'!$H$3:$H$136,"Off Target")</f>
        <v>0</v>
      </c>
      <c r="D48" s="209">
        <f>C48/C53</f>
        <v>0</v>
      </c>
      <c r="E48" s="422"/>
      <c r="F48" s="210">
        <f>C48/C54</f>
        <v>0</v>
      </c>
      <c r="G48" s="423"/>
      <c r="I48" s="211" t="s">
        <v>20</v>
      </c>
      <c r="J48" s="208">
        <f>COUNTIFS('1. All Data'!$AB$3:$AB$136,"Finance and Treasury Management",'1. All Data'!$M$3:$M$136,"Off Target")</f>
        <v>0</v>
      </c>
      <c r="K48" s="209" t="e">
        <f>J48/J53</f>
        <v>#DIV/0!</v>
      </c>
      <c r="L48" s="422"/>
      <c r="M48" s="210" t="e">
        <f>J48/J54</f>
        <v>#DIV/0!</v>
      </c>
      <c r="N48" s="423"/>
      <c r="P48" s="211" t="s">
        <v>20</v>
      </c>
      <c r="Q48" s="208">
        <f>COUNTIFS('1. All Data'!$AB$3:$AB$136,"Finance and Treasury Management",'1. All Data'!$R$3:$R$136,"Off Target")</f>
        <v>0</v>
      </c>
      <c r="R48" s="209" t="e">
        <f>Q48/Q53</f>
        <v>#DIV/0!</v>
      </c>
      <c r="S48" s="422"/>
      <c r="T48" s="210" t="e">
        <f>Q48/Q54</f>
        <v>#DIV/0!</v>
      </c>
      <c r="U48" s="423"/>
      <c r="W48" s="171" t="s">
        <v>20</v>
      </c>
      <c r="X48" s="208">
        <f>COUNTIFS('1. All Data'!$AB$3:$AB$136,"Finance and Treasury Management",'1. All Data'!$V$3:$V$136,"Off Target")</f>
        <v>0</v>
      </c>
      <c r="Y48" s="209" t="e">
        <f>X48/X53</f>
        <v>#DIV/0!</v>
      </c>
      <c r="Z48" s="422"/>
      <c r="AA48" s="209" t="e">
        <f>X48/X54</f>
        <v>#DIV/0!</v>
      </c>
      <c r="AB48" s="402"/>
      <c r="AC48" s="166"/>
    </row>
    <row r="49" spans="2:29" ht="15.75" customHeight="1">
      <c r="B49" s="212" t="s">
        <v>43</v>
      </c>
      <c r="C49" s="208">
        <f>COUNTIFS('1. All Data'!$AB$3:$AB$136,"Finance and treasury management",'1. All Data'!$H$3:$H$136,"Not yet due")</f>
        <v>5</v>
      </c>
      <c r="D49" s="213">
        <f>C49/C53</f>
        <v>0.35714285714285715</v>
      </c>
      <c r="E49" s="213">
        <f>D49</f>
        <v>0.35714285714285715</v>
      </c>
      <c r="F49" s="214"/>
      <c r="G49" s="58"/>
      <c r="I49" s="212" t="s">
        <v>43</v>
      </c>
      <c r="J49" s="208">
        <f>COUNTIFS('1. All Data'!$AB$3:$AB$136,"Finance and Treasury Management",'1. All Data'!$M$3:$M$136,"Not yet due")</f>
        <v>0</v>
      </c>
      <c r="K49" s="213" t="e">
        <f>J49/J53</f>
        <v>#DIV/0!</v>
      </c>
      <c r="L49" s="213" t="e">
        <f>K49</f>
        <v>#DIV/0!</v>
      </c>
      <c r="M49" s="214"/>
      <c r="N49" s="58"/>
      <c r="P49" s="212" t="s">
        <v>43</v>
      </c>
      <c r="Q49" s="208">
        <f>COUNTIFS('1. All Data'!$AB$3:$AB$136,"Finance and Treasury Management",'1. All Data'!$R$3:$R$136,"Not yet due")</f>
        <v>0</v>
      </c>
      <c r="R49" s="213" t="e">
        <f>Q49/Q53</f>
        <v>#DIV/0!</v>
      </c>
      <c r="S49" s="213" t="e">
        <f>R49</f>
        <v>#DIV/0!</v>
      </c>
      <c r="T49" s="214"/>
      <c r="U49" s="58"/>
      <c r="W49" s="172" t="s">
        <v>43</v>
      </c>
      <c r="X49" s="208">
        <f>COUNTIFS('1. All Data'!$AB$3:$AB$136,"Finance and Treasury Management",'1. All Data'!$V$3:$V$136,"Not yet due")</f>
        <v>0</v>
      </c>
      <c r="Y49" s="213" t="e">
        <f>X49/X53</f>
        <v>#DIV/0!</v>
      </c>
      <c r="Z49" s="213" t="e">
        <f>Y49</f>
        <v>#DIV/0!</v>
      </c>
      <c r="AA49" s="174"/>
      <c r="AB49" s="58"/>
      <c r="AC49" s="166"/>
    </row>
    <row r="50" spans="2:29" ht="15.75" customHeight="1">
      <c r="B50" s="212" t="s">
        <v>15</v>
      </c>
      <c r="C50" s="208">
        <f>COUNTIFS('1. All Data'!$AB$3:$AB$136,"Finance and treasury management",'1. All Data'!$H$3:$H$136,"Update not provided")</f>
        <v>0</v>
      </c>
      <c r="D50" s="213">
        <f>C50/C53</f>
        <v>0</v>
      </c>
      <c r="E50" s="213">
        <f>D50</f>
        <v>0</v>
      </c>
      <c r="F50" s="214"/>
      <c r="G50" s="2"/>
      <c r="I50" s="212" t="s">
        <v>15</v>
      </c>
      <c r="J50" s="208">
        <f>COUNTIFS('1. All Data'!$AB$3:$AB$136,"Finance and Treasury Management",'1. All Data'!$M$3:$M$136,"Update not provided")</f>
        <v>0</v>
      </c>
      <c r="K50" s="213" t="e">
        <f>J50/J53</f>
        <v>#DIV/0!</v>
      </c>
      <c r="L50" s="213" t="e">
        <f>K50</f>
        <v>#DIV/0!</v>
      </c>
      <c r="M50" s="214"/>
      <c r="N50" s="2"/>
      <c r="P50" s="212" t="s">
        <v>15</v>
      </c>
      <c r="Q50" s="208">
        <f>COUNTIFS('1. All Data'!$AB$3:$AB$136,"Finance and Treasury Management",'1. All Data'!$R$3:$R$136,"Update not provided")</f>
        <v>0</v>
      </c>
      <c r="R50" s="213" t="e">
        <f>Q50/Q53</f>
        <v>#DIV/0!</v>
      </c>
      <c r="S50" s="213" t="e">
        <f>R50</f>
        <v>#DIV/0!</v>
      </c>
      <c r="T50" s="214"/>
      <c r="U50" s="2"/>
      <c r="W50" s="172" t="s">
        <v>15</v>
      </c>
      <c r="X50" s="208">
        <f>COUNTIFS('1. All Data'!$AB$3:$AB$136,"Finance and Treasury Management",'1. All Data'!$V$3:$V$136,"Update not provided")</f>
        <v>0</v>
      </c>
      <c r="Y50" s="213" t="e">
        <f>X50/X53</f>
        <v>#DIV/0!</v>
      </c>
      <c r="Z50" s="213" t="e">
        <f>Y50</f>
        <v>#DIV/0!</v>
      </c>
      <c r="AA50" s="174"/>
      <c r="AB50" s="2"/>
      <c r="AC50" s="166"/>
    </row>
    <row r="51" spans="2:29" ht="15.75" customHeight="1">
      <c r="B51" s="215" t="s">
        <v>23</v>
      </c>
      <c r="C51" s="208">
        <f>COUNTIFS('1. All Data'!$AB$3:$AB$136,"Finance and treasury management",'1. All Data'!$H$3:$H$136,"Deferred")</f>
        <v>0</v>
      </c>
      <c r="D51" s="216">
        <f>C51/C53</f>
        <v>0</v>
      </c>
      <c r="E51" s="216">
        <f>D51</f>
        <v>0</v>
      </c>
      <c r="F51" s="217"/>
      <c r="G51" s="58"/>
      <c r="I51" s="215" t="s">
        <v>23</v>
      </c>
      <c r="J51" s="208">
        <f>COUNTIFS('1. All Data'!$AB$3:$AB$136,"Finance and Treasury Management",'1. All Data'!$M$3:$M$136,"Deferred")</f>
        <v>0</v>
      </c>
      <c r="K51" s="216" t="e">
        <f>J51/J53</f>
        <v>#DIV/0!</v>
      </c>
      <c r="L51" s="216" t="e">
        <f>K51</f>
        <v>#DIV/0!</v>
      </c>
      <c r="M51" s="217"/>
      <c r="N51" s="58"/>
      <c r="P51" s="215" t="s">
        <v>23</v>
      </c>
      <c r="Q51" s="208">
        <f>COUNTIFS('1. All Data'!$AB$3:$AB$136,"Finance and Treasury Management",'1. All Data'!$R$3:$R$136,"Deferred")</f>
        <v>0</v>
      </c>
      <c r="R51" s="216" t="e">
        <f>Q51/Q53</f>
        <v>#DIV/0!</v>
      </c>
      <c r="S51" s="216" t="e">
        <f>R51</f>
        <v>#DIV/0!</v>
      </c>
      <c r="T51" s="217"/>
      <c r="U51" s="58"/>
      <c r="W51" s="175" t="s">
        <v>23</v>
      </c>
      <c r="X51" s="208">
        <f>COUNTIFS('1. All Data'!$AB$3:$AB$136,"Finance and Treasury Management",'1. All Data'!$V$3:$V$136,"Deferred")</f>
        <v>0</v>
      </c>
      <c r="Y51" s="216" t="e">
        <f>X51/X53</f>
        <v>#DIV/0!</v>
      </c>
      <c r="Z51" s="216" t="e">
        <f>Y51</f>
        <v>#DIV/0!</v>
      </c>
      <c r="AA51" s="177"/>
      <c r="AB51" s="58"/>
      <c r="AC51" s="166"/>
    </row>
    <row r="52" spans="2:29" ht="15.75" customHeight="1">
      <c r="B52" s="215" t="s">
        <v>24</v>
      </c>
      <c r="C52" s="208">
        <f>COUNTIFS('1. All Data'!$AB$3:$AB$136,"Finance and treasury management",'1. All Data'!$H$3:$H$136,"Deleted")</f>
        <v>0</v>
      </c>
      <c r="D52" s="216">
        <f>C52/C53</f>
        <v>0</v>
      </c>
      <c r="E52" s="216">
        <f>D52</f>
        <v>0</v>
      </c>
      <c r="F52" s="217"/>
      <c r="G52" s="29"/>
      <c r="I52" s="215" t="s">
        <v>24</v>
      </c>
      <c r="J52" s="208">
        <f>COUNTIFS('1. All Data'!$AB$3:$AB$136,"Finance and Treasury Management",'1. All Data'!$M$3:$M$136,"Deleted")</f>
        <v>0</v>
      </c>
      <c r="K52" s="216" t="e">
        <f>J52/J53</f>
        <v>#DIV/0!</v>
      </c>
      <c r="L52" s="216" t="e">
        <f>K52</f>
        <v>#DIV/0!</v>
      </c>
      <c r="M52" s="217"/>
      <c r="N52" s="29"/>
      <c r="P52" s="215" t="s">
        <v>24</v>
      </c>
      <c r="Q52" s="208">
        <f>COUNTIFS('1. All Data'!$AB$3:$AB$136,"Finance and Treasury Management",'1. All Data'!$R$3:$R$136,"Deleted")</f>
        <v>0</v>
      </c>
      <c r="R52" s="216" t="e">
        <f>Q52/Q53</f>
        <v>#DIV/0!</v>
      </c>
      <c r="S52" s="216" t="e">
        <f>R52</f>
        <v>#DIV/0!</v>
      </c>
      <c r="T52" s="217"/>
      <c r="U52" s="29"/>
      <c r="W52" s="175" t="s">
        <v>24</v>
      </c>
      <c r="X52" s="208">
        <f>COUNTIFS('1. All Data'!$AB$3:$AB$136,"Finance and Treasury Management",'1. All Data'!$V$3:$V$136,"Deleted")</f>
        <v>0</v>
      </c>
      <c r="Y52" s="216" t="e">
        <f>X52/X53</f>
        <v>#DIV/0!</v>
      </c>
      <c r="Z52" s="216" t="e">
        <f>Y52</f>
        <v>#DIV/0!</v>
      </c>
      <c r="AA52" s="177"/>
      <c r="AB52" s="3"/>
      <c r="AC52" s="166"/>
    </row>
    <row r="53" spans="2:29" ht="15.75" customHeight="1">
      <c r="B53" s="218" t="s">
        <v>45</v>
      </c>
      <c r="C53" s="219">
        <f>SUM(C42:C52)</f>
        <v>14</v>
      </c>
      <c r="D53" s="177"/>
      <c r="E53" s="177"/>
      <c r="F53" s="220"/>
      <c r="G53" s="58"/>
      <c r="I53" s="218" t="s">
        <v>45</v>
      </c>
      <c r="J53" s="219">
        <f>SUM(J42:J52)</f>
        <v>0</v>
      </c>
      <c r="K53" s="177"/>
      <c r="L53" s="177"/>
      <c r="M53" s="220"/>
      <c r="N53" s="58"/>
      <c r="P53" s="218" t="s">
        <v>45</v>
      </c>
      <c r="Q53" s="219">
        <f>SUM(Q42:Q52)</f>
        <v>0</v>
      </c>
      <c r="R53" s="177"/>
      <c r="S53" s="177"/>
      <c r="T53" s="220"/>
      <c r="U53" s="58"/>
      <c r="W53" s="178" t="s">
        <v>45</v>
      </c>
      <c r="X53" s="219">
        <f>SUM(X42:X52)</f>
        <v>0</v>
      </c>
      <c r="Y53" s="177"/>
      <c r="Z53" s="177"/>
      <c r="AA53" s="58"/>
      <c r="AB53" s="58"/>
      <c r="AC53" s="166"/>
    </row>
    <row r="54" spans="2:29" ht="15.75" customHeight="1">
      <c r="B54" s="218" t="s">
        <v>46</v>
      </c>
      <c r="C54" s="219">
        <f>C53-C52-C51-C50-C49</f>
        <v>9</v>
      </c>
      <c r="D54" s="58"/>
      <c r="E54" s="58"/>
      <c r="F54" s="220"/>
      <c r="G54" s="58"/>
      <c r="I54" s="218" t="s">
        <v>46</v>
      </c>
      <c r="J54" s="219">
        <f>J53-J52-J51-J50-J49</f>
        <v>0</v>
      </c>
      <c r="K54" s="58"/>
      <c r="L54" s="58"/>
      <c r="M54" s="220"/>
      <c r="N54" s="58"/>
      <c r="P54" s="218" t="s">
        <v>46</v>
      </c>
      <c r="Q54" s="219">
        <f>Q53-Q52-Q51-Q50-Q49</f>
        <v>0</v>
      </c>
      <c r="R54" s="58"/>
      <c r="S54" s="58"/>
      <c r="T54" s="220"/>
      <c r="U54" s="58"/>
      <c r="W54" s="178" t="s">
        <v>46</v>
      </c>
      <c r="X54" s="219">
        <f>X53-X52-X51-X50-X49</f>
        <v>0</v>
      </c>
      <c r="Y54" s="58"/>
      <c r="Z54" s="58"/>
      <c r="AA54" s="58"/>
      <c r="AB54" s="58"/>
      <c r="AC54" s="166"/>
    </row>
    <row r="55" spans="2:29" ht="15.75" customHeight="1">
      <c r="W55" s="180"/>
      <c r="AA55" s="2"/>
      <c r="AC55" s="166"/>
    </row>
    <row r="56" spans="2:29" ht="15.75" customHeight="1">
      <c r="W56" s="165"/>
      <c r="X56" s="222"/>
      <c r="Y56" s="165"/>
      <c r="Z56" s="165"/>
      <c r="AA56" s="165"/>
      <c r="AB56" s="186"/>
      <c r="AC56" s="166"/>
    </row>
    <row r="57" spans="2:29" ht="15.75" customHeight="1">
      <c r="W57" s="223"/>
      <c r="X57" s="224"/>
      <c r="Y57" s="58"/>
      <c r="Z57" s="58"/>
      <c r="AA57" s="58"/>
      <c r="AB57" s="177"/>
      <c r="AC57" s="166"/>
    </row>
    <row r="58" spans="2:29" s="166" customFormat="1" ht="15.6">
      <c r="B58" s="225" t="s">
        <v>129</v>
      </c>
      <c r="C58" s="204"/>
      <c r="D58" s="204"/>
      <c r="E58" s="204"/>
      <c r="F58" s="205"/>
      <c r="G58" s="204"/>
      <c r="I58" s="225" t="s">
        <v>129</v>
      </c>
      <c r="J58" s="204"/>
      <c r="K58" s="204"/>
      <c r="L58" s="204"/>
      <c r="M58" s="205"/>
      <c r="N58" s="204"/>
      <c r="P58" s="225" t="s">
        <v>129</v>
      </c>
      <c r="Q58" s="204"/>
      <c r="R58" s="204"/>
      <c r="S58" s="204"/>
      <c r="T58" s="205"/>
      <c r="U58" s="204"/>
      <c r="W58" s="225" t="s">
        <v>129</v>
      </c>
      <c r="X58" s="204"/>
      <c r="Y58" s="204"/>
      <c r="Z58" s="204"/>
      <c r="AA58" s="205"/>
      <c r="AB58" s="204"/>
    </row>
    <row r="59" spans="2:29" ht="41.25" customHeight="1">
      <c r="B59" s="206" t="s">
        <v>36</v>
      </c>
      <c r="C59" s="207" t="s">
        <v>37</v>
      </c>
      <c r="D59" s="207" t="s">
        <v>38</v>
      </c>
      <c r="E59" s="207" t="s">
        <v>39</v>
      </c>
      <c r="F59" s="206" t="s">
        <v>40</v>
      </c>
      <c r="G59" s="207" t="s">
        <v>41</v>
      </c>
      <c r="I59" s="206" t="s">
        <v>36</v>
      </c>
      <c r="J59" s="207" t="s">
        <v>37</v>
      </c>
      <c r="K59" s="207" t="s">
        <v>38</v>
      </c>
      <c r="L59" s="207" t="s">
        <v>39</v>
      </c>
      <c r="M59" s="206" t="s">
        <v>40</v>
      </c>
      <c r="N59" s="207" t="s">
        <v>41</v>
      </c>
      <c r="P59" s="206" t="s">
        <v>36</v>
      </c>
      <c r="Q59" s="207" t="s">
        <v>37</v>
      </c>
      <c r="R59" s="207" t="s">
        <v>38</v>
      </c>
      <c r="S59" s="207" t="s">
        <v>39</v>
      </c>
      <c r="T59" s="206" t="s">
        <v>40</v>
      </c>
      <c r="U59" s="207" t="s">
        <v>41</v>
      </c>
      <c r="W59" s="164" t="s">
        <v>36</v>
      </c>
      <c r="X59" s="164" t="s">
        <v>37</v>
      </c>
      <c r="Y59" s="164" t="s">
        <v>38</v>
      </c>
      <c r="Z59" s="164" t="s">
        <v>39</v>
      </c>
      <c r="AA59" s="164" t="s">
        <v>40</v>
      </c>
      <c r="AB59" s="164" t="s">
        <v>41</v>
      </c>
      <c r="AC59" s="166"/>
    </row>
    <row r="60" spans="2:29" ht="27.75" customHeight="1">
      <c r="B60" s="228" t="s">
        <v>42</v>
      </c>
      <c r="C60" s="208">
        <f>COUNTIFS('1. All Data'!$AB$3:$AB$136,"Leader",'1. All Data'!$H$3:$H$136,"Fully Achieved")</f>
        <v>2</v>
      </c>
      <c r="D60" s="209">
        <f>C60/C71</f>
        <v>0.14285714285714285</v>
      </c>
      <c r="E60" s="422">
        <f>D60+D61</f>
        <v>0.85714285714285721</v>
      </c>
      <c r="F60" s="210">
        <f>C60/C72</f>
        <v>0.16666666666666666</v>
      </c>
      <c r="G60" s="424">
        <f>F60+F61</f>
        <v>1</v>
      </c>
      <c r="I60" s="228" t="s">
        <v>42</v>
      </c>
      <c r="J60" s="208">
        <f>COUNTIFS('1. All Data'!$AB$3:$AB$136,"Leader",'1. All Data'!$M$3:$M$136,"Fully Achieved")</f>
        <v>0</v>
      </c>
      <c r="K60" s="209" t="e">
        <f>J60/J71</f>
        <v>#DIV/0!</v>
      </c>
      <c r="L60" s="422" t="e">
        <f>K60+K61</f>
        <v>#DIV/0!</v>
      </c>
      <c r="M60" s="210" t="e">
        <f>J60/J72</f>
        <v>#DIV/0!</v>
      </c>
      <c r="N60" s="424" t="e">
        <f>M60+M61</f>
        <v>#DIV/0!</v>
      </c>
      <c r="P60" s="228" t="s">
        <v>42</v>
      </c>
      <c r="Q60" s="208">
        <f>COUNTIFS('1. All Data'!$AB$3:$AB$136,"Leader",'1. All Data'!$R$3:$R$136,"Fully Achieved")</f>
        <v>0</v>
      </c>
      <c r="R60" s="209" t="e">
        <f>Q60/Q71</f>
        <v>#DIV/0!</v>
      </c>
      <c r="S60" s="422" t="e">
        <f>R60+R61</f>
        <v>#DIV/0!</v>
      </c>
      <c r="T60" s="210" t="e">
        <f>Q60/Q72</f>
        <v>#DIV/0!</v>
      </c>
      <c r="U60" s="424" t="e">
        <f>T60+T61</f>
        <v>#DIV/0!</v>
      </c>
      <c r="W60" s="228" t="s">
        <v>42</v>
      </c>
      <c r="X60" s="208">
        <f>COUNTIFS('1. All Data'!$AB$3:$AB$136,"Leader",'1. All Data'!$V$3:$V$136,"Fully Achieved")</f>
        <v>0</v>
      </c>
      <c r="Y60" s="209" t="e">
        <f>X60/X71</f>
        <v>#DIV/0!</v>
      </c>
      <c r="Z60" s="422" t="e">
        <f>Y60+Y61</f>
        <v>#DIV/0!</v>
      </c>
      <c r="AA60" s="209" t="e">
        <f>X60/X72</f>
        <v>#DIV/0!</v>
      </c>
      <c r="AB60" s="403" t="e">
        <f>AA60+AA61</f>
        <v>#DIV/0!</v>
      </c>
      <c r="AC60" s="166"/>
    </row>
    <row r="61" spans="2:29" ht="27.75" customHeight="1">
      <c r="B61" s="228" t="s">
        <v>25</v>
      </c>
      <c r="C61" s="208">
        <f>COUNTIFS('1. All Data'!$AB$3:$AB$136,"Leader",'1. All Data'!$H$3:$H$136,"On Track to be Achieved")</f>
        <v>10</v>
      </c>
      <c r="D61" s="209">
        <f>C61/C71</f>
        <v>0.7142857142857143</v>
      </c>
      <c r="E61" s="422"/>
      <c r="F61" s="210">
        <f>C61/C72</f>
        <v>0.83333333333333337</v>
      </c>
      <c r="G61" s="424"/>
      <c r="I61" s="228" t="s">
        <v>25</v>
      </c>
      <c r="J61" s="208">
        <f>COUNTIFS('1. All Data'!$AB$3:$AB$136,"Leader",'1. All Data'!$M$3:$M$136,"On Track to be Achieved")</f>
        <v>0</v>
      </c>
      <c r="K61" s="209" t="e">
        <f>J61/J71</f>
        <v>#DIV/0!</v>
      </c>
      <c r="L61" s="422"/>
      <c r="M61" s="210" t="e">
        <f>J61/J72</f>
        <v>#DIV/0!</v>
      </c>
      <c r="N61" s="424"/>
      <c r="P61" s="228" t="s">
        <v>25</v>
      </c>
      <c r="Q61" s="208">
        <f>COUNTIFS('1. All Data'!$AB$3:$AB$136,"Leader",'1. All Data'!$R$3:$R$136,"On Track to be Achieved")</f>
        <v>0</v>
      </c>
      <c r="R61" s="209" t="e">
        <f>Q61/Q71</f>
        <v>#DIV/0!</v>
      </c>
      <c r="S61" s="422"/>
      <c r="T61" s="210" t="e">
        <f>Q61/Q72</f>
        <v>#DIV/0!</v>
      </c>
      <c r="U61" s="424"/>
      <c r="W61" s="228" t="s">
        <v>17</v>
      </c>
      <c r="X61" s="208">
        <f>COUNTIFS('1. All Data'!$AB$3:$AB$136,"Leader",'1. All Data'!$V$3:$V$136,"Numerical Outturn Within 5% Tolerance")</f>
        <v>0</v>
      </c>
      <c r="Y61" s="209" t="e">
        <f>X61/X71</f>
        <v>#DIV/0!</v>
      </c>
      <c r="Z61" s="422"/>
      <c r="AA61" s="209" t="e">
        <f>X61/X72</f>
        <v>#DIV/0!</v>
      </c>
      <c r="AB61" s="403"/>
      <c r="AC61" s="166"/>
    </row>
    <row r="62" spans="2:29" ht="21" customHeight="1">
      <c r="B62" s="434" t="s">
        <v>26</v>
      </c>
      <c r="C62" s="437">
        <f>COUNTIFS('1. All Data'!$AB$3:$AB$136,"Leader",'1. All Data'!$H$3:$H$136,"In Danger of Falling Behind Target")</f>
        <v>0</v>
      </c>
      <c r="D62" s="425">
        <f>C62/C71</f>
        <v>0</v>
      </c>
      <c r="E62" s="425">
        <f>D62</f>
        <v>0</v>
      </c>
      <c r="F62" s="428">
        <f>C62/C72</f>
        <v>0</v>
      </c>
      <c r="G62" s="431">
        <f>F62</f>
        <v>0</v>
      </c>
      <c r="I62" s="434" t="s">
        <v>26</v>
      </c>
      <c r="J62" s="437">
        <f>COUNTIFS('1. All Data'!$AB$3:$AB$136,"Leader",'1. All Data'!$M$3:$M$136,"In Danger of Falling Behind Target")</f>
        <v>0</v>
      </c>
      <c r="K62" s="425" t="e">
        <f>J62/J71</f>
        <v>#DIV/0!</v>
      </c>
      <c r="L62" s="425" t="e">
        <f>K62</f>
        <v>#DIV/0!</v>
      </c>
      <c r="M62" s="428" t="e">
        <f>J62/J72</f>
        <v>#DIV/0!</v>
      </c>
      <c r="N62" s="431" t="e">
        <f>M62</f>
        <v>#DIV/0!</v>
      </c>
      <c r="P62" s="434" t="s">
        <v>26</v>
      </c>
      <c r="Q62" s="437">
        <f>COUNTIFS('1. All Data'!$AB$3:$AB$136,"Leader",'1. All Data'!$R$3:$R$136,"In Danger of Falling Behind Target")</f>
        <v>0</v>
      </c>
      <c r="R62" s="425" t="e">
        <f>Q62/Q71</f>
        <v>#DIV/0!</v>
      </c>
      <c r="S62" s="425" t="e">
        <f>R62</f>
        <v>#DIV/0!</v>
      </c>
      <c r="T62" s="428" t="e">
        <f>Q62/Q72</f>
        <v>#DIV/0!</v>
      </c>
      <c r="U62" s="431" t="e">
        <f>T62</f>
        <v>#DIV/0!</v>
      </c>
      <c r="W62" s="169" t="s">
        <v>18</v>
      </c>
      <c r="X62" s="170">
        <f>COUNTIFS('1. All Data'!$AB$3:$AB$136,"Leader",'1. All Data'!$V$3:$V$136,"Numerical Outturn Within 10% Tolerance")</f>
        <v>0</v>
      </c>
      <c r="Y62" s="168" t="e">
        <f>X62/X71</f>
        <v>#DIV/0!</v>
      </c>
      <c r="Z62" s="401" t="e">
        <f>SUM(Y62:Y64)</f>
        <v>#DIV/0!</v>
      </c>
      <c r="AA62" s="168" t="e">
        <f>X62/X72</f>
        <v>#DIV/0!</v>
      </c>
      <c r="AB62" s="410" t="e">
        <f>SUM(AA62:AA64)</f>
        <v>#DIV/0!</v>
      </c>
      <c r="AC62" s="166"/>
    </row>
    <row r="63" spans="2:29" ht="18.75" customHeight="1">
      <c r="B63" s="435"/>
      <c r="C63" s="438"/>
      <c r="D63" s="426"/>
      <c r="E63" s="426"/>
      <c r="F63" s="429"/>
      <c r="G63" s="432"/>
      <c r="I63" s="435"/>
      <c r="J63" s="438"/>
      <c r="K63" s="426"/>
      <c r="L63" s="426"/>
      <c r="M63" s="429"/>
      <c r="N63" s="432"/>
      <c r="P63" s="435"/>
      <c r="Q63" s="438"/>
      <c r="R63" s="426"/>
      <c r="S63" s="426"/>
      <c r="T63" s="429"/>
      <c r="U63" s="432"/>
      <c r="W63" s="169" t="s">
        <v>19</v>
      </c>
      <c r="X63" s="170">
        <f>COUNTIFS('1. All Data'!$AB$3:$AB$136,"Leader",'1. All Data'!$V$3:$V$136,"Target Partially Met")</f>
        <v>0</v>
      </c>
      <c r="Y63" s="168" t="e">
        <f>X63/X71</f>
        <v>#DIV/0!</v>
      </c>
      <c r="Z63" s="401"/>
      <c r="AA63" s="168" t="e">
        <f>X63/X72</f>
        <v>#DIV/0!</v>
      </c>
      <c r="AB63" s="410"/>
      <c r="AC63" s="166"/>
    </row>
    <row r="64" spans="2:29" ht="20.25" customHeight="1">
      <c r="B64" s="436"/>
      <c r="C64" s="439"/>
      <c r="D64" s="427"/>
      <c r="E64" s="427"/>
      <c r="F64" s="430"/>
      <c r="G64" s="433"/>
      <c r="I64" s="436"/>
      <c r="J64" s="439"/>
      <c r="K64" s="427"/>
      <c r="L64" s="427"/>
      <c r="M64" s="430"/>
      <c r="N64" s="433"/>
      <c r="P64" s="436"/>
      <c r="Q64" s="439"/>
      <c r="R64" s="427"/>
      <c r="S64" s="427"/>
      <c r="T64" s="430"/>
      <c r="U64" s="433"/>
      <c r="W64" s="169" t="s">
        <v>22</v>
      </c>
      <c r="X64" s="170">
        <f>COUNTIFS('1. All Data'!$AB$3:$AB$136,"Leader",'1. All Data'!$V$3:$V$136,"Completion Date Within Reasonable Tolerance")</f>
        <v>0</v>
      </c>
      <c r="Y64" s="168" t="e">
        <f>X64/X71</f>
        <v>#DIV/0!</v>
      </c>
      <c r="Z64" s="401"/>
      <c r="AA64" s="168" t="e">
        <f>X64/X72</f>
        <v>#DIV/0!</v>
      </c>
      <c r="AB64" s="410"/>
      <c r="AC64" s="166"/>
    </row>
    <row r="65" spans="2:29" ht="30" customHeight="1">
      <c r="B65" s="211" t="s">
        <v>27</v>
      </c>
      <c r="C65" s="208">
        <f>COUNTIFS('1. All Data'!$AB$3:$AB$136,"Leader",'1. All Data'!$H$3:$H$136,"Completed Behind Schedule")</f>
        <v>0</v>
      </c>
      <c r="D65" s="209">
        <f>C65/C71</f>
        <v>0</v>
      </c>
      <c r="E65" s="422">
        <f>D65+D66</f>
        <v>0</v>
      </c>
      <c r="F65" s="210">
        <f>C65/C72</f>
        <v>0</v>
      </c>
      <c r="G65" s="423">
        <f>F65+F66</f>
        <v>0</v>
      </c>
      <c r="I65" s="211" t="s">
        <v>27</v>
      </c>
      <c r="J65" s="208">
        <f>COUNTIFS('1. All Data'!$AB$3:$AB$136,"Leader",'1. All Data'!$M$3:$M$136,"Completed Behind Schedule")</f>
        <v>0</v>
      </c>
      <c r="K65" s="209" t="e">
        <f>J65/J71</f>
        <v>#DIV/0!</v>
      </c>
      <c r="L65" s="422" t="e">
        <f>K65+K66</f>
        <v>#DIV/0!</v>
      </c>
      <c r="M65" s="210" t="e">
        <f>J65/J72</f>
        <v>#DIV/0!</v>
      </c>
      <c r="N65" s="423" t="e">
        <f>M65+M66</f>
        <v>#DIV/0!</v>
      </c>
      <c r="P65" s="211" t="s">
        <v>27</v>
      </c>
      <c r="Q65" s="208">
        <f>COUNTIFS('1. All Data'!$AB$3:$AB$136,"Leader",'1. All Data'!$R$3:$R$136,"Completed Behind Schedule")</f>
        <v>0</v>
      </c>
      <c r="R65" s="209" t="e">
        <f>Q65/Q71</f>
        <v>#DIV/0!</v>
      </c>
      <c r="S65" s="422" t="e">
        <f>R65+R66</f>
        <v>#DIV/0!</v>
      </c>
      <c r="T65" s="210" t="e">
        <f>Q65/Q72</f>
        <v>#DIV/0!</v>
      </c>
      <c r="U65" s="423" t="e">
        <f>T65+T66</f>
        <v>#DIV/0!</v>
      </c>
      <c r="W65" s="171" t="s">
        <v>21</v>
      </c>
      <c r="X65" s="208">
        <f>COUNTIFS('1. All Data'!$AB$3:$AB$136,"Leader",'1. All Data'!$V$3:$V$136,"Completed Significantly After Target Deadline")</f>
        <v>0</v>
      </c>
      <c r="Y65" s="209" t="e">
        <f>X65/X71</f>
        <v>#DIV/0!</v>
      </c>
      <c r="Z65" s="422" t="e">
        <f>Y65+Y66</f>
        <v>#DIV/0!</v>
      </c>
      <c r="AA65" s="168" t="e">
        <f>X65/X72</f>
        <v>#DIV/0!</v>
      </c>
      <c r="AB65" s="402" t="e">
        <f>AA65+AA66</f>
        <v>#DIV/0!</v>
      </c>
      <c r="AC65" s="166"/>
    </row>
    <row r="66" spans="2:29" ht="30" customHeight="1">
      <c r="B66" s="211" t="s">
        <v>20</v>
      </c>
      <c r="C66" s="208">
        <f>COUNTIFS('1. All Data'!$AB$3:$AB$136,"Leader",'1. All Data'!$H$3:$H$136,"Off Target")</f>
        <v>0</v>
      </c>
      <c r="D66" s="209">
        <f>C66/C71</f>
        <v>0</v>
      </c>
      <c r="E66" s="422"/>
      <c r="F66" s="210">
        <f>C66/C72</f>
        <v>0</v>
      </c>
      <c r="G66" s="423"/>
      <c r="I66" s="211" t="s">
        <v>20</v>
      </c>
      <c r="J66" s="208">
        <f>COUNTIFS('1. All Data'!$AB$3:$AB$136,"Leader",'1. All Data'!$M$3:$M$136,"Off Target")</f>
        <v>0</v>
      </c>
      <c r="K66" s="209" t="e">
        <f>J66/J71</f>
        <v>#DIV/0!</v>
      </c>
      <c r="L66" s="422"/>
      <c r="M66" s="210" t="e">
        <f>J66/J72</f>
        <v>#DIV/0!</v>
      </c>
      <c r="N66" s="423"/>
      <c r="P66" s="211" t="s">
        <v>20</v>
      </c>
      <c r="Q66" s="208">
        <f>COUNTIFS('1. All Data'!$AB$3:$AB$136,"Leader",'1. All Data'!$R$3:$R$136,"Off Target")</f>
        <v>0</v>
      </c>
      <c r="R66" s="209" t="e">
        <f>Q66/Q71</f>
        <v>#DIV/0!</v>
      </c>
      <c r="S66" s="422"/>
      <c r="T66" s="210" t="e">
        <f>Q66/Q72</f>
        <v>#DIV/0!</v>
      </c>
      <c r="U66" s="423"/>
      <c r="W66" s="171" t="s">
        <v>20</v>
      </c>
      <c r="X66" s="208">
        <f>COUNTIFS('1. All Data'!$AB$3:$AB$136,"Leader",'1. All Data'!$V$3:$V$136,"Off Target")</f>
        <v>0</v>
      </c>
      <c r="Y66" s="209" t="e">
        <f>X66/X71</f>
        <v>#DIV/0!</v>
      </c>
      <c r="Z66" s="422"/>
      <c r="AA66" s="168" t="e">
        <f>X66/X72</f>
        <v>#DIV/0!</v>
      </c>
      <c r="AB66" s="402"/>
      <c r="AC66" s="166"/>
    </row>
    <row r="67" spans="2:29" ht="15.75" customHeight="1">
      <c r="B67" s="212" t="s">
        <v>43</v>
      </c>
      <c r="C67" s="208">
        <f>COUNTIFS('1. All Data'!$AB$3:$AB$136,"Leader",'1. All Data'!$H$3:$H$136,"Not yet due")</f>
        <v>2</v>
      </c>
      <c r="D67" s="213">
        <f>C67/C71</f>
        <v>0.14285714285714285</v>
      </c>
      <c r="E67" s="213">
        <f>D67</f>
        <v>0.14285714285714285</v>
      </c>
      <c r="F67" s="214"/>
      <c r="G67" s="58"/>
      <c r="I67" s="212" t="s">
        <v>43</v>
      </c>
      <c r="J67" s="208">
        <f>COUNTIFS('1. All Data'!$AB$3:$AB$136,"Leader",'1. All Data'!$M$3:$M$136,"Not yet due")</f>
        <v>0</v>
      </c>
      <c r="K67" s="213" t="e">
        <f>J67/J71</f>
        <v>#DIV/0!</v>
      </c>
      <c r="L67" s="213" t="e">
        <f>K67</f>
        <v>#DIV/0!</v>
      </c>
      <c r="M67" s="214"/>
      <c r="N67" s="58"/>
      <c r="P67" s="212" t="s">
        <v>43</v>
      </c>
      <c r="Q67" s="208">
        <f>COUNTIFS('1. All Data'!$AB$3:$AB$136,"Leader",'1. All Data'!$R$3:$R$136,"Not yet due")</f>
        <v>0</v>
      </c>
      <c r="R67" s="213" t="e">
        <f>Q67/Q71</f>
        <v>#DIV/0!</v>
      </c>
      <c r="S67" s="213" t="e">
        <f>R67</f>
        <v>#DIV/0!</v>
      </c>
      <c r="T67" s="214"/>
      <c r="U67" s="58"/>
      <c r="W67" s="172" t="s">
        <v>43</v>
      </c>
      <c r="X67" s="208">
        <f>COUNTIFS('1. All Data'!$AB$3:$AB$136,"Leader",'1. All Data'!$V$3:$V$136,"Not yet due")</f>
        <v>0</v>
      </c>
      <c r="Y67" s="213" t="e">
        <f>X67/X71</f>
        <v>#DIV/0!</v>
      </c>
      <c r="Z67" s="213" t="e">
        <f>Y67</f>
        <v>#DIV/0!</v>
      </c>
      <c r="AA67" s="174"/>
      <c r="AB67" s="58"/>
      <c r="AC67" s="166"/>
    </row>
    <row r="68" spans="2:29" ht="15.75" customHeight="1">
      <c r="B68" s="212" t="s">
        <v>15</v>
      </c>
      <c r="C68" s="208">
        <f>COUNTIFS('1. All Data'!$AB$3:$AB$136,"Leader",'1. All Data'!$H$3:$H$136,"Update not provided")</f>
        <v>0</v>
      </c>
      <c r="D68" s="213">
        <f>C68/C71</f>
        <v>0</v>
      </c>
      <c r="E68" s="213">
        <f>D68</f>
        <v>0</v>
      </c>
      <c r="F68" s="214"/>
      <c r="G68" s="2"/>
      <c r="I68" s="212" t="s">
        <v>15</v>
      </c>
      <c r="J68" s="208">
        <f>COUNTIFS('1. All Data'!$AB$3:$AB$136,"Leader",'1. All Data'!$M$3:$M$136,"Update not provided")</f>
        <v>0</v>
      </c>
      <c r="K68" s="213" t="e">
        <f>J68/J71</f>
        <v>#DIV/0!</v>
      </c>
      <c r="L68" s="213" t="e">
        <f>K68</f>
        <v>#DIV/0!</v>
      </c>
      <c r="M68" s="214"/>
      <c r="N68" s="2"/>
      <c r="P68" s="212" t="s">
        <v>15</v>
      </c>
      <c r="Q68" s="208">
        <f>COUNTIFS('1. All Data'!$AB$3:$AB$136,"Leader",'1. All Data'!$R$3:$R$136,"Update not provided")</f>
        <v>0</v>
      </c>
      <c r="R68" s="213" t="e">
        <f>Q68/Q71</f>
        <v>#DIV/0!</v>
      </c>
      <c r="S68" s="213" t="e">
        <f>R68</f>
        <v>#DIV/0!</v>
      </c>
      <c r="T68" s="214"/>
      <c r="U68" s="2"/>
      <c r="W68" s="172" t="s">
        <v>15</v>
      </c>
      <c r="X68" s="208">
        <f>COUNTIFS('1. All Data'!$AB$3:$AB$136,"Leader",'1. All Data'!$V$3:$V$136,"Update not provided")</f>
        <v>0</v>
      </c>
      <c r="Y68" s="213" t="e">
        <f>X68/X71</f>
        <v>#DIV/0!</v>
      </c>
      <c r="Z68" s="213" t="e">
        <f>Y68</f>
        <v>#DIV/0!</v>
      </c>
      <c r="AA68" s="174"/>
      <c r="AB68" s="2"/>
      <c r="AC68" s="166"/>
    </row>
    <row r="69" spans="2:29" ht="15.75" customHeight="1">
      <c r="B69" s="215" t="s">
        <v>23</v>
      </c>
      <c r="C69" s="208">
        <f>COUNTIFS('1. All Data'!$AB$3:$AB$136,"Leader",'1. All Data'!$H$3:$H$136,"Deferred")</f>
        <v>0</v>
      </c>
      <c r="D69" s="216">
        <f>C69/C71</f>
        <v>0</v>
      </c>
      <c r="E69" s="216">
        <f>D69</f>
        <v>0</v>
      </c>
      <c r="F69" s="217"/>
      <c r="G69" s="58"/>
      <c r="I69" s="215" t="s">
        <v>23</v>
      </c>
      <c r="J69" s="208">
        <f>COUNTIFS('1. All Data'!$AB$3:$AB$136,"Leader",'1. All Data'!$M$3:$M$136,"Deferred")</f>
        <v>0</v>
      </c>
      <c r="K69" s="216" t="e">
        <f>J69/J71</f>
        <v>#DIV/0!</v>
      </c>
      <c r="L69" s="216" t="e">
        <f>K69</f>
        <v>#DIV/0!</v>
      </c>
      <c r="M69" s="217"/>
      <c r="N69" s="58"/>
      <c r="P69" s="215" t="s">
        <v>23</v>
      </c>
      <c r="Q69" s="208">
        <f>COUNTIFS('1. All Data'!$AB$3:$AB$136,"Leader",'1. All Data'!$R$3:$R$136,"Deferred")</f>
        <v>0</v>
      </c>
      <c r="R69" s="216" t="e">
        <f>Q69/Q71</f>
        <v>#DIV/0!</v>
      </c>
      <c r="S69" s="216" t="e">
        <f>R69</f>
        <v>#DIV/0!</v>
      </c>
      <c r="T69" s="217"/>
      <c r="U69" s="58"/>
      <c r="W69" s="175" t="s">
        <v>23</v>
      </c>
      <c r="X69" s="208">
        <f>COUNTIFS('1. All Data'!$AB$3:$AB$136,"Leader",'1. All Data'!$V$3:$V$136,"Deferred")</f>
        <v>0</v>
      </c>
      <c r="Y69" s="216" t="e">
        <f>X69/X71</f>
        <v>#DIV/0!</v>
      </c>
      <c r="Z69" s="216" t="e">
        <f>Y69</f>
        <v>#DIV/0!</v>
      </c>
      <c r="AA69" s="177"/>
      <c r="AB69" s="58"/>
      <c r="AC69" s="166"/>
    </row>
    <row r="70" spans="2:29" ht="15.75" customHeight="1">
      <c r="B70" s="215" t="s">
        <v>24</v>
      </c>
      <c r="C70" s="208">
        <f>COUNTIFS('1. All Data'!$AB$3:$AB$136,"Leader",'1. All Data'!$H$3:$H$136,"Deleted")</f>
        <v>0</v>
      </c>
      <c r="D70" s="216">
        <f>C70/C71</f>
        <v>0</v>
      </c>
      <c r="E70" s="216">
        <f>D70</f>
        <v>0</v>
      </c>
      <c r="F70" s="217"/>
      <c r="G70" s="29"/>
      <c r="I70" s="215" t="s">
        <v>24</v>
      </c>
      <c r="J70" s="208">
        <f>COUNTIFS('1. All Data'!$AB$3:$AB$136,"Leader",'1. All Data'!$M$3:$M$136,"Deleted")</f>
        <v>0</v>
      </c>
      <c r="K70" s="216" t="e">
        <f>J70/J71</f>
        <v>#DIV/0!</v>
      </c>
      <c r="L70" s="216" t="e">
        <f>K70</f>
        <v>#DIV/0!</v>
      </c>
      <c r="M70" s="217"/>
      <c r="N70" s="29"/>
      <c r="P70" s="215" t="s">
        <v>24</v>
      </c>
      <c r="Q70" s="208">
        <f>COUNTIFS('1. All Data'!$AB$3:$AB$136,"Leader",'1. All Data'!$R$3:$R$136,"Deleted")</f>
        <v>0</v>
      </c>
      <c r="R70" s="216" t="e">
        <f>Q70/Q71</f>
        <v>#DIV/0!</v>
      </c>
      <c r="S70" s="216" t="e">
        <f>R70</f>
        <v>#DIV/0!</v>
      </c>
      <c r="T70" s="217"/>
      <c r="U70" s="29"/>
      <c r="W70" s="175" t="s">
        <v>24</v>
      </c>
      <c r="X70" s="208">
        <f>COUNTIFS('1. All Data'!$AB$3:$AB$136,"Leader",'1. All Data'!$V$3:$V$136,"Deleted")</f>
        <v>0</v>
      </c>
      <c r="Y70" s="216" t="e">
        <f>X70/X71</f>
        <v>#DIV/0!</v>
      </c>
      <c r="Z70" s="216" t="e">
        <f>Y70</f>
        <v>#DIV/0!</v>
      </c>
      <c r="AA70" s="177"/>
      <c r="AB70" s="3"/>
      <c r="AC70" s="166"/>
    </row>
    <row r="71" spans="2:29" ht="15.75" customHeight="1">
      <c r="B71" s="218" t="s">
        <v>45</v>
      </c>
      <c r="C71" s="219">
        <f>SUM(C60:C70)</f>
        <v>14</v>
      </c>
      <c r="D71" s="177"/>
      <c r="E71" s="177"/>
      <c r="F71" s="220"/>
      <c r="G71" s="58"/>
      <c r="I71" s="218" t="s">
        <v>45</v>
      </c>
      <c r="J71" s="219">
        <f>SUM(J60:J70)</f>
        <v>0</v>
      </c>
      <c r="K71" s="177"/>
      <c r="L71" s="177"/>
      <c r="M71" s="220"/>
      <c r="N71" s="58"/>
      <c r="P71" s="218" t="s">
        <v>45</v>
      </c>
      <c r="Q71" s="219">
        <f>SUM(Q60:Q70)</f>
        <v>0</v>
      </c>
      <c r="R71" s="177"/>
      <c r="S71" s="177"/>
      <c r="T71" s="220"/>
      <c r="U71" s="58"/>
      <c r="W71" s="178" t="s">
        <v>45</v>
      </c>
      <c r="X71" s="219">
        <f>SUM(X60:X70)</f>
        <v>0</v>
      </c>
      <c r="Y71" s="177"/>
      <c r="Z71" s="177"/>
      <c r="AA71" s="58"/>
      <c r="AB71" s="58"/>
      <c r="AC71" s="166"/>
    </row>
    <row r="72" spans="2:29" ht="15.75" customHeight="1">
      <c r="B72" s="218" t="s">
        <v>46</v>
      </c>
      <c r="C72" s="219">
        <f>C71-C70-C69-C68-C67</f>
        <v>12</v>
      </c>
      <c r="D72" s="58"/>
      <c r="E72" s="58"/>
      <c r="F72" s="220"/>
      <c r="G72" s="58"/>
      <c r="I72" s="218" t="s">
        <v>46</v>
      </c>
      <c r="J72" s="219">
        <f>J71-J70-J69-J68-J67</f>
        <v>0</v>
      </c>
      <c r="K72" s="58"/>
      <c r="L72" s="58"/>
      <c r="M72" s="220"/>
      <c r="N72" s="58"/>
      <c r="P72" s="218" t="s">
        <v>46</v>
      </c>
      <c r="Q72" s="219">
        <f>Q71-Q70-Q69-Q68-Q67</f>
        <v>0</v>
      </c>
      <c r="R72" s="58"/>
      <c r="S72" s="58"/>
      <c r="T72" s="220"/>
      <c r="U72" s="58"/>
      <c r="W72" s="178" t="s">
        <v>46</v>
      </c>
      <c r="X72" s="219">
        <f>X71-X70-X69-X68-X67</f>
        <v>0</v>
      </c>
      <c r="Y72" s="58"/>
      <c r="Z72" s="58"/>
      <c r="AA72" s="58"/>
      <c r="AB72" s="58"/>
      <c r="AC72" s="166"/>
    </row>
    <row r="73" spans="2:29" ht="15.75" customHeight="1">
      <c r="W73" s="180"/>
      <c r="AA73" s="2"/>
      <c r="AC73" s="166"/>
    </row>
    <row r="74" spans="2:29" ht="15.75" customHeight="1">
      <c r="W74" s="165"/>
      <c r="X74" s="165"/>
      <c r="Y74" s="165"/>
      <c r="Z74" s="165"/>
      <c r="AA74" s="165"/>
      <c r="AB74" s="186"/>
      <c r="AC74" s="166"/>
    </row>
    <row r="75" spans="2:29" s="166" customFormat="1" ht="15.75" customHeight="1">
      <c r="B75" s="187"/>
      <c r="C75" s="165"/>
      <c r="D75" s="165"/>
      <c r="E75" s="165"/>
      <c r="F75" s="220"/>
      <c r="G75" s="165"/>
      <c r="I75" s="187"/>
      <c r="J75" s="165"/>
      <c r="K75" s="165"/>
      <c r="L75" s="165"/>
      <c r="M75" s="220"/>
      <c r="N75" s="165"/>
      <c r="P75" s="187"/>
      <c r="Q75" s="165"/>
      <c r="R75" s="165"/>
      <c r="S75" s="165"/>
      <c r="T75" s="220"/>
      <c r="U75" s="165"/>
      <c r="W75" s="165"/>
      <c r="X75" s="165"/>
      <c r="Y75" s="165"/>
      <c r="Z75" s="165"/>
      <c r="AA75" s="165"/>
      <c r="AB75" s="186"/>
    </row>
    <row r="76" spans="2:29" s="166" customFormat="1" ht="15.6">
      <c r="B76" s="225" t="s">
        <v>116</v>
      </c>
      <c r="C76" s="204"/>
      <c r="D76" s="204"/>
      <c r="E76" s="204"/>
      <c r="F76" s="205"/>
      <c r="G76" s="204"/>
      <c r="I76" s="225" t="s">
        <v>116</v>
      </c>
      <c r="J76" s="204"/>
      <c r="K76" s="204"/>
      <c r="L76" s="204"/>
      <c r="M76" s="205"/>
      <c r="N76" s="204"/>
      <c r="P76" s="225" t="s">
        <v>116</v>
      </c>
      <c r="Q76" s="204"/>
      <c r="R76" s="204"/>
      <c r="S76" s="204"/>
      <c r="T76" s="205"/>
      <c r="U76" s="204"/>
      <c r="W76" s="225" t="s">
        <v>116</v>
      </c>
      <c r="X76" s="204"/>
      <c r="Y76" s="204"/>
      <c r="Z76" s="204"/>
      <c r="AA76" s="205"/>
      <c r="AB76" s="204"/>
    </row>
    <row r="77" spans="2:29" ht="36" customHeight="1">
      <c r="B77" s="206" t="s">
        <v>36</v>
      </c>
      <c r="C77" s="207" t="s">
        <v>37</v>
      </c>
      <c r="D77" s="207" t="s">
        <v>38</v>
      </c>
      <c r="E77" s="207" t="s">
        <v>39</v>
      </c>
      <c r="F77" s="206" t="s">
        <v>40</v>
      </c>
      <c r="G77" s="207" t="s">
        <v>41</v>
      </c>
      <c r="I77" s="206" t="s">
        <v>36</v>
      </c>
      <c r="J77" s="207" t="s">
        <v>37</v>
      </c>
      <c r="K77" s="207" t="s">
        <v>38</v>
      </c>
      <c r="L77" s="207" t="s">
        <v>39</v>
      </c>
      <c r="M77" s="206" t="s">
        <v>40</v>
      </c>
      <c r="N77" s="207" t="s">
        <v>41</v>
      </c>
      <c r="P77" s="206" t="s">
        <v>36</v>
      </c>
      <c r="Q77" s="207" t="s">
        <v>37</v>
      </c>
      <c r="R77" s="207" t="s">
        <v>38</v>
      </c>
      <c r="S77" s="207" t="s">
        <v>39</v>
      </c>
      <c r="T77" s="206" t="s">
        <v>40</v>
      </c>
      <c r="U77" s="207" t="s">
        <v>41</v>
      </c>
      <c r="W77" s="164" t="s">
        <v>36</v>
      </c>
      <c r="X77" s="164" t="s">
        <v>37</v>
      </c>
      <c r="Y77" s="164" t="s">
        <v>38</v>
      </c>
      <c r="Z77" s="164" t="s">
        <v>39</v>
      </c>
      <c r="AA77" s="164" t="s">
        <v>40</v>
      </c>
      <c r="AB77" s="164" t="s">
        <v>41</v>
      </c>
      <c r="AC77" s="166"/>
    </row>
    <row r="78" spans="2:29" ht="18.75" customHeight="1">
      <c r="B78" s="228" t="s">
        <v>42</v>
      </c>
      <c r="C78" s="208">
        <f>COUNTIFS('1. All Data'!$AB$3:$AB$136,"Regeneration and Development",'1. All Data'!$H$3:$H$136,"Fully Achieved")</f>
        <v>3</v>
      </c>
      <c r="D78" s="209">
        <f>C78/C89</f>
        <v>0.15</v>
      </c>
      <c r="E78" s="422">
        <f>D78+D79</f>
        <v>0.85</v>
      </c>
      <c r="F78" s="210">
        <f>C78/C90</f>
        <v>0.15789473684210525</v>
      </c>
      <c r="G78" s="424">
        <f>F78+F79</f>
        <v>0.89473684210526305</v>
      </c>
      <c r="I78" s="228" t="s">
        <v>42</v>
      </c>
      <c r="J78" s="208">
        <f>COUNTIFS('1. All Data'!$AB$3:$AB$136,"Regeneration and Development",'1. All Data'!$M$3:$M$136,"Fully Achieved")</f>
        <v>0</v>
      </c>
      <c r="K78" s="209" t="e">
        <f>J78/J89</f>
        <v>#DIV/0!</v>
      </c>
      <c r="L78" s="422" t="e">
        <f>K78+K79</f>
        <v>#DIV/0!</v>
      </c>
      <c r="M78" s="210" t="e">
        <f>J78/J90</f>
        <v>#DIV/0!</v>
      </c>
      <c r="N78" s="424" t="e">
        <f>M78+M79</f>
        <v>#DIV/0!</v>
      </c>
      <c r="P78" s="228" t="s">
        <v>42</v>
      </c>
      <c r="Q78" s="208">
        <f>COUNTIFS('1. All Data'!$AB$3:$AB$136,"Regeneration and Development",'1. All Data'!$R$3:$R$136,"Fully Achieved")</f>
        <v>0</v>
      </c>
      <c r="R78" s="209" t="e">
        <f>Q78/Q89</f>
        <v>#DIV/0!</v>
      </c>
      <c r="S78" s="422" t="e">
        <f>R78+R79</f>
        <v>#DIV/0!</v>
      </c>
      <c r="T78" s="210" t="e">
        <f>Q78/Q90</f>
        <v>#DIV/0!</v>
      </c>
      <c r="U78" s="424" t="e">
        <f>T78+T79</f>
        <v>#DIV/0!</v>
      </c>
      <c r="W78" s="228" t="s">
        <v>42</v>
      </c>
      <c r="X78" s="208">
        <f>COUNTIFS('1. All Data'!$AB$3:$AB$136,"Regeneration and Development",'1. All Data'!$V$3:$V$136,"Fully Achieved")</f>
        <v>0</v>
      </c>
      <c r="Y78" s="209" t="e">
        <f>X78/X89</f>
        <v>#DIV/0!</v>
      </c>
      <c r="Z78" s="422" t="e">
        <f>Y78+Y79</f>
        <v>#DIV/0!</v>
      </c>
      <c r="AA78" s="209" t="e">
        <f>X78/X90</f>
        <v>#DIV/0!</v>
      </c>
      <c r="AB78" s="403" t="e">
        <f>AA78+AA79</f>
        <v>#DIV/0!</v>
      </c>
      <c r="AC78" s="166"/>
    </row>
    <row r="79" spans="2:29" ht="18.75" customHeight="1">
      <c r="B79" s="228" t="s">
        <v>25</v>
      </c>
      <c r="C79" s="208">
        <f>COUNTIFS('1. All Data'!$AB$3:$AB$136,"Regeneration and Development",'1. All Data'!$H$3:$H$136,"On Track to be Achieved")</f>
        <v>14</v>
      </c>
      <c r="D79" s="209">
        <f>C79/C89</f>
        <v>0.7</v>
      </c>
      <c r="E79" s="422"/>
      <c r="F79" s="210">
        <f>C79/C90</f>
        <v>0.73684210526315785</v>
      </c>
      <c r="G79" s="424"/>
      <c r="I79" s="228" t="s">
        <v>25</v>
      </c>
      <c r="J79" s="208">
        <f>COUNTIFS('1. All Data'!$AB$3:$AB$136,"Regeneration and Development",'1. All Data'!$M$3:$M$136,"On Track to be Achieved")</f>
        <v>0</v>
      </c>
      <c r="K79" s="209" t="e">
        <f>J79/J89</f>
        <v>#DIV/0!</v>
      </c>
      <c r="L79" s="422"/>
      <c r="M79" s="210" t="e">
        <f>J79/J90</f>
        <v>#DIV/0!</v>
      </c>
      <c r="N79" s="424"/>
      <c r="P79" s="228" t="s">
        <v>25</v>
      </c>
      <c r="Q79" s="208">
        <f>COUNTIFS('1. All Data'!$AB$3:$AB$136,"Regeneration and Development",'1. All Data'!$R$3:$R$136,"On Track to be Achieved")</f>
        <v>0</v>
      </c>
      <c r="R79" s="209" t="e">
        <f>Q79/Q89</f>
        <v>#DIV/0!</v>
      </c>
      <c r="S79" s="422"/>
      <c r="T79" s="210" t="e">
        <f>Q79/Q90</f>
        <v>#DIV/0!</v>
      </c>
      <c r="U79" s="424"/>
      <c r="W79" s="228" t="s">
        <v>17</v>
      </c>
      <c r="X79" s="208">
        <f>COUNTIFS('1. All Data'!$AB$3:$AB$136,"Regeneration and Development",'1. All Data'!$V$3:$V$136,"Numerical Outturn Within 5% Tolerance")</f>
        <v>0</v>
      </c>
      <c r="Y79" s="209" t="e">
        <f>X79/X89</f>
        <v>#DIV/0!</v>
      </c>
      <c r="Z79" s="422"/>
      <c r="AA79" s="209" t="e">
        <f>X79/X90</f>
        <v>#DIV/0!</v>
      </c>
      <c r="AB79" s="403"/>
      <c r="AC79" s="166"/>
    </row>
    <row r="80" spans="2:29" ht="16.5" customHeight="1">
      <c r="B80" s="434" t="s">
        <v>26</v>
      </c>
      <c r="C80" s="437">
        <f>COUNTIFS('1. All Data'!$AB$3:$AB$136,"Regeneration and Development",'1. All Data'!$H$3:$H$136,"In Danger of Falling Behind Target")</f>
        <v>1</v>
      </c>
      <c r="D80" s="425">
        <f>C80/C89</f>
        <v>0.05</v>
      </c>
      <c r="E80" s="425">
        <f>D80</f>
        <v>0.05</v>
      </c>
      <c r="F80" s="428">
        <f>C80/C90</f>
        <v>5.2631578947368418E-2</v>
      </c>
      <c r="G80" s="431">
        <f>F80</f>
        <v>5.2631578947368418E-2</v>
      </c>
      <c r="I80" s="434" t="s">
        <v>26</v>
      </c>
      <c r="J80" s="437">
        <f>COUNTIFS('1. All Data'!$AB$3:$AB$136,"Regeneration and Development",'1. All Data'!$M$3:$M$136,"In Danger of Falling Behind Target")</f>
        <v>0</v>
      </c>
      <c r="K80" s="425" t="e">
        <f>J80/J89</f>
        <v>#DIV/0!</v>
      </c>
      <c r="L80" s="425" t="e">
        <f>K80</f>
        <v>#DIV/0!</v>
      </c>
      <c r="M80" s="428" t="e">
        <f>J80/J90</f>
        <v>#DIV/0!</v>
      </c>
      <c r="N80" s="431" t="e">
        <f>M80</f>
        <v>#DIV/0!</v>
      </c>
      <c r="P80" s="434" t="s">
        <v>26</v>
      </c>
      <c r="Q80" s="437">
        <f>COUNTIFS('1. All Data'!$AB$3:$AB$136,"Regeneration and Development",'1. All Data'!$R$3:$R$136,"In Danger of Falling Behind Target")</f>
        <v>0</v>
      </c>
      <c r="R80" s="425" t="e">
        <f>Q80/Q89</f>
        <v>#DIV/0!</v>
      </c>
      <c r="S80" s="425" t="e">
        <f>R80</f>
        <v>#DIV/0!</v>
      </c>
      <c r="T80" s="428" t="e">
        <f>Q80/Q90</f>
        <v>#DIV/0!</v>
      </c>
      <c r="U80" s="431" t="e">
        <f>T80</f>
        <v>#DIV/0!</v>
      </c>
      <c r="W80" s="169" t="s">
        <v>18</v>
      </c>
      <c r="X80" s="170">
        <f>COUNTIFS('1. All Data'!$AB$3:$AB$136,"Regeneration and Development",'1. All Data'!$V$3:$V$136,"Numerical Outturn Within 10% Tolerance")</f>
        <v>0</v>
      </c>
      <c r="Y80" s="168" t="e">
        <f>X80/X89</f>
        <v>#DIV/0!</v>
      </c>
      <c r="Z80" s="401" t="e">
        <f>SUM(Y80:Y82)</f>
        <v>#DIV/0!</v>
      </c>
      <c r="AA80" s="168" t="e">
        <f>X80/X90</f>
        <v>#DIV/0!</v>
      </c>
      <c r="AB80" s="410" t="e">
        <f>SUM(AA80:AA82)</f>
        <v>#DIV/0!</v>
      </c>
      <c r="AC80" s="166"/>
    </row>
    <row r="81" spans="2:29" ht="16.5" customHeight="1">
      <c r="B81" s="435"/>
      <c r="C81" s="438"/>
      <c r="D81" s="426"/>
      <c r="E81" s="426"/>
      <c r="F81" s="429"/>
      <c r="G81" s="432"/>
      <c r="I81" s="435"/>
      <c r="J81" s="438"/>
      <c r="K81" s="426"/>
      <c r="L81" s="426"/>
      <c r="M81" s="429"/>
      <c r="N81" s="432"/>
      <c r="P81" s="435"/>
      <c r="Q81" s="438"/>
      <c r="R81" s="426"/>
      <c r="S81" s="426"/>
      <c r="T81" s="429"/>
      <c r="U81" s="432"/>
      <c r="W81" s="169" t="s">
        <v>19</v>
      </c>
      <c r="X81" s="170">
        <f>COUNTIFS('1. All Data'!$AB$3:$AB$136,"Regeneration and Development",'1. All Data'!$V$3:$V$136,"Target Partially Met")</f>
        <v>0</v>
      </c>
      <c r="Y81" s="168" t="e">
        <f>X81/X89</f>
        <v>#DIV/0!</v>
      </c>
      <c r="Z81" s="401"/>
      <c r="AA81" s="168" t="e">
        <f>X81/X90</f>
        <v>#DIV/0!</v>
      </c>
      <c r="AB81" s="410"/>
      <c r="AC81" s="166"/>
    </row>
    <row r="82" spans="2:29" ht="16.5" customHeight="1">
      <c r="B82" s="436"/>
      <c r="C82" s="439"/>
      <c r="D82" s="427"/>
      <c r="E82" s="427"/>
      <c r="F82" s="430"/>
      <c r="G82" s="433"/>
      <c r="I82" s="436"/>
      <c r="J82" s="439"/>
      <c r="K82" s="427"/>
      <c r="L82" s="427"/>
      <c r="M82" s="430"/>
      <c r="N82" s="433"/>
      <c r="P82" s="436"/>
      <c r="Q82" s="439"/>
      <c r="R82" s="427"/>
      <c r="S82" s="427"/>
      <c r="T82" s="430"/>
      <c r="U82" s="433"/>
      <c r="W82" s="169" t="s">
        <v>22</v>
      </c>
      <c r="X82" s="170">
        <f>COUNTIFS('1. All Data'!$AB$3:$AB$136,"Regeneration and Development",'1. All Data'!$V$3:$V$136,"Completion Date Within Reasonable Tolerance")</f>
        <v>0</v>
      </c>
      <c r="Y82" s="168" t="e">
        <f>X82/X89</f>
        <v>#DIV/0!</v>
      </c>
      <c r="Z82" s="401"/>
      <c r="AA82" s="168" t="e">
        <f>X82/X90</f>
        <v>#DIV/0!</v>
      </c>
      <c r="AB82" s="410"/>
      <c r="AC82" s="166"/>
    </row>
    <row r="83" spans="2:29" ht="22.5" customHeight="1">
      <c r="B83" s="211" t="s">
        <v>27</v>
      </c>
      <c r="C83" s="208">
        <f>COUNTIFS('1. All Data'!$AB$3:$AB$136,"Regeneration and Development",'1. All Data'!$H$3:$H$136,"Completed Behind Schedule")</f>
        <v>0</v>
      </c>
      <c r="D83" s="209">
        <f>C83/C89</f>
        <v>0</v>
      </c>
      <c r="E83" s="422">
        <f>D83+D84</f>
        <v>0.05</v>
      </c>
      <c r="F83" s="210">
        <f>C83/C90</f>
        <v>0</v>
      </c>
      <c r="G83" s="423">
        <f>F83+F84</f>
        <v>5.2631578947368418E-2</v>
      </c>
      <c r="I83" s="211" t="s">
        <v>27</v>
      </c>
      <c r="J83" s="208">
        <f>COUNTIFS('1. All Data'!$AB$3:$AB$136,"Regeneration and Development",'1. All Data'!$M$3:$M$136,"Completed Behind Schedule")</f>
        <v>0</v>
      </c>
      <c r="K83" s="209" t="e">
        <f>J83/J89</f>
        <v>#DIV/0!</v>
      </c>
      <c r="L83" s="422" t="e">
        <f>K83+K84</f>
        <v>#DIV/0!</v>
      </c>
      <c r="M83" s="210" t="e">
        <f>J83/J90</f>
        <v>#DIV/0!</v>
      </c>
      <c r="N83" s="423" t="e">
        <f>M83+M84</f>
        <v>#DIV/0!</v>
      </c>
      <c r="P83" s="211" t="s">
        <v>27</v>
      </c>
      <c r="Q83" s="208">
        <f>COUNTIFS('1. All Data'!$AB$3:$AB$136,"Regeneration and Development",'1. All Data'!$R$3:$R$136,"Completed Behind Schedule")</f>
        <v>0</v>
      </c>
      <c r="R83" s="209" t="e">
        <f>Q83/Q89</f>
        <v>#DIV/0!</v>
      </c>
      <c r="S83" s="422" t="e">
        <f>R83+R84</f>
        <v>#DIV/0!</v>
      </c>
      <c r="T83" s="210" t="e">
        <f>Q83/Q90</f>
        <v>#DIV/0!</v>
      </c>
      <c r="U83" s="423" t="e">
        <f>T83+T84</f>
        <v>#DIV/0!</v>
      </c>
      <c r="W83" s="171" t="s">
        <v>21</v>
      </c>
      <c r="X83" s="208">
        <f>COUNTIFS('1. All Data'!$AB$3:$AB$136,"Regeneration and Development",'1. All Data'!$V$3:$V$136,"Completed Significantly After Target Deadline")</f>
        <v>0</v>
      </c>
      <c r="Y83" s="209" t="e">
        <f>X83/X89</f>
        <v>#DIV/0!</v>
      </c>
      <c r="Z83" s="422" t="e">
        <f>Y83+Y84</f>
        <v>#DIV/0!</v>
      </c>
      <c r="AA83" s="168" t="e">
        <f>X83/X90</f>
        <v>#DIV/0!</v>
      </c>
      <c r="AB83" s="402" t="e">
        <f>AA83+AA84</f>
        <v>#DIV/0!</v>
      </c>
      <c r="AC83" s="166"/>
    </row>
    <row r="84" spans="2:29" ht="22.5" customHeight="1">
      <c r="B84" s="211" t="s">
        <v>20</v>
      </c>
      <c r="C84" s="208">
        <f>COUNTIFS('1. All Data'!$AB$3:$AB$136,"Regeneration and Development",'1. All Data'!$H$3:$H$136,"Off Target")</f>
        <v>1</v>
      </c>
      <c r="D84" s="209">
        <f>C84/C89</f>
        <v>0.05</v>
      </c>
      <c r="E84" s="422"/>
      <c r="F84" s="210">
        <f>C84/C90</f>
        <v>5.2631578947368418E-2</v>
      </c>
      <c r="G84" s="423"/>
      <c r="I84" s="211" t="s">
        <v>20</v>
      </c>
      <c r="J84" s="208">
        <f>COUNTIFS('1. All Data'!$AB$3:$AB$136,"Regeneration and Development",'1. All Data'!$M$3:$M$136,"Off Target")</f>
        <v>0</v>
      </c>
      <c r="K84" s="209" t="e">
        <f>J84/J89</f>
        <v>#DIV/0!</v>
      </c>
      <c r="L84" s="422"/>
      <c r="M84" s="210" t="e">
        <f>J84/J90</f>
        <v>#DIV/0!</v>
      </c>
      <c r="N84" s="423"/>
      <c r="P84" s="211" t="s">
        <v>20</v>
      </c>
      <c r="Q84" s="208">
        <f>COUNTIFS('1. All Data'!$AB$3:$AB$136,"Regeneration and Development",'1. All Data'!$R$3:$R$136,"Off Target")</f>
        <v>0</v>
      </c>
      <c r="R84" s="209" t="e">
        <f>Q84/Q89</f>
        <v>#DIV/0!</v>
      </c>
      <c r="S84" s="422"/>
      <c r="T84" s="210" t="e">
        <f>Q84/Q90</f>
        <v>#DIV/0!</v>
      </c>
      <c r="U84" s="423"/>
      <c r="W84" s="171" t="s">
        <v>20</v>
      </c>
      <c r="X84" s="208">
        <f>COUNTIFS('1. All Data'!$AB$3:$AB$136,"Regeneration and Development",'1. All Data'!$V$3:$V$136,"Off Target")</f>
        <v>0</v>
      </c>
      <c r="Y84" s="209" t="e">
        <f>X84/X89</f>
        <v>#DIV/0!</v>
      </c>
      <c r="Z84" s="422"/>
      <c r="AA84" s="168" t="e">
        <f>X84/X90</f>
        <v>#DIV/0!</v>
      </c>
      <c r="AB84" s="402"/>
      <c r="AC84" s="166"/>
    </row>
    <row r="85" spans="2:29" ht="15.75" customHeight="1">
      <c r="B85" s="212" t="s">
        <v>43</v>
      </c>
      <c r="C85" s="208">
        <f>COUNTIFS('1. All Data'!$AB$3:$AB$136,"Regeneration and Development",'1. All Data'!$H$3:$H$136,"Not yet due")</f>
        <v>1</v>
      </c>
      <c r="D85" s="213">
        <f>C85/C89</f>
        <v>0.05</v>
      </c>
      <c r="E85" s="213">
        <f>D85</f>
        <v>0.05</v>
      </c>
      <c r="F85" s="214"/>
      <c r="G85" s="58"/>
      <c r="I85" s="212" t="s">
        <v>43</v>
      </c>
      <c r="J85" s="208">
        <f>COUNTIFS('1. All Data'!$AB$3:$AB$136,"Regeneration and Development",'1. All Data'!$M$3:$M$136,"Not yet due")</f>
        <v>0</v>
      </c>
      <c r="K85" s="213" t="e">
        <f>J85/J89</f>
        <v>#DIV/0!</v>
      </c>
      <c r="L85" s="213" t="e">
        <f>K85</f>
        <v>#DIV/0!</v>
      </c>
      <c r="M85" s="214"/>
      <c r="N85" s="58"/>
      <c r="P85" s="212" t="s">
        <v>43</v>
      </c>
      <c r="Q85" s="208">
        <f>COUNTIFS('1. All Data'!$AB$3:$AB$136,"Regeneration and Development",'1. All Data'!$R$3:$R$136,"Not yet due")</f>
        <v>0</v>
      </c>
      <c r="R85" s="213" t="e">
        <f>Q85/Q89</f>
        <v>#DIV/0!</v>
      </c>
      <c r="S85" s="213" t="e">
        <f>R85</f>
        <v>#DIV/0!</v>
      </c>
      <c r="T85" s="214"/>
      <c r="U85" s="58"/>
      <c r="W85" s="172" t="s">
        <v>43</v>
      </c>
      <c r="X85" s="208">
        <f>COUNTIFS('1. All Data'!$AB$3:$AB$136,"Regeneration and Development",'1. All Data'!$V$3:$V$136,"Not yet due")</f>
        <v>0</v>
      </c>
      <c r="Y85" s="213" t="e">
        <f>X85/X89</f>
        <v>#DIV/0!</v>
      </c>
      <c r="Z85" s="213" t="e">
        <f>Y85</f>
        <v>#DIV/0!</v>
      </c>
      <c r="AA85" s="174"/>
      <c r="AB85" s="58"/>
      <c r="AC85" s="166"/>
    </row>
    <row r="86" spans="2:29" ht="15.75" customHeight="1">
      <c r="B86" s="212" t="s">
        <v>15</v>
      </c>
      <c r="C86" s="208">
        <f>COUNTIFS('1. All Data'!$AB$3:$AB$136,"Regeneration and Development",'1. All Data'!$H$3:$H$136,"Update not provided")</f>
        <v>0</v>
      </c>
      <c r="D86" s="213">
        <f>C86/C89</f>
        <v>0</v>
      </c>
      <c r="E86" s="213">
        <f>D86</f>
        <v>0</v>
      </c>
      <c r="F86" s="214"/>
      <c r="G86" s="2"/>
      <c r="I86" s="212" t="s">
        <v>15</v>
      </c>
      <c r="J86" s="208">
        <f>COUNTIFS('1. All Data'!$AB$3:$AB$136,"Regeneration and Development",'1. All Data'!$M$3:$M$136,"Update not provided")</f>
        <v>0</v>
      </c>
      <c r="K86" s="213" t="e">
        <f>J86/J89</f>
        <v>#DIV/0!</v>
      </c>
      <c r="L86" s="213" t="e">
        <f>K86</f>
        <v>#DIV/0!</v>
      </c>
      <c r="M86" s="214"/>
      <c r="N86" s="2"/>
      <c r="P86" s="212" t="s">
        <v>15</v>
      </c>
      <c r="Q86" s="208">
        <f>COUNTIFS('1. All Data'!$AB$3:$AB$136,"Regeneration and Development",'1. All Data'!$R$3:$R$136,"Update not provided")</f>
        <v>0</v>
      </c>
      <c r="R86" s="213" t="e">
        <f>Q86/Q89</f>
        <v>#DIV/0!</v>
      </c>
      <c r="S86" s="213" t="e">
        <f>R86</f>
        <v>#DIV/0!</v>
      </c>
      <c r="T86" s="214"/>
      <c r="U86" s="2"/>
      <c r="W86" s="172" t="s">
        <v>15</v>
      </c>
      <c r="X86" s="208">
        <f>COUNTIFS('1. All Data'!$AB$3:$AB$136,"Regeneration and Development",'1. All Data'!$V$3:$V$136,"Update not provided")</f>
        <v>0</v>
      </c>
      <c r="Y86" s="213" t="e">
        <f>X86/X89</f>
        <v>#DIV/0!</v>
      </c>
      <c r="Z86" s="213" t="e">
        <f>Y86</f>
        <v>#DIV/0!</v>
      </c>
      <c r="AA86" s="174"/>
      <c r="AB86" s="2"/>
      <c r="AC86" s="166"/>
    </row>
    <row r="87" spans="2:29" ht="15.75" customHeight="1">
      <c r="B87" s="215" t="s">
        <v>23</v>
      </c>
      <c r="C87" s="208">
        <f>COUNTIFS('1. All Data'!$AB$3:$AB$136,"Regeneration and Development",'1. All Data'!$H$3:$H$136,"Deferred")</f>
        <v>0</v>
      </c>
      <c r="D87" s="216">
        <f>C87/C89</f>
        <v>0</v>
      </c>
      <c r="E87" s="216">
        <f>D87</f>
        <v>0</v>
      </c>
      <c r="F87" s="217"/>
      <c r="G87" s="58"/>
      <c r="I87" s="215" t="s">
        <v>23</v>
      </c>
      <c r="J87" s="208">
        <f>COUNTIFS('1. All Data'!$AB$3:$AB$136,"Regeneration and Development",'1. All Data'!$M$3:$M$136,"Deferred")</f>
        <v>0</v>
      </c>
      <c r="K87" s="216" t="e">
        <f>J87/J89</f>
        <v>#DIV/0!</v>
      </c>
      <c r="L87" s="216" t="e">
        <f>K87</f>
        <v>#DIV/0!</v>
      </c>
      <c r="M87" s="217"/>
      <c r="N87" s="58"/>
      <c r="P87" s="215" t="s">
        <v>23</v>
      </c>
      <c r="Q87" s="208">
        <f>COUNTIFS('1. All Data'!$AB$3:$AB$136,"Regeneration and Development",'1. All Data'!$R$3:$R$136,"Deferred")</f>
        <v>0</v>
      </c>
      <c r="R87" s="216" t="e">
        <f>Q87/Q89</f>
        <v>#DIV/0!</v>
      </c>
      <c r="S87" s="216" t="e">
        <f>R87</f>
        <v>#DIV/0!</v>
      </c>
      <c r="T87" s="217"/>
      <c r="U87" s="58"/>
      <c r="W87" s="175" t="s">
        <v>23</v>
      </c>
      <c r="X87" s="208">
        <f>COUNTIFS('1. All Data'!$AB$3:$AB$136,"Regeneration and Development",'1. All Data'!$V$3:$V$136,"Deferred")</f>
        <v>0</v>
      </c>
      <c r="Y87" s="216" t="e">
        <f>X87/X89</f>
        <v>#DIV/0!</v>
      </c>
      <c r="Z87" s="216" t="e">
        <f>Y87</f>
        <v>#DIV/0!</v>
      </c>
      <c r="AA87" s="177"/>
      <c r="AB87" s="58"/>
      <c r="AC87" s="166"/>
    </row>
    <row r="88" spans="2:29" ht="15.75" customHeight="1">
      <c r="B88" s="215" t="s">
        <v>24</v>
      </c>
      <c r="C88" s="208">
        <f>COUNTIFS('1. All Data'!$AB$3:$AB$136,"Regeneration and Development",'1. All Data'!$H$3:$H$136,"Deleted")</f>
        <v>0</v>
      </c>
      <c r="D88" s="216">
        <f>C88/C89</f>
        <v>0</v>
      </c>
      <c r="E88" s="216">
        <f>D88</f>
        <v>0</v>
      </c>
      <c r="F88" s="217"/>
      <c r="G88" s="29"/>
      <c r="I88" s="215" t="s">
        <v>24</v>
      </c>
      <c r="J88" s="208">
        <f>COUNTIFS('1. All Data'!$AB$3:$AB$136,"Regeneration and Development",'1. All Data'!$M$3:$M$136,"Deleted")</f>
        <v>0</v>
      </c>
      <c r="K88" s="216" t="e">
        <f>J88/J89</f>
        <v>#DIV/0!</v>
      </c>
      <c r="L88" s="216" t="e">
        <f>K88</f>
        <v>#DIV/0!</v>
      </c>
      <c r="M88" s="217"/>
      <c r="N88" s="29"/>
      <c r="P88" s="215" t="s">
        <v>24</v>
      </c>
      <c r="Q88" s="208">
        <f>COUNTIFS('1. All Data'!$AB$3:$AB$136,"Regeneration and Development",'1. All Data'!$R$3:$R$136,"Deleted")</f>
        <v>0</v>
      </c>
      <c r="R88" s="216" t="e">
        <f>Q88/Q89</f>
        <v>#DIV/0!</v>
      </c>
      <c r="S88" s="216" t="e">
        <f>R88</f>
        <v>#DIV/0!</v>
      </c>
      <c r="T88" s="217"/>
      <c r="U88" s="29"/>
      <c r="W88" s="175" t="s">
        <v>24</v>
      </c>
      <c r="X88" s="208">
        <f>COUNTIFS('1. All Data'!$AB$3:$AB$136,"Regeneration and Development",'1. All Data'!$V$3:$V$136,"Deleted")</f>
        <v>0</v>
      </c>
      <c r="Y88" s="216" t="e">
        <f>X88/X89</f>
        <v>#DIV/0!</v>
      </c>
      <c r="Z88" s="216" t="e">
        <f>Y88</f>
        <v>#DIV/0!</v>
      </c>
      <c r="AA88" s="177"/>
      <c r="AB88" s="3"/>
      <c r="AC88" s="166"/>
    </row>
    <row r="89" spans="2:29" ht="15.75" customHeight="1">
      <c r="B89" s="218" t="s">
        <v>45</v>
      </c>
      <c r="C89" s="219">
        <f>SUM(C78:C88)</f>
        <v>20</v>
      </c>
      <c r="D89" s="177"/>
      <c r="E89" s="177"/>
      <c r="F89" s="220"/>
      <c r="G89" s="58"/>
      <c r="I89" s="218" t="s">
        <v>45</v>
      </c>
      <c r="J89" s="219">
        <f>SUM(J78:J88)</f>
        <v>0</v>
      </c>
      <c r="K89" s="177"/>
      <c r="L89" s="177"/>
      <c r="M89" s="220"/>
      <c r="N89" s="58"/>
      <c r="P89" s="218" t="s">
        <v>45</v>
      </c>
      <c r="Q89" s="219">
        <f>SUM(Q78:Q88)</f>
        <v>0</v>
      </c>
      <c r="R89" s="177"/>
      <c r="S89" s="177"/>
      <c r="T89" s="220"/>
      <c r="U89" s="58"/>
      <c r="W89" s="178" t="s">
        <v>45</v>
      </c>
      <c r="X89" s="219">
        <f>SUM(X78:X88)</f>
        <v>0</v>
      </c>
      <c r="Y89" s="177"/>
      <c r="Z89" s="177"/>
      <c r="AA89" s="58"/>
      <c r="AB89" s="58"/>
      <c r="AC89" s="166"/>
    </row>
    <row r="90" spans="2:29" ht="15.75" customHeight="1">
      <c r="B90" s="218" t="s">
        <v>46</v>
      </c>
      <c r="C90" s="219">
        <f>C89-C88-C87-C86-C85</f>
        <v>19</v>
      </c>
      <c r="D90" s="58"/>
      <c r="E90" s="58"/>
      <c r="F90" s="220"/>
      <c r="G90" s="58"/>
      <c r="I90" s="218" t="s">
        <v>46</v>
      </c>
      <c r="J90" s="219">
        <f>J89-J88-J87-J86-J85</f>
        <v>0</v>
      </c>
      <c r="K90" s="58"/>
      <c r="L90" s="58"/>
      <c r="M90" s="220"/>
      <c r="N90" s="58"/>
      <c r="P90" s="218" t="s">
        <v>46</v>
      </c>
      <c r="Q90" s="219">
        <f>Q89-Q88-Q87-Q86-Q85</f>
        <v>0</v>
      </c>
      <c r="R90" s="58"/>
      <c r="S90" s="58"/>
      <c r="T90" s="220"/>
      <c r="U90" s="58"/>
      <c r="W90" s="178" t="s">
        <v>46</v>
      </c>
      <c r="X90" s="219">
        <f>X89-X88-X87-X86-X85</f>
        <v>0</v>
      </c>
      <c r="Y90" s="58"/>
      <c r="Z90" s="58"/>
      <c r="AA90" s="58"/>
      <c r="AB90" s="58"/>
      <c r="AC90" s="166"/>
    </row>
    <row r="91" spans="2:29" ht="15.75" customHeight="1">
      <c r="W91" s="180"/>
      <c r="AA91" s="2"/>
      <c r="AC91" s="166"/>
    </row>
    <row r="92" spans="2:29" ht="15.75" customHeight="1">
      <c r="W92" s="165"/>
      <c r="X92" s="165"/>
      <c r="Y92" s="165"/>
      <c r="Z92" s="165"/>
      <c r="AA92" s="165"/>
      <c r="AB92" s="186"/>
      <c r="AC92" s="166"/>
    </row>
    <row r="93" spans="2:29" ht="15.75" customHeight="1">
      <c r="W93" s="165"/>
      <c r="X93" s="165"/>
      <c r="Y93" s="165"/>
      <c r="Z93" s="165"/>
      <c r="AA93" s="165"/>
      <c r="AB93" s="186"/>
      <c r="AC93" s="166"/>
    </row>
    <row r="94" spans="2:29" ht="15.6">
      <c r="B94" s="225" t="s">
        <v>94</v>
      </c>
      <c r="C94" s="204"/>
      <c r="D94" s="204"/>
      <c r="E94" s="204"/>
      <c r="F94" s="205"/>
      <c r="G94" s="204"/>
      <c r="I94" s="225" t="s">
        <v>94</v>
      </c>
      <c r="J94" s="204"/>
      <c r="K94" s="204"/>
      <c r="L94" s="204"/>
      <c r="M94" s="205"/>
      <c r="N94" s="204"/>
      <c r="O94" s="166"/>
      <c r="P94" s="225" t="s">
        <v>94</v>
      </c>
      <c r="Q94" s="204"/>
      <c r="R94" s="204"/>
      <c r="S94" s="204"/>
      <c r="T94" s="205"/>
      <c r="U94" s="204"/>
      <c r="V94" s="166"/>
      <c r="W94" s="225" t="s">
        <v>94</v>
      </c>
      <c r="X94" s="204"/>
      <c r="Y94" s="204"/>
      <c r="Z94" s="204"/>
      <c r="AA94" s="205"/>
      <c r="AB94" s="204"/>
      <c r="AC94" s="166"/>
    </row>
    <row r="95" spans="2:29" ht="31.2">
      <c r="B95" s="206" t="s">
        <v>36</v>
      </c>
      <c r="C95" s="207" t="s">
        <v>37</v>
      </c>
      <c r="D95" s="207" t="s">
        <v>38</v>
      </c>
      <c r="E95" s="207" t="s">
        <v>39</v>
      </c>
      <c r="F95" s="206" t="s">
        <v>40</v>
      </c>
      <c r="G95" s="207" t="s">
        <v>41</v>
      </c>
      <c r="I95" s="206" t="s">
        <v>36</v>
      </c>
      <c r="J95" s="207" t="s">
        <v>37</v>
      </c>
      <c r="K95" s="207" t="s">
        <v>38</v>
      </c>
      <c r="L95" s="207" t="s">
        <v>39</v>
      </c>
      <c r="M95" s="206" t="s">
        <v>40</v>
      </c>
      <c r="N95" s="207" t="s">
        <v>41</v>
      </c>
      <c r="P95" s="206" t="s">
        <v>36</v>
      </c>
      <c r="Q95" s="207" t="s">
        <v>37</v>
      </c>
      <c r="R95" s="207" t="s">
        <v>38</v>
      </c>
      <c r="S95" s="207" t="s">
        <v>39</v>
      </c>
      <c r="T95" s="206" t="s">
        <v>40</v>
      </c>
      <c r="U95" s="207" t="s">
        <v>41</v>
      </c>
      <c r="W95" s="164" t="s">
        <v>36</v>
      </c>
      <c r="X95" s="164" t="s">
        <v>37</v>
      </c>
      <c r="Y95" s="164" t="s">
        <v>38</v>
      </c>
      <c r="Z95" s="164" t="s">
        <v>39</v>
      </c>
      <c r="AA95" s="164" t="s">
        <v>40</v>
      </c>
      <c r="AB95" s="164" t="s">
        <v>41</v>
      </c>
      <c r="AC95" s="166"/>
    </row>
    <row r="96" spans="2:29" ht="15.6">
      <c r="B96" s="228" t="s">
        <v>42</v>
      </c>
      <c r="C96" s="208">
        <f>COUNTIFS('1. All Data'!$AB$3:$AB$136,"Tourism and Cultural Development",'1. All Data'!$H$3:$H$136,"Fully Achieved")</f>
        <v>1</v>
      </c>
      <c r="D96" s="279">
        <f>C96/C107</f>
        <v>7.1428571428571425E-2</v>
      </c>
      <c r="E96" s="422">
        <f>D96+D97</f>
        <v>0.92857142857142849</v>
      </c>
      <c r="F96" s="210">
        <f>C96/C108</f>
        <v>7.1428571428571425E-2</v>
      </c>
      <c r="G96" s="424">
        <f>F96+F97</f>
        <v>0.92857142857142849</v>
      </c>
      <c r="I96" s="228" t="s">
        <v>42</v>
      </c>
      <c r="J96" s="208">
        <f>COUNTIFS('1. All Data'!$AB$3:$AB$136,"Tourism and Cultural Development",'1. All Data'!$M$3:$M$136,"Fully Achieved")</f>
        <v>0</v>
      </c>
      <c r="K96" s="279" t="e">
        <f>J96/J107</f>
        <v>#DIV/0!</v>
      </c>
      <c r="L96" s="422" t="e">
        <f>K96+K97</f>
        <v>#DIV/0!</v>
      </c>
      <c r="M96" s="210" t="e">
        <f>J96/J108</f>
        <v>#DIV/0!</v>
      </c>
      <c r="N96" s="424" t="e">
        <f>M96+M97</f>
        <v>#DIV/0!</v>
      </c>
      <c r="P96" s="228" t="s">
        <v>42</v>
      </c>
      <c r="Q96" s="208">
        <f>COUNTIFS('1. All Data'!$AB$3:$AB$136,"Tourism and Cultural Development",'1. All Data'!$R$3:$R$136,"Fully Achieved")</f>
        <v>0</v>
      </c>
      <c r="R96" s="279" t="e">
        <f>Q96/Q107</f>
        <v>#DIV/0!</v>
      </c>
      <c r="S96" s="422" t="e">
        <f>R96+R97</f>
        <v>#DIV/0!</v>
      </c>
      <c r="T96" s="210" t="e">
        <f>Q96/Q108</f>
        <v>#DIV/0!</v>
      </c>
      <c r="U96" s="424" t="e">
        <f>T96+T97</f>
        <v>#DIV/0!</v>
      </c>
      <c r="W96" s="228" t="s">
        <v>42</v>
      </c>
      <c r="X96" s="208">
        <f>COUNTIFS('1. All Data'!$AB$3:$AB$136,"Tourism and Cultural Development",'1. All Data'!$V$3:$V$136,"Fully Achieved")</f>
        <v>0</v>
      </c>
      <c r="Y96" s="279" t="e">
        <f>X96/X107</f>
        <v>#DIV/0!</v>
      </c>
      <c r="Z96" s="422" t="e">
        <f>Y96+Y97</f>
        <v>#DIV/0!</v>
      </c>
      <c r="AA96" s="279" t="e">
        <f>X96/X108</f>
        <v>#DIV/0!</v>
      </c>
      <c r="AB96" s="403" t="e">
        <f>AA96+AA97</f>
        <v>#DIV/0!</v>
      </c>
      <c r="AC96" s="166"/>
    </row>
    <row r="97" spans="2:29" ht="15.6">
      <c r="B97" s="228" t="s">
        <v>25</v>
      </c>
      <c r="C97" s="208">
        <f>COUNTIFS('1. All Data'!$AB$3:$AB$136,"Tourism and Cultural Development",'1. All Data'!$H$3:$H$136,"On Track to be Achieved")</f>
        <v>12</v>
      </c>
      <c r="D97" s="279">
        <f>C97/C107</f>
        <v>0.8571428571428571</v>
      </c>
      <c r="E97" s="422"/>
      <c r="F97" s="210">
        <f>C97/C108</f>
        <v>0.8571428571428571</v>
      </c>
      <c r="G97" s="424"/>
      <c r="I97" s="228" t="s">
        <v>25</v>
      </c>
      <c r="J97" s="208">
        <f>COUNTIFS('1. All Data'!$AB$3:$AB$136,"Tourism and Cultural Development",'1. All Data'!$M$3:$M$136,"On Track to be Achieved")</f>
        <v>0</v>
      </c>
      <c r="K97" s="279" t="e">
        <f>J97/J107</f>
        <v>#DIV/0!</v>
      </c>
      <c r="L97" s="422"/>
      <c r="M97" s="210" t="e">
        <f>J97/J108</f>
        <v>#DIV/0!</v>
      </c>
      <c r="N97" s="424"/>
      <c r="P97" s="228" t="s">
        <v>25</v>
      </c>
      <c r="Q97" s="208">
        <f>COUNTIFS('1. All Data'!$AB$3:$AB$136,"Tourism and Cultural Development",'1. All Data'!$R$3:$R$136,"On Track to be Achieved")</f>
        <v>0</v>
      </c>
      <c r="R97" s="279" t="e">
        <f>Q97/Q107</f>
        <v>#DIV/0!</v>
      </c>
      <c r="S97" s="422"/>
      <c r="T97" s="210" t="e">
        <f>Q97/Q108</f>
        <v>#DIV/0!</v>
      </c>
      <c r="U97" s="424"/>
      <c r="W97" s="228" t="s">
        <v>17</v>
      </c>
      <c r="X97" s="208">
        <f>COUNTIFS('1. All Data'!$AB$3:$AB$136,"Tourism and Cultural Development",'1. All Data'!$V$3:$V$136,"Numerical Outturn Within 5% Tolerance")</f>
        <v>0</v>
      </c>
      <c r="Y97" s="279" t="e">
        <f>X97/X107</f>
        <v>#DIV/0!</v>
      </c>
      <c r="Z97" s="422"/>
      <c r="AA97" s="279" t="e">
        <f>X97/X108</f>
        <v>#DIV/0!</v>
      </c>
      <c r="AB97" s="403"/>
      <c r="AC97" s="166"/>
    </row>
    <row r="98" spans="2:29" ht="15.6">
      <c r="B98" s="434" t="s">
        <v>26</v>
      </c>
      <c r="C98" s="437">
        <f>COUNTIFS('1. All Data'!$AB$3:$AB$136,"Tourism and Cultural Development",'1. All Data'!$H$3:$H$136,"In Danger of Falling Behind Target")</f>
        <v>0</v>
      </c>
      <c r="D98" s="425">
        <f>C98/C107</f>
        <v>0</v>
      </c>
      <c r="E98" s="425">
        <f>D98</f>
        <v>0</v>
      </c>
      <c r="F98" s="428">
        <f>C98/C108</f>
        <v>0</v>
      </c>
      <c r="G98" s="431">
        <f>F98</f>
        <v>0</v>
      </c>
      <c r="I98" s="434" t="s">
        <v>26</v>
      </c>
      <c r="J98" s="437">
        <f>COUNTIFS('1. All Data'!$AB$3:$AB$136,"Tourism and Cultural Development",'1. All Data'!$M$3:$M$136,"In Danger of Falling Behind Target")</f>
        <v>0</v>
      </c>
      <c r="K98" s="425" t="e">
        <f>J98/J107</f>
        <v>#DIV/0!</v>
      </c>
      <c r="L98" s="425" t="e">
        <f>K98</f>
        <v>#DIV/0!</v>
      </c>
      <c r="M98" s="428" t="e">
        <f>J98/J108</f>
        <v>#DIV/0!</v>
      </c>
      <c r="N98" s="431" t="e">
        <f>M98</f>
        <v>#DIV/0!</v>
      </c>
      <c r="P98" s="434" t="s">
        <v>26</v>
      </c>
      <c r="Q98" s="437">
        <f>COUNTIFS('1. All Data'!$AB$3:$AB$136,"Tourism and Cultural Development",'1. All Data'!$R$3:$R$136,"In Danger of Falling Behind Target")</f>
        <v>0</v>
      </c>
      <c r="R98" s="425" t="e">
        <f>Q98/Q107</f>
        <v>#DIV/0!</v>
      </c>
      <c r="S98" s="425" t="e">
        <f>R98</f>
        <v>#DIV/0!</v>
      </c>
      <c r="T98" s="428" t="e">
        <f>Q98/Q108</f>
        <v>#DIV/0!</v>
      </c>
      <c r="U98" s="431" t="e">
        <f>T98</f>
        <v>#DIV/0!</v>
      </c>
      <c r="W98" s="169" t="s">
        <v>18</v>
      </c>
      <c r="X98" s="170">
        <f>COUNTIFS('1. All Data'!$AB$3:$AB$136,"Tourism and Cultural Development",'1. All Data'!$V$3:$V$136,"Numerical Outturn Within 10% Tolerance")</f>
        <v>0</v>
      </c>
      <c r="Y98" s="278" t="e">
        <f>X98/X107</f>
        <v>#DIV/0!</v>
      </c>
      <c r="Z98" s="401" t="e">
        <f>SUM(Y98:Y100)</f>
        <v>#DIV/0!</v>
      </c>
      <c r="AA98" s="278" t="e">
        <f>X98/X108</f>
        <v>#DIV/0!</v>
      </c>
      <c r="AB98" s="410" t="e">
        <f>SUM(AA98:AA100)</f>
        <v>#DIV/0!</v>
      </c>
      <c r="AC98" s="166"/>
    </row>
    <row r="99" spans="2:29" ht="15.6">
      <c r="B99" s="435"/>
      <c r="C99" s="438"/>
      <c r="D99" s="426"/>
      <c r="E99" s="426"/>
      <c r="F99" s="429"/>
      <c r="G99" s="432"/>
      <c r="I99" s="435"/>
      <c r="J99" s="438"/>
      <c r="K99" s="426"/>
      <c r="L99" s="426"/>
      <c r="M99" s="429"/>
      <c r="N99" s="432"/>
      <c r="P99" s="435"/>
      <c r="Q99" s="438"/>
      <c r="R99" s="426"/>
      <c r="S99" s="426"/>
      <c r="T99" s="429"/>
      <c r="U99" s="432"/>
      <c r="W99" s="169" t="s">
        <v>19</v>
      </c>
      <c r="X99" s="170">
        <f>COUNTIFS('1. All Data'!$AB$3:$AB$136,"Tourism and Cultural Development",'1. All Data'!$V$3:$V$136,"Target Partially Met")</f>
        <v>0</v>
      </c>
      <c r="Y99" s="278" t="e">
        <f>X99/X107</f>
        <v>#DIV/0!</v>
      </c>
      <c r="Z99" s="401"/>
      <c r="AA99" s="278" t="e">
        <f>X99/X108</f>
        <v>#DIV/0!</v>
      </c>
      <c r="AB99" s="410"/>
      <c r="AC99" s="166"/>
    </row>
    <row r="100" spans="2:29" ht="15.6">
      <c r="B100" s="436"/>
      <c r="C100" s="439"/>
      <c r="D100" s="427"/>
      <c r="E100" s="427"/>
      <c r="F100" s="430"/>
      <c r="G100" s="433"/>
      <c r="I100" s="436"/>
      <c r="J100" s="439"/>
      <c r="K100" s="427"/>
      <c r="L100" s="427"/>
      <c r="M100" s="430"/>
      <c r="N100" s="433"/>
      <c r="P100" s="436"/>
      <c r="Q100" s="439"/>
      <c r="R100" s="427"/>
      <c r="S100" s="427"/>
      <c r="T100" s="430"/>
      <c r="U100" s="433"/>
      <c r="W100" s="169" t="s">
        <v>22</v>
      </c>
      <c r="X100" s="170">
        <f>COUNTIFS('1. All Data'!$AB$3:$AB$136,"Tourism and Cultural Development",'1. All Data'!$V$3:$V$136,"Completion Date Within Reasonable Tolerance")</f>
        <v>0</v>
      </c>
      <c r="Y100" s="278" t="e">
        <f>X100/X107</f>
        <v>#DIV/0!</v>
      </c>
      <c r="Z100" s="401"/>
      <c r="AA100" s="278" t="e">
        <f>X100/X108</f>
        <v>#DIV/0!</v>
      </c>
      <c r="AB100" s="410"/>
      <c r="AC100" s="166"/>
    </row>
    <row r="101" spans="2:29" ht="15.6">
      <c r="B101" s="211" t="s">
        <v>27</v>
      </c>
      <c r="C101" s="208">
        <f>COUNTIFS('1. All Data'!$AB$3:$AB$136,"Tourism and Cultural Development",'1. All Data'!$H$3:$H$136,"Completed Behind Schedule")</f>
        <v>0</v>
      </c>
      <c r="D101" s="279">
        <f>C101/C107</f>
        <v>0</v>
      </c>
      <c r="E101" s="422">
        <f>D101+D102</f>
        <v>7.1428571428571425E-2</v>
      </c>
      <c r="F101" s="210">
        <f>C101/C108</f>
        <v>0</v>
      </c>
      <c r="G101" s="423">
        <f>F101+F102</f>
        <v>7.1428571428571425E-2</v>
      </c>
      <c r="I101" s="211" t="s">
        <v>27</v>
      </c>
      <c r="J101" s="208">
        <f>COUNTIFS('1. All Data'!$AB$3:$AB$136,"Tourism and Cultural Development",'1. All Data'!$M$3:$M$136,"Completed Behind Schedule")</f>
        <v>0</v>
      </c>
      <c r="K101" s="279" t="e">
        <f>J101/J107</f>
        <v>#DIV/0!</v>
      </c>
      <c r="L101" s="422" t="e">
        <f>K101+K102</f>
        <v>#DIV/0!</v>
      </c>
      <c r="M101" s="210" t="e">
        <f>J101/J108</f>
        <v>#DIV/0!</v>
      </c>
      <c r="N101" s="423" t="e">
        <f>M101+M102</f>
        <v>#DIV/0!</v>
      </c>
      <c r="P101" s="211" t="s">
        <v>27</v>
      </c>
      <c r="Q101" s="208">
        <f>COUNTIFS('1. All Data'!$AB$3:$AB$136,"Tourism and Cultural Development",'1. All Data'!$R$3:$R$136,"Completed Behind Schedule")</f>
        <v>0</v>
      </c>
      <c r="R101" s="279" t="e">
        <f>Q101/Q107</f>
        <v>#DIV/0!</v>
      </c>
      <c r="S101" s="422" t="e">
        <f>R101+R102</f>
        <v>#DIV/0!</v>
      </c>
      <c r="T101" s="210" t="e">
        <f>Q101/Q108</f>
        <v>#DIV/0!</v>
      </c>
      <c r="U101" s="423" t="e">
        <f>T101+T102</f>
        <v>#DIV/0!</v>
      </c>
      <c r="W101" s="171" t="s">
        <v>21</v>
      </c>
      <c r="X101" s="208">
        <f>COUNTIFS('1. All Data'!$AB$3:$AB$136,"Tourism and Cultural Development",'1. All Data'!$V$3:$V$136,"Completed Significantly After Target Deadline")</f>
        <v>0</v>
      </c>
      <c r="Y101" s="279" t="e">
        <f>X101/X107</f>
        <v>#DIV/0!</v>
      </c>
      <c r="Z101" s="422" t="e">
        <f>Y101+Y102</f>
        <v>#DIV/0!</v>
      </c>
      <c r="AA101" s="278" t="e">
        <f>X101/X108</f>
        <v>#DIV/0!</v>
      </c>
      <c r="AB101" s="402" t="e">
        <f>AA101+AA102</f>
        <v>#DIV/0!</v>
      </c>
      <c r="AC101" s="166"/>
    </row>
    <row r="102" spans="2:29" ht="15.6">
      <c r="B102" s="211" t="s">
        <v>20</v>
      </c>
      <c r="C102" s="208">
        <f>COUNTIFS('1. All Data'!$AB$3:$AB$136,"Tourism and Cultural Development",'1. All Data'!$H$3:$H$136,"Off Target")</f>
        <v>1</v>
      </c>
      <c r="D102" s="279">
        <f>C102/C107</f>
        <v>7.1428571428571425E-2</v>
      </c>
      <c r="E102" s="422"/>
      <c r="F102" s="210">
        <f>C102/C108</f>
        <v>7.1428571428571425E-2</v>
      </c>
      <c r="G102" s="423"/>
      <c r="I102" s="211" t="s">
        <v>20</v>
      </c>
      <c r="J102" s="208">
        <f>COUNTIFS('1. All Data'!$AB$3:$AB$136,"Tourism and Cultural Development",'1. All Data'!$M$3:$M$136,"Off Target")</f>
        <v>0</v>
      </c>
      <c r="K102" s="279" t="e">
        <f>J102/J107</f>
        <v>#DIV/0!</v>
      </c>
      <c r="L102" s="422"/>
      <c r="M102" s="210" t="e">
        <f>J102/J108</f>
        <v>#DIV/0!</v>
      </c>
      <c r="N102" s="423"/>
      <c r="P102" s="211" t="s">
        <v>20</v>
      </c>
      <c r="Q102" s="208">
        <f>COUNTIFS('1. All Data'!$AB$3:$AB$136,"Tourism and Cultural Development",'1. All Data'!$R$3:$R$136,"Off Target")</f>
        <v>0</v>
      </c>
      <c r="R102" s="279" t="e">
        <f>Q102/Q107</f>
        <v>#DIV/0!</v>
      </c>
      <c r="S102" s="422"/>
      <c r="T102" s="210" t="e">
        <f>Q102/Q108</f>
        <v>#DIV/0!</v>
      </c>
      <c r="U102" s="423"/>
      <c r="W102" s="171" t="s">
        <v>20</v>
      </c>
      <c r="X102" s="208">
        <f>COUNTIFS('1. All Data'!$AB$3:$AB$136,"Tourism and Cultural Development",'1. All Data'!$V$3:$V$136,"Off Target")</f>
        <v>0</v>
      </c>
      <c r="Y102" s="279" t="e">
        <f>X102/X107</f>
        <v>#DIV/0!</v>
      </c>
      <c r="Z102" s="422"/>
      <c r="AA102" s="278" t="e">
        <f>X102/X108</f>
        <v>#DIV/0!</v>
      </c>
      <c r="AB102" s="402"/>
      <c r="AC102" s="166"/>
    </row>
    <row r="103" spans="2:29" ht="15.6">
      <c r="B103" s="212" t="s">
        <v>43</v>
      </c>
      <c r="C103" s="208">
        <f>COUNTIFS('1. All Data'!$AB$3:$AB$136,"Tourism and Cultural Development",'1. All Data'!$H$3:$H$136,"Not yet due")</f>
        <v>0</v>
      </c>
      <c r="D103" s="213">
        <f>C103/C107</f>
        <v>0</v>
      </c>
      <c r="E103" s="213">
        <f>D103</f>
        <v>0</v>
      </c>
      <c r="F103" s="214"/>
      <c r="G103" s="58"/>
      <c r="I103" s="212" t="s">
        <v>43</v>
      </c>
      <c r="J103" s="208">
        <f>COUNTIFS('1. All Data'!$AB$3:$AB$136,"Tourism and Cultural Development",'1. All Data'!$M$3:$M$136,"Not yet due")</f>
        <v>0</v>
      </c>
      <c r="K103" s="213" t="e">
        <f>J103/J107</f>
        <v>#DIV/0!</v>
      </c>
      <c r="L103" s="213" t="e">
        <f>K103</f>
        <v>#DIV/0!</v>
      </c>
      <c r="M103" s="214"/>
      <c r="N103" s="58"/>
      <c r="P103" s="212" t="s">
        <v>43</v>
      </c>
      <c r="Q103" s="208">
        <f>COUNTIFS('1. All Data'!$AB$3:$AB$136,"Tourism and Cultural Development",'1. All Data'!$R$3:$R$136,"Not yet due")</f>
        <v>0</v>
      </c>
      <c r="R103" s="213" t="e">
        <f>Q103/Q107</f>
        <v>#DIV/0!</v>
      </c>
      <c r="S103" s="213" t="e">
        <f>R103</f>
        <v>#DIV/0!</v>
      </c>
      <c r="T103" s="214"/>
      <c r="U103" s="58"/>
      <c r="W103" s="172" t="s">
        <v>43</v>
      </c>
      <c r="X103" s="208">
        <f>COUNTIFS('1. All Data'!$AB$3:$AB$136,"Tourism and Cultural Development",'1. All Data'!$V$3:$V$136,"Not yet due")</f>
        <v>0</v>
      </c>
      <c r="Y103" s="213" t="e">
        <f>X103/X107</f>
        <v>#DIV/0!</v>
      </c>
      <c r="Z103" s="213" t="e">
        <f>Y103</f>
        <v>#DIV/0!</v>
      </c>
      <c r="AA103" s="174"/>
      <c r="AB103" s="58"/>
      <c r="AC103" s="166"/>
    </row>
    <row r="104" spans="2:29" ht="15.6">
      <c r="B104" s="212" t="s">
        <v>15</v>
      </c>
      <c r="C104" s="208">
        <f>COUNTIFS('1. All Data'!$AB$3:$AB$136,"Tourism and Cultural Development",'1. All Data'!$H$3:$H$136,"Update not provided")</f>
        <v>0</v>
      </c>
      <c r="D104" s="213">
        <f>C104/C107</f>
        <v>0</v>
      </c>
      <c r="E104" s="213">
        <f>D104</f>
        <v>0</v>
      </c>
      <c r="F104" s="214"/>
      <c r="G104" s="2"/>
      <c r="I104" s="212" t="s">
        <v>15</v>
      </c>
      <c r="J104" s="208">
        <f>COUNTIFS('1. All Data'!$AB$3:$AB$136,"Tourism and Cultural Development",'1. All Data'!$M$3:$M$136,"Update not provided")</f>
        <v>0</v>
      </c>
      <c r="K104" s="213" t="e">
        <f>J104/J107</f>
        <v>#DIV/0!</v>
      </c>
      <c r="L104" s="213" t="e">
        <f>K104</f>
        <v>#DIV/0!</v>
      </c>
      <c r="M104" s="214"/>
      <c r="N104" s="2"/>
      <c r="P104" s="212" t="s">
        <v>15</v>
      </c>
      <c r="Q104" s="208">
        <f>COUNTIFS('1. All Data'!$AB$3:$AB$136,"Tourism and Cultural Development",'1. All Data'!$R$3:$R$136,"Update not provided")</f>
        <v>0</v>
      </c>
      <c r="R104" s="213" t="e">
        <f>Q104/Q107</f>
        <v>#DIV/0!</v>
      </c>
      <c r="S104" s="213" t="e">
        <f>R104</f>
        <v>#DIV/0!</v>
      </c>
      <c r="T104" s="214"/>
      <c r="U104" s="2"/>
      <c r="W104" s="172" t="s">
        <v>15</v>
      </c>
      <c r="X104" s="208">
        <f>COUNTIFS('1. All Data'!$AB$3:$AB$136,"Tourism and Cultural Development",'1. All Data'!$V$3:$V$136,"Update not provided")</f>
        <v>0</v>
      </c>
      <c r="Y104" s="213" t="e">
        <f>X104/X107</f>
        <v>#DIV/0!</v>
      </c>
      <c r="Z104" s="213" t="e">
        <f>Y104</f>
        <v>#DIV/0!</v>
      </c>
      <c r="AA104" s="174"/>
      <c r="AB104" s="2"/>
      <c r="AC104" s="166"/>
    </row>
    <row r="105" spans="2:29" ht="15.6">
      <c r="B105" s="215" t="s">
        <v>23</v>
      </c>
      <c r="C105" s="208">
        <f>COUNTIFS('1. All Data'!$AB$3:$AB$136,"Tourism and Cultural Development",'1. All Data'!$H$3:$H$136,"Deferred")</f>
        <v>0</v>
      </c>
      <c r="D105" s="216">
        <f>C105/C107</f>
        <v>0</v>
      </c>
      <c r="E105" s="216">
        <f>D105</f>
        <v>0</v>
      </c>
      <c r="F105" s="217"/>
      <c r="G105" s="58"/>
      <c r="I105" s="215" t="s">
        <v>23</v>
      </c>
      <c r="J105" s="208">
        <f>COUNTIFS('1. All Data'!$AB$3:$AB$136,"Tourism and Cultural Development",'1. All Data'!$M$3:$M$136,"Deferred")</f>
        <v>0</v>
      </c>
      <c r="K105" s="216" t="e">
        <f>J105/J107</f>
        <v>#DIV/0!</v>
      </c>
      <c r="L105" s="216" t="e">
        <f>K105</f>
        <v>#DIV/0!</v>
      </c>
      <c r="M105" s="217"/>
      <c r="N105" s="58"/>
      <c r="P105" s="215" t="s">
        <v>23</v>
      </c>
      <c r="Q105" s="208">
        <f>COUNTIFS('1. All Data'!$AB$3:$AB$136,"Tourism and Cultural Development",'1. All Data'!$R$3:$R$136,"Deferred")</f>
        <v>0</v>
      </c>
      <c r="R105" s="216" t="e">
        <f>Q105/Q107</f>
        <v>#DIV/0!</v>
      </c>
      <c r="S105" s="216" t="e">
        <f>R105</f>
        <v>#DIV/0!</v>
      </c>
      <c r="T105" s="217"/>
      <c r="U105" s="58"/>
      <c r="W105" s="175" t="s">
        <v>23</v>
      </c>
      <c r="X105" s="208">
        <f>COUNTIFS('1. All Data'!$AB$3:$AB$136,"Tourism and Cultural Development",'1. All Data'!$V$3:$V$136,"Deferred")</f>
        <v>0</v>
      </c>
      <c r="Y105" s="216" t="e">
        <f>X105/X107</f>
        <v>#DIV/0!</v>
      </c>
      <c r="Z105" s="216" t="e">
        <f>Y105</f>
        <v>#DIV/0!</v>
      </c>
      <c r="AA105" s="177"/>
      <c r="AB105" s="58"/>
      <c r="AC105" s="166"/>
    </row>
    <row r="106" spans="2:29" ht="15.6">
      <c r="B106" s="215" t="s">
        <v>24</v>
      </c>
      <c r="C106" s="208">
        <f>COUNTIFS('1. All Data'!$AB$3:$AB$136,"Tourism and Cultural Development",'1. All Data'!$H$3:$H$136,"Deleted")</f>
        <v>0</v>
      </c>
      <c r="D106" s="216">
        <f>C106/C107</f>
        <v>0</v>
      </c>
      <c r="E106" s="216">
        <f>D106</f>
        <v>0</v>
      </c>
      <c r="F106" s="217"/>
      <c r="G106" s="29"/>
      <c r="I106" s="215" t="s">
        <v>24</v>
      </c>
      <c r="J106" s="208">
        <f>COUNTIFS('1. All Data'!$AB$3:$AB$136,"Tourism and Cultural Development",'1. All Data'!$M$3:$M$136,"Deleted")</f>
        <v>0</v>
      </c>
      <c r="K106" s="216" t="e">
        <f>J106/J107</f>
        <v>#DIV/0!</v>
      </c>
      <c r="L106" s="216" t="e">
        <f>K106</f>
        <v>#DIV/0!</v>
      </c>
      <c r="M106" s="217"/>
      <c r="N106" s="29"/>
      <c r="P106" s="215" t="s">
        <v>24</v>
      </c>
      <c r="Q106" s="208">
        <f>COUNTIFS('1. All Data'!$AB$3:$AB$136,"Tourism and Cultural Development",'1. All Data'!$R$3:$R$136,"Deleted")</f>
        <v>0</v>
      </c>
      <c r="R106" s="216" t="e">
        <f>Q106/Q107</f>
        <v>#DIV/0!</v>
      </c>
      <c r="S106" s="216" t="e">
        <f>R106</f>
        <v>#DIV/0!</v>
      </c>
      <c r="T106" s="217"/>
      <c r="U106" s="29"/>
      <c r="W106" s="175" t="s">
        <v>24</v>
      </c>
      <c r="X106" s="208">
        <f>COUNTIFS('1. All Data'!$AB$3:$AB$136,"Tourism and Cultural Development",'1. All Data'!$V$3:$V$136,"Deleted")</f>
        <v>0</v>
      </c>
      <c r="Y106" s="216" t="e">
        <f>X106/X107</f>
        <v>#DIV/0!</v>
      </c>
      <c r="Z106" s="216" t="e">
        <f>Y106</f>
        <v>#DIV/0!</v>
      </c>
      <c r="AA106" s="177"/>
      <c r="AB106" s="3"/>
      <c r="AC106" s="166"/>
    </row>
    <row r="107" spans="2:29" ht="15.6">
      <c r="B107" s="218" t="s">
        <v>45</v>
      </c>
      <c r="C107" s="219">
        <f>SUM(C96:C106)</f>
        <v>14</v>
      </c>
      <c r="D107" s="177"/>
      <c r="E107" s="177"/>
      <c r="F107" s="220"/>
      <c r="G107" s="58"/>
      <c r="I107" s="218" t="s">
        <v>45</v>
      </c>
      <c r="J107" s="219">
        <f>SUM(J96:J106)</f>
        <v>0</v>
      </c>
      <c r="K107" s="177"/>
      <c r="L107" s="177"/>
      <c r="M107" s="220"/>
      <c r="N107" s="58"/>
      <c r="P107" s="218" t="s">
        <v>45</v>
      </c>
      <c r="Q107" s="219">
        <f>SUM(Q96:Q106)</f>
        <v>0</v>
      </c>
      <c r="R107" s="177"/>
      <c r="S107" s="177"/>
      <c r="T107" s="220"/>
      <c r="U107" s="58"/>
      <c r="W107" s="178" t="s">
        <v>45</v>
      </c>
      <c r="X107" s="219">
        <f>SUM(X96:X106)</f>
        <v>0</v>
      </c>
      <c r="Y107" s="177"/>
      <c r="Z107" s="177"/>
      <c r="AA107" s="58"/>
      <c r="AB107" s="58"/>
      <c r="AC107" s="166"/>
    </row>
    <row r="108" spans="2:29" ht="15.6">
      <c r="B108" s="218" t="s">
        <v>46</v>
      </c>
      <c r="C108" s="219">
        <f>C107-C106-C105-C104-C103</f>
        <v>14</v>
      </c>
      <c r="D108" s="58"/>
      <c r="E108" s="58"/>
      <c r="F108" s="220"/>
      <c r="G108" s="58"/>
      <c r="I108" s="218" t="s">
        <v>46</v>
      </c>
      <c r="J108" s="219">
        <f>J107-J106-J105-J104-J103</f>
        <v>0</v>
      </c>
      <c r="K108" s="58"/>
      <c r="L108" s="58"/>
      <c r="M108" s="220"/>
      <c r="N108" s="58"/>
      <c r="P108" s="218" t="s">
        <v>46</v>
      </c>
      <c r="Q108" s="219">
        <f>Q107-Q106-Q105-Q104-Q103</f>
        <v>0</v>
      </c>
      <c r="R108" s="58"/>
      <c r="S108" s="58"/>
      <c r="T108" s="220"/>
      <c r="U108" s="58"/>
      <c r="W108" s="178" t="s">
        <v>46</v>
      </c>
      <c r="X108" s="219">
        <f>X107-X106-X105-X104-X103</f>
        <v>0</v>
      </c>
      <c r="Y108" s="58"/>
      <c r="Z108" s="58"/>
      <c r="AA108" s="58"/>
      <c r="AB108" s="58"/>
      <c r="AC108" s="166"/>
    </row>
    <row r="109" spans="2:29">
      <c r="W109" s="165"/>
      <c r="X109" s="165"/>
      <c r="Y109" s="165"/>
      <c r="Z109" s="165"/>
      <c r="AA109" s="165"/>
      <c r="AB109" s="186"/>
      <c r="AC109" s="166"/>
    </row>
    <row r="110" spans="2:29">
      <c r="W110" s="165"/>
      <c r="X110" s="165"/>
      <c r="Y110" s="165"/>
      <c r="Z110" s="165"/>
      <c r="AA110" s="165"/>
      <c r="AB110" s="186"/>
      <c r="AC110" s="166"/>
    </row>
    <row r="111" spans="2:29">
      <c r="W111" s="165"/>
      <c r="X111" s="165"/>
      <c r="Y111" s="165"/>
      <c r="Z111" s="165"/>
      <c r="AA111" s="165"/>
      <c r="AB111" s="186"/>
      <c r="AC111" s="166"/>
    </row>
    <row r="112" spans="2:29">
      <c r="W112" s="165"/>
      <c r="X112" s="165"/>
      <c r="Y112" s="165"/>
      <c r="Z112" s="165"/>
      <c r="AA112" s="165"/>
      <c r="AB112" s="186"/>
      <c r="AC112" s="166"/>
    </row>
    <row r="113" spans="23:29">
      <c r="W113" s="165"/>
      <c r="X113" s="165"/>
      <c r="Y113" s="165"/>
      <c r="Z113" s="165"/>
      <c r="AA113" s="165"/>
      <c r="AB113" s="186"/>
      <c r="AC113" s="166"/>
    </row>
    <row r="114" spans="23:29">
      <c r="W114" s="165"/>
      <c r="X114" s="165"/>
      <c r="Y114" s="165"/>
      <c r="Z114" s="165"/>
      <c r="AA114" s="165"/>
      <c r="AB114" s="186"/>
      <c r="AC114" s="166"/>
    </row>
    <row r="115" spans="23:29">
      <c r="W115" s="165"/>
      <c r="X115" s="165"/>
      <c r="Y115" s="165"/>
      <c r="Z115" s="165"/>
      <c r="AA115" s="165"/>
      <c r="AB115" s="186"/>
      <c r="AC115" s="166"/>
    </row>
    <row r="116" spans="23:29">
      <c r="W116" s="165"/>
      <c r="X116" s="165"/>
      <c r="Y116" s="165"/>
      <c r="Z116" s="165"/>
      <c r="AA116" s="165"/>
      <c r="AB116" s="186"/>
      <c r="AC116" s="166"/>
    </row>
    <row r="117" spans="23:29">
      <c r="W117" s="165"/>
      <c r="X117" s="165"/>
      <c r="Y117" s="165"/>
      <c r="Z117" s="165"/>
      <c r="AA117" s="165"/>
      <c r="AB117" s="186"/>
      <c r="AC117" s="166"/>
    </row>
    <row r="118" spans="23:29">
      <c r="W118" s="165"/>
      <c r="X118" s="165"/>
      <c r="Y118" s="165"/>
      <c r="Z118" s="165"/>
      <c r="AA118" s="165"/>
      <c r="AB118" s="186"/>
      <c r="AC118" s="166"/>
    </row>
    <row r="119" spans="23:29">
      <c r="W119" s="165"/>
      <c r="X119" s="165"/>
      <c r="Y119" s="165"/>
      <c r="Z119" s="165"/>
      <c r="AA119" s="165"/>
      <c r="AB119" s="186"/>
      <c r="AC119" s="166"/>
    </row>
    <row r="120" spans="23:29">
      <c r="W120" s="165"/>
      <c r="X120" s="165"/>
      <c r="Y120" s="165"/>
      <c r="Z120" s="165"/>
      <c r="AA120" s="165"/>
      <c r="AB120" s="186"/>
      <c r="AC120" s="166"/>
    </row>
    <row r="121" spans="23:29">
      <c r="W121" s="165"/>
      <c r="X121" s="165"/>
      <c r="Y121" s="165"/>
      <c r="Z121" s="165"/>
      <c r="AA121" s="165"/>
      <c r="AB121" s="186"/>
      <c r="AC121" s="166"/>
    </row>
    <row r="122" spans="23:29">
      <c r="W122" s="165"/>
      <c r="X122" s="165"/>
      <c r="Y122" s="165"/>
      <c r="Z122" s="165"/>
      <c r="AA122" s="165"/>
      <c r="AB122" s="186"/>
      <c r="AC122" s="166"/>
    </row>
    <row r="123" spans="23:29">
      <c r="W123" s="165"/>
      <c r="X123" s="165"/>
      <c r="Y123" s="165"/>
      <c r="Z123" s="165"/>
      <c r="AA123" s="165"/>
      <c r="AB123" s="186"/>
      <c r="AC123" s="166"/>
    </row>
    <row r="124" spans="23:29">
      <c r="W124" s="165"/>
      <c r="X124" s="165"/>
      <c r="Y124" s="165"/>
      <c r="Z124" s="165"/>
      <c r="AA124" s="165"/>
      <c r="AB124" s="186"/>
      <c r="AC124" s="166"/>
    </row>
    <row r="125" spans="23:29">
      <c r="W125" s="165"/>
      <c r="X125" s="165"/>
      <c r="Y125" s="165"/>
      <c r="Z125" s="165"/>
      <c r="AA125" s="165"/>
      <c r="AB125" s="186"/>
      <c r="AC125" s="166"/>
    </row>
    <row r="126" spans="23:29">
      <c r="W126" s="165"/>
      <c r="X126" s="165"/>
      <c r="Y126" s="165"/>
      <c r="Z126" s="165"/>
      <c r="AA126" s="165"/>
      <c r="AB126" s="186"/>
      <c r="AC126" s="166"/>
    </row>
    <row r="127" spans="23:29">
      <c r="W127" s="165"/>
      <c r="X127" s="165"/>
      <c r="Y127" s="165"/>
      <c r="Z127" s="165"/>
      <c r="AA127" s="165"/>
      <c r="AB127" s="186"/>
      <c r="AC127" s="166"/>
    </row>
    <row r="128" spans="23:29">
      <c r="W128" s="165"/>
      <c r="X128" s="165"/>
      <c r="Y128" s="165"/>
      <c r="Z128" s="165"/>
      <c r="AA128" s="165"/>
      <c r="AB128" s="186"/>
      <c r="AC128" s="166"/>
    </row>
    <row r="129" spans="23:29">
      <c r="W129" s="165"/>
      <c r="X129" s="165"/>
      <c r="Y129" s="165"/>
      <c r="Z129" s="165"/>
      <c r="AA129" s="165"/>
      <c r="AB129" s="186"/>
      <c r="AC129" s="166"/>
    </row>
    <row r="130" spans="23:29">
      <c r="W130" s="165"/>
      <c r="X130" s="165"/>
      <c r="Y130" s="165"/>
      <c r="Z130" s="165"/>
      <c r="AA130" s="165"/>
      <c r="AB130" s="186"/>
      <c r="AC130" s="166"/>
    </row>
    <row r="131" spans="23:29">
      <c r="W131" s="165"/>
      <c r="X131" s="165"/>
      <c r="Y131" s="165"/>
      <c r="Z131" s="165"/>
      <c r="AA131" s="165"/>
      <c r="AB131" s="186"/>
      <c r="AC131" s="166"/>
    </row>
    <row r="132" spans="23:29">
      <c r="W132" s="165"/>
      <c r="X132" s="165"/>
      <c r="Y132" s="165"/>
      <c r="Z132" s="165"/>
      <c r="AA132" s="165"/>
      <c r="AB132" s="186"/>
      <c r="AC132" s="166"/>
    </row>
    <row r="133" spans="23:29">
      <c r="W133" s="165"/>
      <c r="X133" s="165"/>
      <c r="Y133" s="165"/>
      <c r="Z133" s="165"/>
      <c r="AA133" s="165"/>
      <c r="AB133" s="186"/>
      <c r="AC133" s="166"/>
    </row>
    <row r="134" spans="23:29">
      <c r="W134" s="165"/>
      <c r="X134" s="165"/>
      <c r="Y134" s="165"/>
      <c r="Z134" s="165"/>
      <c r="AA134" s="165"/>
      <c r="AB134" s="186"/>
      <c r="AC134" s="166"/>
    </row>
    <row r="135" spans="23:29">
      <c r="W135" s="165"/>
      <c r="X135" s="165"/>
      <c r="Y135" s="165"/>
      <c r="Z135" s="165"/>
      <c r="AA135" s="165"/>
      <c r="AB135" s="186"/>
      <c r="AC135" s="166"/>
    </row>
    <row r="136" spans="23:29">
      <c r="W136" s="165"/>
      <c r="X136" s="165"/>
      <c r="Y136" s="165"/>
      <c r="Z136" s="165"/>
      <c r="AA136" s="165"/>
      <c r="AB136" s="186"/>
      <c r="AC136" s="166"/>
    </row>
    <row r="137" spans="23:29">
      <c r="W137" s="165"/>
      <c r="X137" s="165"/>
      <c r="Y137" s="165"/>
      <c r="Z137" s="165"/>
      <c r="AA137" s="165"/>
      <c r="AB137" s="186"/>
      <c r="AC137" s="166"/>
    </row>
    <row r="138" spans="23:29">
      <c r="W138" s="165"/>
      <c r="X138" s="165"/>
      <c r="Y138" s="165"/>
      <c r="Z138" s="165"/>
      <c r="AA138" s="165"/>
      <c r="AB138" s="186"/>
      <c r="AC138" s="166"/>
    </row>
    <row r="139" spans="23:29">
      <c r="W139" s="165"/>
      <c r="X139" s="165"/>
      <c r="Y139" s="165"/>
      <c r="Z139" s="165"/>
      <c r="AA139" s="165"/>
      <c r="AB139" s="186"/>
      <c r="AC139" s="166"/>
    </row>
    <row r="140" spans="23:29">
      <c r="W140" s="165"/>
      <c r="X140" s="165"/>
      <c r="Y140" s="165"/>
      <c r="Z140" s="165"/>
      <c r="AA140" s="165"/>
      <c r="AB140" s="186"/>
      <c r="AC140" s="166"/>
    </row>
    <row r="141" spans="23:29">
      <c r="W141" s="165"/>
      <c r="X141" s="165"/>
      <c r="Y141" s="165"/>
      <c r="Z141" s="165"/>
      <c r="AA141" s="165"/>
      <c r="AB141" s="186"/>
      <c r="AC141" s="166"/>
    </row>
    <row r="142" spans="23:29">
      <c r="W142" s="165"/>
      <c r="X142" s="165"/>
      <c r="Y142" s="165"/>
      <c r="Z142" s="165"/>
      <c r="AA142" s="165"/>
      <c r="AB142" s="186"/>
      <c r="AC142" s="166"/>
    </row>
    <row r="143" spans="23:29">
      <c r="W143" s="165"/>
      <c r="X143" s="165"/>
      <c r="Y143" s="165"/>
      <c r="Z143" s="165"/>
      <c r="AA143" s="165"/>
      <c r="AB143" s="186"/>
      <c r="AC143" s="166"/>
    </row>
    <row r="144" spans="23:29">
      <c r="W144" s="165"/>
      <c r="X144" s="165"/>
      <c r="Y144" s="165"/>
      <c r="Z144" s="165"/>
      <c r="AA144" s="165"/>
      <c r="AB144" s="186"/>
      <c r="AC144" s="166"/>
    </row>
    <row r="145" spans="23:29">
      <c r="W145" s="165"/>
      <c r="X145" s="165"/>
      <c r="Y145" s="165"/>
      <c r="Z145" s="165"/>
      <c r="AA145" s="165"/>
      <c r="AB145" s="186"/>
      <c r="AC145" s="166"/>
    </row>
    <row r="146" spans="23:29">
      <c r="W146" s="165"/>
      <c r="X146" s="165"/>
      <c r="Y146" s="165"/>
      <c r="Z146" s="165"/>
      <c r="AA146" s="165"/>
      <c r="AB146" s="186"/>
      <c r="AC146" s="166"/>
    </row>
    <row r="147" spans="23:29">
      <c r="W147" s="165"/>
      <c r="X147" s="165"/>
      <c r="Y147" s="165"/>
      <c r="Z147" s="165"/>
      <c r="AA147" s="165"/>
      <c r="AB147" s="186"/>
      <c r="AC147" s="166"/>
    </row>
    <row r="148" spans="23:29">
      <c r="W148" s="165"/>
      <c r="X148" s="165"/>
      <c r="Y148" s="165"/>
      <c r="Z148" s="165"/>
      <c r="AA148" s="165"/>
      <c r="AB148" s="186"/>
      <c r="AC148" s="166"/>
    </row>
    <row r="149" spans="23:29">
      <c r="W149" s="165"/>
      <c r="X149" s="165"/>
      <c r="Y149" s="165"/>
      <c r="Z149" s="165"/>
      <c r="AA149" s="165"/>
      <c r="AB149" s="186"/>
      <c r="AC149" s="166"/>
    </row>
    <row r="150" spans="23:29">
      <c r="W150" s="165"/>
      <c r="X150" s="165"/>
      <c r="Y150" s="165"/>
      <c r="Z150" s="165"/>
      <c r="AA150" s="165"/>
      <c r="AB150" s="186"/>
      <c r="AC150" s="166"/>
    </row>
    <row r="151" spans="23:29">
      <c r="W151" s="165"/>
      <c r="X151" s="165"/>
      <c r="Y151" s="165"/>
      <c r="Z151" s="165"/>
      <c r="AA151" s="165"/>
      <c r="AB151" s="186"/>
      <c r="AC151" s="166"/>
    </row>
    <row r="152" spans="23:29">
      <c r="W152" s="165"/>
      <c r="X152" s="165"/>
      <c r="Y152" s="165"/>
      <c r="Z152" s="165"/>
      <c r="AA152" s="165"/>
      <c r="AB152" s="186"/>
      <c r="AC152" s="166"/>
    </row>
    <row r="153" spans="23:29">
      <c r="W153" s="165"/>
      <c r="X153" s="165"/>
      <c r="Y153" s="165"/>
      <c r="Z153" s="165"/>
      <c r="AA153" s="165"/>
      <c r="AB153" s="186"/>
      <c r="AC153" s="166"/>
    </row>
    <row r="154" spans="23:29">
      <c r="W154" s="165"/>
      <c r="X154" s="165"/>
      <c r="Y154" s="165"/>
      <c r="Z154" s="165"/>
      <c r="AA154" s="165"/>
      <c r="AB154" s="186"/>
      <c r="AC154" s="166"/>
    </row>
    <row r="155" spans="23:29">
      <c r="W155" s="165"/>
      <c r="X155" s="165"/>
      <c r="Y155" s="165"/>
      <c r="Z155" s="165"/>
      <c r="AA155" s="165"/>
      <c r="AB155" s="186"/>
      <c r="AC155" s="166"/>
    </row>
    <row r="156" spans="23:29">
      <c r="W156" s="165"/>
      <c r="X156" s="165"/>
      <c r="Y156" s="165"/>
      <c r="Z156" s="165"/>
      <c r="AA156" s="165"/>
      <c r="AB156" s="186"/>
      <c r="AC156" s="166"/>
    </row>
    <row r="157" spans="23:29">
      <c r="W157" s="165"/>
      <c r="X157" s="165"/>
      <c r="Y157" s="165"/>
      <c r="Z157" s="165"/>
      <c r="AA157" s="165"/>
      <c r="AB157" s="186"/>
      <c r="AC157" s="166"/>
    </row>
    <row r="158" spans="23:29">
      <c r="W158" s="165"/>
      <c r="X158" s="165"/>
      <c r="Y158" s="165"/>
      <c r="Z158" s="165"/>
      <c r="AA158" s="165"/>
      <c r="AB158" s="186"/>
      <c r="AC158" s="166"/>
    </row>
    <row r="159" spans="23:29">
      <c r="W159" s="165"/>
      <c r="X159" s="165"/>
      <c r="Y159" s="165"/>
      <c r="Z159" s="165"/>
      <c r="AA159" s="165"/>
      <c r="AB159" s="186"/>
      <c r="AC159" s="166"/>
    </row>
    <row r="160" spans="23:29">
      <c r="W160" s="165"/>
      <c r="X160" s="165"/>
      <c r="Y160" s="165"/>
      <c r="Z160" s="165"/>
      <c r="AA160" s="165"/>
      <c r="AB160" s="186"/>
      <c r="AC160" s="166"/>
    </row>
    <row r="161" spans="23:29">
      <c r="W161" s="165"/>
      <c r="X161" s="165"/>
      <c r="Y161" s="165"/>
      <c r="Z161" s="165"/>
      <c r="AA161" s="165"/>
      <c r="AB161" s="186"/>
      <c r="AC161" s="166"/>
    </row>
    <row r="162" spans="23:29">
      <c r="W162" s="165"/>
      <c r="X162" s="165"/>
      <c r="Y162" s="165"/>
      <c r="Z162" s="165"/>
      <c r="AA162" s="165"/>
      <c r="AB162" s="186"/>
      <c r="AC162" s="166"/>
    </row>
    <row r="163" spans="23:29">
      <c r="W163" s="165"/>
      <c r="X163" s="165"/>
      <c r="Y163" s="165"/>
      <c r="Z163" s="165"/>
      <c r="AA163" s="165"/>
      <c r="AB163" s="186"/>
      <c r="AC163" s="166"/>
    </row>
    <row r="164" spans="23:29">
      <c r="W164" s="165"/>
      <c r="X164" s="165"/>
      <c r="Y164" s="165"/>
      <c r="Z164" s="165"/>
      <c r="AA164" s="165"/>
      <c r="AB164" s="186"/>
      <c r="AC164" s="166"/>
    </row>
    <row r="165" spans="23:29">
      <c r="W165" s="165"/>
      <c r="X165" s="165"/>
      <c r="Y165" s="165"/>
      <c r="Z165" s="165"/>
      <c r="AA165" s="165"/>
      <c r="AB165" s="186"/>
      <c r="AC165" s="166"/>
    </row>
    <row r="166" spans="23:29">
      <c r="W166" s="165"/>
      <c r="X166" s="165"/>
      <c r="Y166" s="165"/>
      <c r="Z166" s="165"/>
      <c r="AA166" s="165"/>
      <c r="AB166" s="186"/>
      <c r="AC166" s="166"/>
    </row>
    <row r="167" spans="23:29">
      <c r="W167" s="165"/>
      <c r="X167" s="165"/>
      <c r="Y167" s="165"/>
      <c r="Z167" s="165"/>
      <c r="AA167" s="165"/>
      <c r="AB167" s="186"/>
      <c r="AC167" s="166"/>
    </row>
    <row r="168" spans="23:29">
      <c r="W168" s="165"/>
      <c r="X168" s="165"/>
      <c r="Y168" s="165"/>
      <c r="Z168" s="165"/>
      <c r="AA168" s="165"/>
      <c r="AB168" s="186"/>
      <c r="AC168" s="166"/>
    </row>
    <row r="169" spans="23:29">
      <c r="W169" s="165"/>
      <c r="X169" s="165"/>
      <c r="Y169" s="165"/>
      <c r="Z169" s="165"/>
      <c r="AA169" s="165"/>
      <c r="AB169" s="186"/>
      <c r="AC169" s="166"/>
    </row>
    <row r="170" spans="23:29">
      <c r="W170" s="165"/>
      <c r="X170" s="165"/>
      <c r="Y170" s="165"/>
      <c r="Z170" s="165"/>
      <c r="AA170" s="165"/>
      <c r="AB170" s="186"/>
      <c r="AC170" s="166"/>
    </row>
    <row r="171" spans="23:29">
      <c r="W171" s="165"/>
      <c r="X171" s="165"/>
      <c r="Y171" s="165"/>
      <c r="Z171" s="165"/>
      <c r="AA171" s="165"/>
      <c r="AB171" s="186"/>
      <c r="AC171" s="166"/>
    </row>
    <row r="172" spans="23:29">
      <c r="W172" s="165"/>
      <c r="X172" s="165"/>
      <c r="Y172" s="165"/>
      <c r="Z172" s="165"/>
      <c r="AA172" s="165"/>
      <c r="AB172" s="186"/>
      <c r="AC172" s="166"/>
    </row>
    <row r="173" spans="23:29">
      <c r="W173" s="165"/>
      <c r="X173" s="165"/>
      <c r="Y173" s="165"/>
      <c r="Z173" s="165"/>
      <c r="AA173" s="165"/>
      <c r="AB173" s="186"/>
      <c r="AC173" s="166"/>
    </row>
    <row r="174" spans="23:29">
      <c r="W174" s="165"/>
      <c r="X174" s="165"/>
      <c r="Y174" s="165"/>
      <c r="Z174" s="165"/>
      <c r="AA174" s="165"/>
      <c r="AB174" s="186"/>
      <c r="AC174" s="166"/>
    </row>
    <row r="175" spans="23:29">
      <c r="W175" s="165"/>
      <c r="X175" s="165"/>
      <c r="Y175" s="165"/>
      <c r="Z175" s="165"/>
      <c r="AA175" s="165"/>
      <c r="AB175" s="186"/>
      <c r="AC175" s="166"/>
    </row>
    <row r="176" spans="23:29">
      <c r="W176" s="165"/>
      <c r="X176" s="165"/>
      <c r="Y176" s="165"/>
      <c r="Z176" s="165"/>
      <c r="AA176" s="165"/>
      <c r="AB176" s="186"/>
      <c r="AC176" s="166"/>
    </row>
    <row r="177" spans="23:29">
      <c r="W177" s="165"/>
      <c r="X177" s="165"/>
      <c r="Y177" s="165"/>
      <c r="Z177" s="165"/>
      <c r="AA177" s="165"/>
      <c r="AB177" s="186"/>
      <c r="AC177" s="166"/>
    </row>
    <row r="178" spans="23:29">
      <c r="W178" s="165"/>
      <c r="X178" s="165"/>
      <c r="Y178" s="165"/>
      <c r="Z178" s="165"/>
      <c r="AA178" s="165"/>
      <c r="AB178" s="186"/>
      <c r="AC178" s="166"/>
    </row>
    <row r="179" spans="23:29">
      <c r="W179" s="165"/>
      <c r="X179" s="165"/>
      <c r="Y179" s="165"/>
      <c r="Z179" s="165"/>
      <c r="AA179" s="165"/>
      <c r="AB179" s="186"/>
      <c r="AC179" s="166"/>
    </row>
    <row r="180" spans="23:29">
      <c r="W180" s="165"/>
      <c r="X180" s="165"/>
      <c r="Y180" s="165"/>
      <c r="Z180" s="165"/>
      <c r="AA180" s="165"/>
      <c r="AB180" s="186"/>
      <c r="AC180" s="166"/>
    </row>
    <row r="181" spans="23:29">
      <c r="W181" s="165"/>
      <c r="X181" s="165"/>
      <c r="Y181" s="165"/>
      <c r="Z181" s="165"/>
      <c r="AA181" s="165"/>
      <c r="AB181" s="186"/>
      <c r="AC181" s="166"/>
    </row>
    <row r="182" spans="23:29">
      <c r="W182" s="165"/>
      <c r="X182" s="165"/>
      <c r="Y182" s="165"/>
      <c r="Z182" s="165"/>
      <c r="AA182" s="165"/>
      <c r="AB182" s="186"/>
      <c r="AC182" s="166"/>
    </row>
    <row r="183" spans="23:29">
      <c r="W183" s="165"/>
      <c r="X183" s="165"/>
      <c r="Y183" s="165"/>
      <c r="Z183" s="165"/>
      <c r="AA183" s="165"/>
      <c r="AB183" s="186"/>
      <c r="AC183" s="166"/>
    </row>
    <row r="184" spans="23:29">
      <c r="W184" s="165"/>
      <c r="X184" s="165"/>
      <c r="Y184" s="165"/>
      <c r="Z184" s="165"/>
      <c r="AA184" s="165"/>
      <c r="AB184" s="186"/>
      <c r="AC184" s="166"/>
    </row>
    <row r="185" spans="23:29">
      <c r="W185" s="165"/>
      <c r="X185" s="165"/>
      <c r="Y185" s="165"/>
      <c r="Z185" s="165"/>
      <c r="AA185" s="165"/>
      <c r="AB185" s="186"/>
      <c r="AC185" s="166"/>
    </row>
    <row r="186" spans="23:29">
      <c r="W186" s="165"/>
      <c r="X186" s="165"/>
      <c r="Y186" s="165"/>
      <c r="Z186" s="165"/>
      <c r="AA186" s="165"/>
      <c r="AB186" s="186"/>
      <c r="AC186" s="166"/>
    </row>
    <row r="187" spans="23:29">
      <c r="W187" s="165"/>
      <c r="X187" s="165"/>
      <c r="Y187" s="165"/>
      <c r="Z187" s="165"/>
      <c r="AA187" s="165"/>
      <c r="AB187" s="186"/>
      <c r="AC187" s="166"/>
    </row>
    <row r="188" spans="23:29">
      <c r="W188" s="165"/>
      <c r="X188" s="165"/>
      <c r="Y188" s="165"/>
      <c r="Z188" s="165"/>
      <c r="AA188" s="165"/>
      <c r="AB188" s="186"/>
      <c r="AC188" s="166"/>
    </row>
    <row r="189" spans="23:29">
      <c r="W189" s="165"/>
      <c r="X189" s="165"/>
      <c r="Y189" s="165"/>
      <c r="Z189" s="165"/>
      <c r="AA189" s="165"/>
      <c r="AB189" s="186"/>
      <c r="AC189" s="166"/>
    </row>
    <row r="190" spans="23:29">
      <c r="W190" s="165"/>
      <c r="X190" s="165"/>
      <c r="Y190" s="165"/>
      <c r="Z190" s="165"/>
      <c r="AA190" s="165"/>
      <c r="AB190" s="186"/>
      <c r="AC190" s="166"/>
    </row>
    <row r="191" spans="23:29">
      <c r="W191" s="165"/>
      <c r="X191" s="165"/>
      <c r="Y191" s="165"/>
      <c r="Z191" s="165"/>
      <c r="AA191" s="165"/>
      <c r="AB191" s="186"/>
      <c r="AC191" s="166"/>
    </row>
    <row r="192" spans="23:29">
      <c r="W192" s="165"/>
      <c r="X192" s="165"/>
      <c r="Y192" s="165"/>
      <c r="Z192" s="165"/>
      <c r="AA192" s="165"/>
      <c r="AB192" s="186"/>
      <c r="AC192" s="166"/>
    </row>
    <row r="193" spans="23:29">
      <c r="W193" s="165"/>
      <c r="X193" s="165"/>
      <c r="Y193" s="165"/>
      <c r="Z193" s="165"/>
      <c r="AA193" s="165"/>
      <c r="AB193" s="186"/>
      <c r="AC193" s="166"/>
    </row>
    <row r="194" spans="23:29">
      <c r="W194" s="165"/>
      <c r="X194" s="165"/>
      <c r="Y194" s="165"/>
      <c r="Z194" s="165"/>
      <c r="AA194" s="165"/>
      <c r="AB194" s="186"/>
      <c r="AC194" s="166"/>
    </row>
    <row r="195" spans="23:29">
      <c r="W195" s="165"/>
      <c r="X195" s="165"/>
      <c r="Y195" s="165"/>
      <c r="Z195" s="165"/>
      <c r="AA195" s="165"/>
      <c r="AB195" s="186"/>
      <c r="AC195" s="166"/>
    </row>
    <row r="196" spans="23:29">
      <c r="W196" s="165"/>
      <c r="X196" s="165"/>
      <c r="Y196" s="165"/>
      <c r="Z196" s="165"/>
      <c r="AA196" s="165"/>
      <c r="AB196" s="186"/>
      <c r="AC196" s="166"/>
    </row>
    <row r="197" spans="23:29">
      <c r="W197" s="165"/>
      <c r="X197" s="165"/>
      <c r="Y197" s="165"/>
      <c r="Z197" s="165"/>
      <c r="AA197" s="165"/>
      <c r="AB197" s="186"/>
      <c r="AC197" s="166"/>
    </row>
  </sheetData>
  <mergeCells count="216">
    <mergeCell ref="M80:M82"/>
    <mergeCell ref="N80:N82"/>
    <mergeCell ref="P80:P82"/>
    <mergeCell ref="Q80:Q82"/>
    <mergeCell ref="Z83:Z84"/>
    <mergeCell ref="AB83:AB84"/>
    <mergeCell ref="E83:E84"/>
    <mergeCell ref="G83:G84"/>
    <mergeCell ref="L83:L84"/>
    <mergeCell ref="N83:N84"/>
    <mergeCell ref="S83:S84"/>
    <mergeCell ref="U83:U84"/>
    <mergeCell ref="Z78:Z79"/>
    <mergeCell ref="AB78:AB79"/>
    <mergeCell ref="B80:B82"/>
    <mergeCell ref="C80:C82"/>
    <mergeCell ref="D80:D82"/>
    <mergeCell ref="E80:E82"/>
    <mergeCell ref="F80:F82"/>
    <mergeCell ref="G80:G82"/>
    <mergeCell ref="I80:I82"/>
    <mergeCell ref="J80:J82"/>
    <mergeCell ref="E78:E79"/>
    <mergeCell ref="G78:G79"/>
    <mergeCell ref="L78:L79"/>
    <mergeCell ref="N78:N79"/>
    <mergeCell ref="S78:S79"/>
    <mergeCell ref="U78:U79"/>
    <mergeCell ref="R80:R82"/>
    <mergeCell ref="S80:S82"/>
    <mergeCell ref="T80:T82"/>
    <mergeCell ref="U80:U82"/>
    <mergeCell ref="Z80:Z82"/>
    <mergeCell ref="AB80:AB82"/>
    <mergeCell ref="K80:K82"/>
    <mergeCell ref="L80:L82"/>
    <mergeCell ref="Z62:Z64"/>
    <mergeCell ref="AB62:AB64"/>
    <mergeCell ref="E65:E66"/>
    <mergeCell ref="G65:G66"/>
    <mergeCell ref="L65:L66"/>
    <mergeCell ref="N65:N66"/>
    <mergeCell ref="S65:S66"/>
    <mergeCell ref="U65:U66"/>
    <mergeCell ref="Z65:Z66"/>
    <mergeCell ref="AB65:AB66"/>
    <mergeCell ref="P62:P64"/>
    <mergeCell ref="Q62:Q64"/>
    <mergeCell ref="R62:R64"/>
    <mergeCell ref="S62:S64"/>
    <mergeCell ref="T62:T64"/>
    <mergeCell ref="U62:U64"/>
    <mergeCell ref="I62:I64"/>
    <mergeCell ref="J62:J64"/>
    <mergeCell ref="K62:K64"/>
    <mergeCell ref="L62:L64"/>
    <mergeCell ref="M62:M64"/>
    <mergeCell ref="N62:N64"/>
    <mergeCell ref="Z47:Z48"/>
    <mergeCell ref="AB47:AB48"/>
    <mergeCell ref="E60:E61"/>
    <mergeCell ref="G60:G61"/>
    <mergeCell ref="L60:L61"/>
    <mergeCell ref="N60:N61"/>
    <mergeCell ref="S60:S61"/>
    <mergeCell ref="U60:U61"/>
    <mergeCell ref="Z60:Z61"/>
    <mergeCell ref="AB60:AB61"/>
    <mergeCell ref="E47:E48"/>
    <mergeCell ref="G47:G48"/>
    <mergeCell ref="L47:L48"/>
    <mergeCell ref="N47:N48"/>
    <mergeCell ref="S47:S48"/>
    <mergeCell ref="U47:U48"/>
    <mergeCell ref="M44:M46"/>
    <mergeCell ref="N44:N46"/>
    <mergeCell ref="P44:P46"/>
    <mergeCell ref="Q44:Q46"/>
    <mergeCell ref="B62:B64"/>
    <mergeCell ref="C62:C64"/>
    <mergeCell ref="D62:D64"/>
    <mergeCell ref="E62:E64"/>
    <mergeCell ref="F62:F64"/>
    <mergeCell ref="G62:G64"/>
    <mergeCell ref="Z42:Z43"/>
    <mergeCell ref="AB42:AB43"/>
    <mergeCell ref="B44:B46"/>
    <mergeCell ref="C44:C46"/>
    <mergeCell ref="D44:D46"/>
    <mergeCell ref="E44:E46"/>
    <mergeCell ref="F44:F46"/>
    <mergeCell ref="G44:G46"/>
    <mergeCell ref="I44:I46"/>
    <mergeCell ref="J44:J46"/>
    <mergeCell ref="E42:E43"/>
    <mergeCell ref="G42:G43"/>
    <mergeCell ref="L42:L43"/>
    <mergeCell ref="N42:N43"/>
    <mergeCell ref="S42:S43"/>
    <mergeCell ref="U42:U43"/>
    <mergeCell ref="R44:R46"/>
    <mergeCell ref="S44:S46"/>
    <mergeCell ref="T44:T46"/>
    <mergeCell ref="U44:U46"/>
    <mergeCell ref="Z44:Z46"/>
    <mergeCell ref="AB44:AB46"/>
    <mergeCell ref="K44:K46"/>
    <mergeCell ref="L44:L46"/>
    <mergeCell ref="Z26:Z28"/>
    <mergeCell ref="AB26:AB28"/>
    <mergeCell ref="E29:E30"/>
    <mergeCell ref="G29:G30"/>
    <mergeCell ref="L29:L30"/>
    <mergeCell ref="N29:N30"/>
    <mergeCell ref="S29:S30"/>
    <mergeCell ref="U29:U30"/>
    <mergeCell ref="Z29:Z30"/>
    <mergeCell ref="AB29:AB30"/>
    <mergeCell ref="P26:P28"/>
    <mergeCell ref="Q26:Q28"/>
    <mergeCell ref="R26:R28"/>
    <mergeCell ref="S26:S28"/>
    <mergeCell ref="T26:T28"/>
    <mergeCell ref="U26:U28"/>
    <mergeCell ref="I26:I28"/>
    <mergeCell ref="J26:J28"/>
    <mergeCell ref="K26:K28"/>
    <mergeCell ref="L26:L28"/>
    <mergeCell ref="M26:M28"/>
    <mergeCell ref="N26:N28"/>
    <mergeCell ref="Z10:Z11"/>
    <mergeCell ref="AB10:AB11"/>
    <mergeCell ref="E24:E25"/>
    <mergeCell ref="G24:G25"/>
    <mergeCell ref="L24:L25"/>
    <mergeCell ref="N24:N25"/>
    <mergeCell ref="S24:S25"/>
    <mergeCell ref="U24:U25"/>
    <mergeCell ref="Z24:Z25"/>
    <mergeCell ref="AB24:AB25"/>
    <mergeCell ref="E10:E11"/>
    <mergeCell ref="G10:G11"/>
    <mergeCell ref="L10:L11"/>
    <mergeCell ref="N10:N11"/>
    <mergeCell ref="S10:S11"/>
    <mergeCell ref="U10:U11"/>
    <mergeCell ref="M7:M9"/>
    <mergeCell ref="N7:N9"/>
    <mergeCell ref="P7:P9"/>
    <mergeCell ref="Q7:Q9"/>
    <mergeCell ref="B26:B28"/>
    <mergeCell ref="C26:C28"/>
    <mergeCell ref="D26:D28"/>
    <mergeCell ref="E26:E28"/>
    <mergeCell ref="F26:F28"/>
    <mergeCell ref="G26:G28"/>
    <mergeCell ref="Z5:Z6"/>
    <mergeCell ref="AB5:AB6"/>
    <mergeCell ref="B7:B9"/>
    <mergeCell ref="C7:C9"/>
    <mergeCell ref="D7:D9"/>
    <mergeCell ref="E7:E9"/>
    <mergeCell ref="F7:F9"/>
    <mergeCell ref="G7:G9"/>
    <mergeCell ref="I7:I9"/>
    <mergeCell ref="J7:J9"/>
    <mergeCell ref="E5:E6"/>
    <mergeCell ref="G5:G6"/>
    <mergeCell ref="L5:L6"/>
    <mergeCell ref="N5:N6"/>
    <mergeCell ref="S5:S6"/>
    <mergeCell ref="U5:U6"/>
    <mergeCell ref="R7:R9"/>
    <mergeCell ref="S7:S9"/>
    <mergeCell ref="T7:T9"/>
    <mergeCell ref="U7:U9"/>
    <mergeCell ref="Z7:Z9"/>
    <mergeCell ref="AB7:AB9"/>
    <mergeCell ref="K7:K9"/>
    <mergeCell ref="L7:L9"/>
    <mergeCell ref="E96:E97"/>
    <mergeCell ref="G96:G97"/>
    <mergeCell ref="B98:B100"/>
    <mergeCell ref="C98:C100"/>
    <mergeCell ref="D98:D100"/>
    <mergeCell ref="E98:E100"/>
    <mergeCell ref="F98:F100"/>
    <mergeCell ref="G98:G100"/>
    <mergeCell ref="E101:E102"/>
    <mergeCell ref="G101:G102"/>
    <mergeCell ref="I98:I100"/>
    <mergeCell ref="J98:J100"/>
    <mergeCell ref="K98:K100"/>
    <mergeCell ref="L98:L100"/>
    <mergeCell ref="M98:M100"/>
    <mergeCell ref="N98:N100"/>
    <mergeCell ref="P98:P100"/>
    <mergeCell ref="Q98:Q100"/>
    <mergeCell ref="R98:R100"/>
    <mergeCell ref="L101:L102"/>
    <mergeCell ref="N101:N102"/>
    <mergeCell ref="S101:S102"/>
    <mergeCell ref="U101:U102"/>
    <mergeCell ref="Z101:Z102"/>
    <mergeCell ref="AB101:AB102"/>
    <mergeCell ref="L96:L97"/>
    <mergeCell ref="N96:N97"/>
    <mergeCell ref="S96:S97"/>
    <mergeCell ref="U96:U97"/>
    <mergeCell ref="Z96:Z97"/>
    <mergeCell ref="AB96:AB97"/>
    <mergeCell ref="S98:S100"/>
    <mergeCell ref="T98:T100"/>
    <mergeCell ref="U98:U100"/>
    <mergeCell ref="Z98:Z100"/>
    <mergeCell ref="AB98:AB100"/>
  </mergeCells>
  <pageMargins left="0.7" right="0.7" top="0.75" bottom="0.75" header="0.3" footer="0.3"/>
  <pageSetup paperSize="8" orientation="portrait" r:id="rId1"/>
  <rowBreaks count="1" manualBreakCount="1">
    <brk id="55" max="6"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116"/>
  <sheetViews>
    <sheetView workbookViewId="0">
      <selection activeCell="D1" sqref="D1"/>
    </sheetView>
  </sheetViews>
  <sheetFormatPr defaultColWidth="9.33203125" defaultRowHeight="14.4"/>
  <cols>
    <col min="1" max="1" width="3.44140625" style="68" customWidth="1"/>
    <col min="2" max="9" width="9.33203125" style="68"/>
    <col min="10" max="10" width="3.44140625" style="68" customWidth="1"/>
    <col min="11" max="11" width="9.33203125" style="69" customWidth="1"/>
    <col min="12" max="18" width="9.33203125" style="68" customWidth="1"/>
    <col min="19" max="19" width="3.44140625" style="68" customWidth="1"/>
    <col min="20" max="27" width="9.33203125" style="68" customWidth="1"/>
    <col min="28" max="28" width="3.44140625" style="68" customWidth="1"/>
    <col min="29" max="36" width="9.33203125" style="68" customWidth="1"/>
    <col min="37" max="37" width="3.44140625" style="68" customWidth="1"/>
    <col min="38" max="47" width="9.33203125" style="68" customWidth="1"/>
    <col min="48" max="50" width="9.33203125" style="68"/>
    <col min="51" max="51" width="9.33203125" style="74"/>
    <col min="52" max="55" width="10" style="74" customWidth="1"/>
    <col min="56" max="16384" width="9.33203125" style="68"/>
  </cols>
  <sheetData>
    <row r="1" spans="2:56" s="67" customFormat="1" ht="35.25" customHeight="1">
      <c r="B1" s="73" t="s">
        <v>57</v>
      </c>
      <c r="K1" s="440"/>
      <c r="L1" s="440"/>
      <c r="M1" s="440"/>
      <c r="N1" s="440"/>
      <c r="O1" s="440"/>
      <c r="P1" s="440"/>
      <c r="Q1" s="440"/>
      <c r="R1" s="440"/>
      <c r="S1" s="440"/>
      <c r="T1" s="440"/>
      <c r="U1" s="440"/>
      <c r="V1" s="440"/>
      <c r="W1" s="440"/>
      <c r="X1" s="440"/>
      <c r="AY1" s="73"/>
      <c r="AZ1" s="73"/>
      <c r="BA1" s="73"/>
      <c r="BB1" s="73"/>
      <c r="BC1" s="73"/>
    </row>
    <row r="2" spans="2:56" s="67" customFormat="1" ht="35.4" hidden="1">
      <c r="K2" s="440"/>
      <c r="L2" s="440"/>
      <c r="M2" s="440"/>
      <c r="N2" s="440"/>
      <c r="O2" s="440"/>
      <c r="P2" s="440"/>
      <c r="Q2" s="440"/>
      <c r="R2" s="440"/>
      <c r="S2" s="440"/>
      <c r="T2" s="440"/>
      <c r="U2" s="440"/>
      <c r="V2" s="440"/>
      <c r="W2" s="440"/>
      <c r="X2" s="440"/>
      <c r="AY2" s="73"/>
      <c r="AZ2" s="73"/>
      <c r="BA2" s="73"/>
      <c r="BB2" s="73"/>
      <c r="BC2" s="73"/>
    </row>
    <row r="3" spans="2:56" s="67" customFormat="1" ht="35.4" hidden="1">
      <c r="K3" s="440"/>
      <c r="L3" s="440"/>
      <c r="M3" s="440"/>
      <c r="N3" s="440"/>
      <c r="O3" s="440"/>
      <c r="P3" s="440"/>
      <c r="Q3" s="440"/>
      <c r="R3" s="440"/>
      <c r="S3" s="440"/>
      <c r="T3" s="440"/>
      <c r="U3" s="440"/>
      <c r="V3" s="440"/>
      <c r="W3" s="440"/>
      <c r="X3" s="440"/>
      <c r="AY3" s="73"/>
      <c r="AZ3" s="73"/>
      <c r="BA3" s="73"/>
      <c r="BB3" s="73"/>
      <c r="BC3" s="73"/>
    </row>
    <row r="4" spans="2:56">
      <c r="N4" s="70"/>
      <c r="W4" s="70"/>
      <c r="AF4" s="70"/>
      <c r="AO4" s="70"/>
    </row>
    <row r="5" spans="2:56">
      <c r="AY5" s="75" t="s">
        <v>117</v>
      </c>
      <c r="AZ5" s="76"/>
      <c r="BA5" s="76"/>
      <c r="BB5" s="76"/>
      <c r="BC5" s="76"/>
      <c r="BD5" s="69"/>
    </row>
    <row r="6" spans="2:56">
      <c r="AY6" s="77"/>
      <c r="AZ6" s="78" t="s">
        <v>7</v>
      </c>
      <c r="BA6" s="78" t="s">
        <v>8</v>
      </c>
      <c r="BB6" s="78" t="s">
        <v>9</v>
      </c>
      <c r="BC6" s="78" t="s">
        <v>6</v>
      </c>
      <c r="BD6" s="69"/>
    </row>
    <row r="7" spans="2:56">
      <c r="AY7" s="79" t="s">
        <v>49</v>
      </c>
      <c r="AZ7" s="80">
        <f>'3a. % by Portfolio'!G5</f>
        <v>1</v>
      </c>
      <c r="BA7" s="80" t="e">
        <f>'3a. % by Portfolio'!N5</f>
        <v>#DIV/0!</v>
      </c>
      <c r="BB7" s="80" t="e">
        <f>'3a. % by Portfolio'!U5</f>
        <v>#DIV/0!</v>
      </c>
      <c r="BC7" s="80" t="e">
        <f>'3a. % by Portfolio'!AB5</f>
        <v>#DIV/0!</v>
      </c>
      <c r="BD7" s="69"/>
    </row>
    <row r="8" spans="2:56">
      <c r="L8" s="71"/>
      <c r="M8" s="71"/>
      <c r="AY8" s="79" t="s">
        <v>50</v>
      </c>
      <c r="AZ8" s="80">
        <f>'3a. % by Portfolio'!G7</f>
        <v>0</v>
      </c>
      <c r="BA8" s="80" t="e">
        <f>'3a. % by Portfolio'!N7</f>
        <v>#DIV/0!</v>
      </c>
      <c r="BB8" s="80" t="e">
        <f>'3a. % by Portfolio'!U7</f>
        <v>#DIV/0!</v>
      </c>
      <c r="BC8" s="80" t="e">
        <f>'3a. % by Portfolio'!AB7</f>
        <v>#DIV/0!</v>
      </c>
      <c r="BD8" s="69"/>
    </row>
    <row r="9" spans="2:56">
      <c r="L9" s="71"/>
      <c r="M9" s="71"/>
      <c r="AY9" s="79" t="s">
        <v>51</v>
      </c>
      <c r="AZ9" s="80">
        <f>'3a. % by Portfolio'!G10</f>
        <v>0</v>
      </c>
      <c r="BA9" s="80" t="e">
        <f>'3a. % by Portfolio'!N10</f>
        <v>#DIV/0!</v>
      </c>
      <c r="BB9" s="80" t="e">
        <f>'3a. % by Portfolio'!U10</f>
        <v>#DIV/0!</v>
      </c>
      <c r="BC9" s="80" t="e">
        <f>'3a. % by Portfolio'!AB10</f>
        <v>#DIV/0!</v>
      </c>
      <c r="BD9" s="69"/>
    </row>
    <row r="10" spans="2:56">
      <c r="L10" s="71"/>
      <c r="M10" s="71"/>
      <c r="AY10" s="77"/>
      <c r="AZ10" s="81"/>
      <c r="BA10" s="81"/>
      <c r="BB10" s="81"/>
      <c r="BC10" s="81"/>
      <c r="BD10" s="69"/>
    </row>
    <row r="11" spans="2:56">
      <c r="AY11" s="82"/>
      <c r="AZ11" s="83"/>
      <c r="BA11" s="83"/>
      <c r="BB11" s="83"/>
      <c r="BC11" s="83"/>
      <c r="BD11" s="69"/>
    </row>
    <row r="12" spans="2:56">
      <c r="AY12" s="82"/>
      <c r="AZ12" s="83"/>
      <c r="BA12" s="83"/>
      <c r="BB12" s="83"/>
      <c r="BC12" s="83"/>
      <c r="BD12" s="69"/>
    </row>
    <row r="13" spans="2:56">
      <c r="AY13" s="82"/>
      <c r="AZ13" s="83"/>
      <c r="BA13" s="83"/>
      <c r="BB13" s="83"/>
      <c r="BC13" s="83"/>
      <c r="BD13" s="69"/>
    </row>
    <row r="14" spans="2:56">
      <c r="AY14" s="76"/>
      <c r="AZ14" s="76"/>
      <c r="BA14" s="76"/>
      <c r="BB14" s="76"/>
      <c r="BC14" s="76"/>
      <c r="BD14" s="69"/>
    </row>
    <row r="15" spans="2:56">
      <c r="AY15" s="76"/>
      <c r="AZ15" s="76"/>
      <c r="BA15" s="76"/>
      <c r="BB15" s="76"/>
      <c r="BC15" s="76"/>
      <c r="BD15" s="69"/>
    </row>
    <row r="16" spans="2:56">
      <c r="AY16" s="76"/>
      <c r="AZ16" s="76"/>
      <c r="BA16" s="76"/>
      <c r="BB16" s="76"/>
      <c r="BC16" s="76"/>
      <c r="BD16" s="69"/>
    </row>
    <row r="17" spans="12:56">
      <c r="AY17" s="76"/>
      <c r="AZ17" s="76"/>
      <c r="BA17" s="76"/>
      <c r="BB17" s="76"/>
      <c r="BC17" s="76"/>
      <c r="BD17" s="69"/>
    </row>
    <row r="18" spans="12:56">
      <c r="AY18" s="76"/>
      <c r="AZ18" s="76"/>
      <c r="BA18" s="76"/>
      <c r="BB18" s="76"/>
      <c r="BC18" s="76"/>
      <c r="BD18" s="69"/>
    </row>
    <row r="19" spans="12:56">
      <c r="AY19" s="76"/>
      <c r="AZ19" s="76"/>
      <c r="BA19" s="76"/>
      <c r="BB19" s="76"/>
      <c r="BC19" s="76"/>
      <c r="BD19" s="69"/>
    </row>
    <row r="20" spans="12:56">
      <c r="N20" s="70"/>
      <c r="W20" s="70"/>
      <c r="AF20" s="70"/>
      <c r="AO20" s="70"/>
      <c r="AY20" s="76"/>
      <c r="AZ20" s="76"/>
      <c r="BA20" s="76"/>
      <c r="BB20" s="76"/>
      <c r="BC20" s="76"/>
      <c r="BD20" s="69"/>
    </row>
    <row r="21" spans="12:56">
      <c r="AY21" s="75" t="s">
        <v>95</v>
      </c>
      <c r="AZ21" s="76"/>
      <c r="BA21" s="76"/>
      <c r="BB21" s="76"/>
      <c r="BC21" s="76"/>
      <c r="BD21" s="69"/>
    </row>
    <row r="22" spans="12:56">
      <c r="AY22" s="77"/>
      <c r="AZ22" s="78" t="s">
        <v>7</v>
      </c>
      <c r="BA22" s="78" t="s">
        <v>8</v>
      </c>
      <c r="BB22" s="78" t="s">
        <v>9</v>
      </c>
      <c r="BC22" s="78" t="s">
        <v>6</v>
      </c>
      <c r="BD22" s="69"/>
    </row>
    <row r="23" spans="12:56">
      <c r="AY23" s="79" t="s">
        <v>49</v>
      </c>
      <c r="AZ23" s="80">
        <f>'3a. % by Portfolio'!G24</f>
        <v>1</v>
      </c>
      <c r="BA23" s="80" t="e">
        <f>'3a. % by Portfolio'!N24</f>
        <v>#DIV/0!</v>
      </c>
      <c r="BB23" s="80" t="e">
        <f>'3a. % by Portfolio'!U24</f>
        <v>#DIV/0!</v>
      </c>
      <c r="BC23" s="80" t="e">
        <f>'3a. % by Portfolio'!AB24</f>
        <v>#DIV/0!</v>
      </c>
      <c r="BD23" s="69"/>
    </row>
    <row r="24" spans="12:56">
      <c r="L24" s="71"/>
      <c r="M24" s="71"/>
      <c r="AY24" s="79" t="s">
        <v>50</v>
      </c>
      <c r="AZ24" s="80">
        <f>'3a. % by Portfolio'!G26</f>
        <v>0</v>
      </c>
      <c r="BA24" s="80" t="e">
        <f>'3a. % by Portfolio'!N26</f>
        <v>#DIV/0!</v>
      </c>
      <c r="BB24" s="80" t="e">
        <f>'3a. % by Portfolio'!U26</f>
        <v>#DIV/0!</v>
      </c>
      <c r="BC24" s="80" t="e">
        <f>'3a. % by Portfolio'!AB26</f>
        <v>#DIV/0!</v>
      </c>
      <c r="BD24" s="69"/>
    </row>
    <row r="25" spans="12:56">
      <c r="L25" s="71"/>
      <c r="M25" s="71"/>
      <c r="AY25" s="79" t="s">
        <v>51</v>
      </c>
      <c r="AZ25" s="80">
        <f>'3a. % by Portfolio'!G29</f>
        <v>0</v>
      </c>
      <c r="BA25" s="80" t="e">
        <f>'3a. % by Portfolio'!N29</f>
        <v>#DIV/0!</v>
      </c>
      <c r="BB25" s="80" t="e">
        <f>'3a. % by Portfolio'!U29</f>
        <v>#DIV/0!</v>
      </c>
      <c r="BC25" s="80" t="e">
        <f>'3a. % by Portfolio'!AB29</f>
        <v>#DIV/0!</v>
      </c>
      <c r="BD25" s="69"/>
    </row>
    <row r="26" spans="12:56">
      <c r="L26" s="71"/>
      <c r="M26" s="71"/>
      <c r="AY26" s="76"/>
      <c r="AZ26" s="76"/>
      <c r="BA26" s="76"/>
      <c r="BB26" s="76"/>
      <c r="BC26" s="76"/>
      <c r="BD26" s="69"/>
    </row>
    <row r="27" spans="12:56">
      <c r="AY27" s="82"/>
      <c r="AZ27" s="76"/>
      <c r="BA27" s="76"/>
      <c r="BB27" s="76"/>
      <c r="BC27" s="76"/>
      <c r="BD27" s="69"/>
    </row>
    <row r="28" spans="12:56">
      <c r="AY28" s="82"/>
      <c r="AZ28" s="76"/>
      <c r="BA28" s="76"/>
      <c r="BB28" s="76"/>
      <c r="BC28" s="76"/>
      <c r="BD28" s="69"/>
    </row>
    <row r="29" spans="12:56">
      <c r="AY29" s="82"/>
      <c r="AZ29" s="76"/>
      <c r="BA29" s="76"/>
      <c r="BB29" s="76"/>
      <c r="BC29" s="76"/>
      <c r="BD29" s="69"/>
    </row>
    <row r="30" spans="12:56">
      <c r="AY30" s="76"/>
      <c r="AZ30" s="76"/>
      <c r="BA30" s="76"/>
      <c r="BB30" s="76"/>
      <c r="BC30" s="76"/>
      <c r="BD30" s="69"/>
    </row>
    <row r="31" spans="12:56">
      <c r="AY31" s="76"/>
      <c r="AZ31" s="76"/>
      <c r="BA31" s="76"/>
      <c r="BB31" s="76"/>
      <c r="BC31" s="76"/>
      <c r="BD31" s="69"/>
    </row>
    <row r="32" spans="12:56">
      <c r="AY32" s="76"/>
      <c r="AZ32" s="76"/>
      <c r="BA32" s="76"/>
      <c r="BB32" s="76"/>
      <c r="BC32" s="76"/>
      <c r="BD32" s="69"/>
    </row>
    <row r="33" spans="11:56">
      <c r="AY33" s="76"/>
      <c r="AZ33" s="76"/>
      <c r="BA33" s="76"/>
      <c r="BB33" s="76"/>
      <c r="BC33" s="76"/>
      <c r="BD33" s="69"/>
    </row>
    <row r="34" spans="11:56">
      <c r="AY34" s="76"/>
      <c r="AZ34" s="76"/>
      <c r="BA34" s="76"/>
      <c r="BB34" s="76"/>
      <c r="BC34" s="76"/>
      <c r="BD34" s="69"/>
    </row>
    <row r="35" spans="11:56">
      <c r="AY35" s="76"/>
      <c r="AZ35" s="76"/>
      <c r="BA35" s="76"/>
      <c r="BB35" s="76"/>
      <c r="BC35" s="76"/>
      <c r="BD35" s="69"/>
    </row>
    <row r="36" spans="11:56">
      <c r="N36" s="70"/>
      <c r="W36" s="70"/>
      <c r="AF36" s="70"/>
      <c r="AO36" s="70"/>
      <c r="AY36" s="76"/>
      <c r="AZ36" s="76"/>
      <c r="BA36" s="76"/>
      <c r="BB36" s="76"/>
      <c r="BC36" s="76"/>
      <c r="BD36" s="69"/>
    </row>
    <row r="37" spans="11:56">
      <c r="AY37" s="75" t="s">
        <v>118</v>
      </c>
      <c r="AZ37" s="84"/>
      <c r="BA37" s="84"/>
      <c r="BB37" s="84"/>
      <c r="BC37" s="84"/>
      <c r="BD37" s="72"/>
    </row>
    <row r="38" spans="11:56">
      <c r="AY38" s="85"/>
      <c r="AZ38" s="78" t="s">
        <v>7</v>
      </c>
      <c r="BA38" s="78" t="s">
        <v>8</v>
      </c>
      <c r="BB38" s="78" t="s">
        <v>9</v>
      </c>
      <c r="BC38" s="78" t="s">
        <v>6</v>
      </c>
      <c r="BD38" s="72"/>
    </row>
    <row r="39" spans="11:56">
      <c r="AY39" s="79" t="s">
        <v>49</v>
      </c>
      <c r="AZ39" s="80">
        <f>'3a. % by Portfolio'!G42</f>
        <v>0.88888888888888884</v>
      </c>
      <c r="BA39" s="80" t="e">
        <f>'3a. % by Portfolio'!N42</f>
        <v>#DIV/0!</v>
      </c>
      <c r="BB39" s="80" t="e">
        <f>'3a. % by Portfolio'!U42</f>
        <v>#DIV/0!</v>
      </c>
      <c r="BC39" s="80" t="e">
        <f>'3a. % by Portfolio'!AB42</f>
        <v>#DIV/0!</v>
      </c>
      <c r="BD39" s="72"/>
    </row>
    <row r="40" spans="11:56">
      <c r="K40" s="71"/>
      <c r="L40" s="71"/>
      <c r="AY40" s="79" t="s">
        <v>50</v>
      </c>
      <c r="AZ40" s="80">
        <f>'3a. % by Portfolio'!G44</f>
        <v>0</v>
      </c>
      <c r="BA40" s="80" t="e">
        <f>'3a. % by Portfolio'!N44</f>
        <v>#DIV/0!</v>
      </c>
      <c r="BB40" s="80" t="e">
        <f>'3a. % by Portfolio'!U44</f>
        <v>#DIV/0!</v>
      </c>
      <c r="BC40" s="80" t="e">
        <f>'3a. % by Portfolio'!AB44</f>
        <v>#DIV/0!</v>
      </c>
      <c r="BD40" s="72"/>
    </row>
    <row r="41" spans="11:56">
      <c r="K41" s="71"/>
      <c r="L41" s="71"/>
      <c r="AY41" s="79" t="s">
        <v>51</v>
      </c>
      <c r="AZ41" s="80">
        <f>'3a. % by Portfolio'!G47</f>
        <v>0.1111111111111111</v>
      </c>
      <c r="BA41" s="80" t="e">
        <f>'3a. % by Portfolio'!N47</f>
        <v>#DIV/0!</v>
      </c>
      <c r="BB41" s="80" t="e">
        <f>'3a. % by Portfolio'!U47</f>
        <v>#DIV/0!</v>
      </c>
      <c r="BC41" s="80" t="e">
        <f>'3a. % by Portfolio'!AB47</f>
        <v>#DIV/0!</v>
      </c>
      <c r="BD41" s="72"/>
    </row>
    <row r="42" spans="11:56">
      <c r="K42" s="71"/>
      <c r="L42" s="71"/>
      <c r="AY42" s="76"/>
      <c r="AZ42" s="76"/>
      <c r="BA42" s="76"/>
      <c r="BB42" s="76"/>
      <c r="BC42" s="76"/>
      <c r="BD42" s="69"/>
    </row>
    <row r="43" spans="11:56">
      <c r="AY43" s="82"/>
      <c r="AZ43" s="76"/>
      <c r="BA43" s="76"/>
      <c r="BB43" s="76"/>
      <c r="BC43" s="76"/>
      <c r="BD43" s="69"/>
    </row>
    <row r="44" spans="11:56">
      <c r="AY44" s="82"/>
      <c r="AZ44" s="76"/>
      <c r="BA44" s="76"/>
      <c r="BB44" s="76"/>
      <c r="BC44" s="76"/>
      <c r="BD44" s="69"/>
    </row>
    <row r="45" spans="11:56">
      <c r="AY45" s="82"/>
      <c r="AZ45" s="76"/>
      <c r="BA45" s="76"/>
      <c r="BB45" s="76"/>
      <c r="BC45" s="76"/>
      <c r="BD45" s="69"/>
    </row>
    <row r="46" spans="11:56">
      <c r="AY46" s="76"/>
      <c r="AZ46" s="76"/>
      <c r="BA46" s="76"/>
      <c r="BB46" s="76"/>
      <c r="BC46" s="76"/>
      <c r="BD46" s="69"/>
    </row>
    <row r="47" spans="11:56">
      <c r="AY47" s="76"/>
      <c r="AZ47" s="76"/>
      <c r="BA47" s="76"/>
      <c r="BB47" s="76"/>
      <c r="BC47" s="76"/>
      <c r="BD47" s="69"/>
    </row>
    <row r="48" spans="11:56">
      <c r="AY48" s="76"/>
      <c r="AZ48" s="76"/>
      <c r="BA48" s="76"/>
      <c r="BB48" s="76"/>
      <c r="BC48" s="76"/>
      <c r="BD48" s="69"/>
    </row>
    <row r="49" spans="12:56">
      <c r="AY49" s="76"/>
      <c r="AZ49" s="76"/>
      <c r="BA49" s="76"/>
      <c r="BB49" s="76"/>
      <c r="BC49" s="76"/>
      <c r="BD49" s="69"/>
    </row>
    <row r="50" spans="12:56">
      <c r="AY50" s="76"/>
      <c r="AZ50" s="76"/>
      <c r="BA50" s="76"/>
      <c r="BB50" s="76"/>
      <c r="BC50" s="76"/>
      <c r="BD50" s="69"/>
    </row>
    <row r="51" spans="12:56">
      <c r="AY51" s="76"/>
      <c r="AZ51" s="76"/>
      <c r="BA51" s="76"/>
      <c r="BB51" s="76"/>
      <c r="BC51" s="76"/>
      <c r="BD51" s="69"/>
    </row>
    <row r="52" spans="12:56">
      <c r="N52" s="70"/>
      <c r="W52" s="70"/>
      <c r="AF52" s="70"/>
      <c r="AO52" s="70"/>
      <c r="AY52" s="76"/>
      <c r="AZ52" s="76"/>
      <c r="BA52" s="76"/>
      <c r="BB52" s="76"/>
      <c r="BC52" s="76"/>
      <c r="BD52" s="69"/>
    </row>
    <row r="53" spans="12:56">
      <c r="AY53" s="75" t="s">
        <v>129</v>
      </c>
      <c r="AZ53" s="84"/>
      <c r="BA53" s="84"/>
      <c r="BB53" s="84"/>
      <c r="BC53" s="84"/>
      <c r="BD53" s="69"/>
    </row>
    <row r="54" spans="12:56">
      <c r="AY54" s="85"/>
      <c r="AZ54" s="78" t="s">
        <v>7</v>
      </c>
      <c r="BA54" s="78" t="s">
        <v>8</v>
      </c>
      <c r="BB54" s="78" t="s">
        <v>9</v>
      </c>
      <c r="BC54" s="78" t="s">
        <v>6</v>
      </c>
      <c r="BD54" s="69"/>
    </row>
    <row r="55" spans="12:56">
      <c r="AY55" s="79" t="s">
        <v>49</v>
      </c>
      <c r="AZ55" s="80">
        <f>'3a. % by Portfolio'!G60</f>
        <v>1</v>
      </c>
      <c r="BA55" s="80" t="e">
        <f>'3a. % by Portfolio'!N60</f>
        <v>#DIV/0!</v>
      </c>
      <c r="BB55" s="80" t="e">
        <f>'3a. % by Portfolio'!U60</f>
        <v>#DIV/0!</v>
      </c>
      <c r="BC55" s="80" t="e">
        <f>'3a. % by Portfolio'!AB60</f>
        <v>#DIV/0!</v>
      </c>
      <c r="BD55" s="69"/>
    </row>
    <row r="56" spans="12:56">
      <c r="L56" s="71"/>
      <c r="M56" s="71"/>
      <c r="AY56" s="79" t="s">
        <v>50</v>
      </c>
      <c r="AZ56" s="80">
        <f>'3a. % by Portfolio'!G62</f>
        <v>0</v>
      </c>
      <c r="BA56" s="80" t="e">
        <f>'3a. % by Portfolio'!N62</f>
        <v>#DIV/0!</v>
      </c>
      <c r="BB56" s="80" t="e">
        <f>'3a. % by Portfolio'!U62</f>
        <v>#DIV/0!</v>
      </c>
      <c r="BC56" s="80" t="e">
        <f>'3a. % by Portfolio'!AB62</f>
        <v>#DIV/0!</v>
      </c>
      <c r="BD56" s="69"/>
    </row>
    <row r="57" spans="12:56">
      <c r="L57" s="71"/>
      <c r="M57" s="71"/>
      <c r="AY57" s="79" t="s">
        <v>51</v>
      </c>
      <c r="AZ57" s="80">
        <f>'3a. % by Portfolio'!G65</f>
        <v>0</v>
      </c>
      <c r="BA57" s="80" t="e">
        <f>'3a. % by Portfolio'!N65</f>
        <v>#DIV/0!</v>
      </c>
      <c r="BB57" s="80" t="e">
        <f>'3a. % by Portfolio'!U65</f>
        <v>#DIV/0!</v>
      </c>
      <c r="BC57" s="80" t="e">
        <f>'3a. % by Portfolio'!AB65</f>
        <v>#DIV/0!</v>
      </c>
      <c r="BD57" s="69"/>
    </row>
    <row r="58" spans="12:56">
      <c r="L58" s="71"/>
      <c r="M58" s="71"/>
      <c r="AY58" s="76"/>
      <c r="AZ58" s="76"/>
      <c r="BA58" s="76"/>
      <c r="BB58" s="76"/>
      <c r="BC58" s="76"/>
      <c r="BD58" s="69"/>
    </row>
    <row r="59" spans="12:56">
      <c r="AY59" s="82"/>
      <c r="AZ59" s="76"/>
      <c r="BA59" s="76"/>
      <c r="BB59" s="76"/>
      <c r="BC59" s="76"/>
      <c r="BD59" s="69"/>
    </row>
    <row r="60" spans="12:56">
      <c r="AY60" s="82"/>
      <c r="AZ60" s="76"/>
      <c r="BA60" s="76"/>
      <c r="BB60" s="76"/>
      <c r="BC60" s="76"/>
      <c r="BD60" s="69"/>
    </row>
    <row r="61" spans="12:56">
      <c r="AY61" s="82"/>
      <c r="AZ61" s="76"/>
      <c r="BA61" s="76"/>
      <c r="BB61" s="76"/>
      <c r="BC61" s="76"/>
      <c r="BD61" s="69"/>
    </row>
    <row r="62" spans="12:56">
      <c r="AY62" s="76"/>
      <c r="AZ62" s="76"/>
      <c r="BA62" s="76"/>
      <c r="BB62" s="76"/>
      <c r="BC62" s="76"/>
      <c r="BD62" s="69"/>
    </row>
    <row r="63" spans="12:56">
      <c r="AY63" s="76"/>
      <c r="AZ63" s="76"/>
      <c r="BA63" s="76"/>
      <c r="BB63" s="76"/>
      <c r="BC63" s="76"/>
      <c r="BD63" s="69"/>
    </row>
    <row r="64" spans="12:56">
      <c r="AY64" s="76"/>
      <c r="AZ64" s="76"/>
      <c r="BA64" s="76"/>
      <c r="BB64" s="76"/>
      <c r="BC64" s="76"/>
      <c r="BD64" s="69"/>
    </row>
    <row r="65" spans="14:56">
      <c r="AY65" s="76"/>
      <c r="AZ65" s="76"/>
      <c r="BA65" s="76"/>
      <c r="BB65" s="76"/>
      <c r="BC65" s="76"/>
      <c r="BD65" s="69"/>
    </row>
    <row r="66" spans="14:56">
      <c r="AY66" s="76"/>
      <c r="AZ66" s="76"/>
      <c r="BA66" s="76"/>
      <c r="BB66" s="76"/>
      <c r="BC66" s="76"/>
      <c r="BD66" s="69"/>
    </row>
    <row r="68" spans="14:56">
      <c r="N68" s="70"/>
      <c r="W68" s="70"/>
      <c r="AF68" s="70"/>
      <c r="AO68" s="70"/>
      <c r="AY68" s="76"/>
      <c r="AZ68" s="76"/>
      <c r="BA68" s="76"/>
      <c r="BB68" s="76"/>
      <c r="BC68" s="76"/>
      <c r="BD68" s="69"/>
    </row>
    <row r="69" spans="14:56">
      <c r="AY69" s="75" t="s">
        <v>116</v>
      </c>
      <c r="AZ69" s="84"/>
      <c r="BA69" s="84"/>
      <c r="BB69" s="84"/>
      <c r="BC69" s="84"/>
    </row>
    <row r="70" spans="14:56">
      <c r="AY70" s="85"/>
      <c r="AZ70" s="78" t="s">
        <v>7</v>
      </c>
      <c r="BA70" s="78" t="s">
        <v>8</v>
      </c>
      <c r="BB70" s="78" t="s">
        <v>9</v>
      </c>
      <c r="BC70" s="78" t="s">
        <v>6</v>
      </c>
    </row>
    <row r="71" spans="14:56">
      <c r="AY71" s="79" t="s">
        <v>49</v>
      </c>
      <c r="AZ71" s="80">
        <f>'3a. % by Portfolio'!G78</f>
        <v>0.89473684210526305</v>
      </c>
      <c r="BA71" s="80" t="e">
        <f>'3a. % by Portfolio'!N78</f>
        <v>#DIV/0!</v>
      </c>
      <c r="BB71" s="80" t="e">
        <f>'3a. % by Portfolio'!U78</f>
        <v>#DIV/0!</v>
      </c>
      <c r="BC71" s="80" t="e">
        <f>'3a. % by Portfolio'!AB78</f>
        <v>#DIV/0!</v>
      </c>
    </row>
    <row r="72" spans="14:56">
      <c r="AY72" s="79" t="s">
        <v>50</v>
      </c>
      <c r="AZ72" s="80">
        <f>'3a. % by Portfolio'!G80</f>
        <v>5.2631578947368418E-2</v>
      </c>
      <c r="BA72" s="80" t="e">
        <f>'3a. % by Portfolio'!N80</f>
        <v>#DIV/0!</v>
      </c>
      <c r="BB72" s="80" t="e">
        <f>'3a. % by Portfolio'!U80</f>
        <v>#DIV/0!</v>
      </c>
      <c r="BC72" s="80" t="e">
        <f>'3a. % by Portfolio'!AB80</f>
        <v>#DIV/0!</v>
      </c>
    </row>
    <row r="73" spans="14:56">
      <c r="AY73" s="79" t="s">
        <v>51</v>
      </c>
      <c r="AZ73" s="80">
        <f>'3a. % by Portfolio'!G83</f>
        <v>5.2631578947368418E-2</v>
      </c>
      <c r="BA73" s="80" t="e">
        <f>'3a. % by Portfolio'!N83</f>
        <v>#DIV/0!</v>
      </c>
      <c r="BB73" s="80" t="e">
        <f>'3a. % by Portfolio'!U83</f>
        <v>#DIV/0!</v>
      </c>
      <c r="BC73" s="80" t="e">
        <f>'3a. % by Portfolio'!AB83</f>
        <v>#DIV/0!</v>
      </c>
    </row>
    <row r="84" spans="14:56">
      <c r="N84" s="70"/>
      <c r="W84" s="70"/>
      <c r="AF84" s="70"/>
      <c r="AO84" s="70"/>
    </row>
    <row r="85" spans="14:56">
      <c r="AY85" s="75" t="s">
        <v>94</v>
      </c>
      <c r="AZ85" s="84"/>
      <c r="BA85" s="84"/>
      <c r="BB85" s="84"/>
      <c r="BC85" s="84"/>
    </row>
    <row r="86" spans="14:56">
      <c r="AY86" s="85"/>
      <c r="AZ86" s="78" t="s">
        <v>7</v>
      </c>
      <c r="BA86" s="78" t="s">
        <v>8</v>
      </c>
      <c r="BB86" s="78" t="s">
        <v>9</v>
      </c>
      <c r="BC86" s="78" t="s">
        <v>6</v>
      </c>
    </row>
    <row r="87" spans="14:56">
      <c r="AY87" s="79" t="s">
        <v>49</v>
      </c>
      <c r="AZ87" s="80">
        <f>'3a. % by Portfolio'!G96</f>
        <v>0.92857142857142849</v>
      </c>
      <c r="BA87" s="80" t="e">
        <f>'3a. % by Portfolio'!N96</f>
        <v>#DIV/0!</v>
      </c>
      <c r="BB87" s="80" t="e">
        <f>'3a. % by Portfolio'!U96</f>
        <v>#DIV/0!</v>
      </c>
      <c r="BC87" s="80" t="e">
        <f>'3a. % by Portfolio'!AB96</f>
        <v>#DIV/0!</v>
      </c>
    </row>
    <row r="88" spans="14:56">
      <c r="AY88" s="79" t="s">
        <v>50</v>
      </c>
      <c r="AZ88" s="80">
        <f>'3a. % by Portfolio'!G98</f>
        <v>0</v>
      </c>
      <c r="BA88" s="80" t="e">
        <f>'3a. % by Portfolio'!N98</f>
        <v>#DIV/0!</v>
      </c>
      <c r="BB88" s="80" t="e">
        <f>'3a. % by Portfolio'!U98</f>
        <v>#DIV/0!</v>
      </c>
      <c r="BC88" s="80" t="e">
        <f>'3a. % by Portfolio'!AB98</f>
        <v>#DIV/0!</v>
      </c>
    </row>
    <row r="89" spans="14:56">
      <c r="AY89" s="79" t="s">
        <v>51</v>
      </c>
      <c r="AZ89" s="80">
        <f>'3a. % by Portfolio'!G101</f>
        <v>7.1428571428571425E-2</v>
      </c>
      <c r="BA89" s="80" t="e">
        <f>'3a. % by Portfolio'!N101</f>
        <v>#DIV/0!</v>
      </c>
      <c r="BB89" s="80" t="e">
        <f>'3a. % by Portfolio'!U101</f>
        <v>#DIV/0!</v>
      </c>
      <c r="BC89" s="80" t="e">
        <f>'3a. % by Portfolio'!AB101</f>
        <v>#DIV/0!</v>
      </c>
    </row>
    <row r="95" spans="14:56">
      <c r="AY95" s="86"/>
      <c r="AZ95" s="86"/>
      <c r="BA95" s="86"/>
      <c r="BB95" s="86"/>
      <c r="BC95" s="86"/>
      <c r="BD95" s="87"/>
    </row>
    <row r="96" spans="14:56">
      <c r="AY96" s="86"/>
      <c r="AZ96" s="86"/>
      <c r="BA96" s="86"/>
      <c r="BB96" s="86"/>
      <c r="BC96" s="86"/>
      <c r="BD96" s="87"/>
    </row>
    <row r="97" spans="14:56">
      <c r="AY97" s="86"/>
      <c r="AZ97" s="86"/>
      <c r="BA97" s="86"/>
      <c r="BB97" s="86"/>
      <c r="BC97" s="86"/>
      <c r="BD97" s="87"/>
    </row>
    <row r="98" spans="14:56">
      <c r="AY98" s="86"/>
      <c r="AZ98" s="86"/>
      <c r="BA98" s="86"/>
      <c r="BB98" s="86"/>
      <c r="BC98" s="86"/>
      <c r="BD98" s="87"/>
    </row>
    <row r="99" spans="14:56">
      <c r="AY99" s="86"/>
      <c r="AZ99" s="86"/>
      <c r="BA99" s="86"/>
      <c r="BB99" s="86"/>
      <c r="BC99" s="86"/>
      <c r="BD99" s="87"/>
    </row>
    <row r="100" spans="14:56">
      <c r="N100" s="70"/>
      <c r="W100" s="70"/>
      <c r="AF100" s="70"/>
      <c r="AO100" s="70"/>
      <c r="AY100" s="86"/>
      <c r="AZ100" s="86"/>
      <c r="BA100" s="86"/>
      <c r="BB100" s="86"/>
      <c r="BC100" s="86"/>
      <c r="BD100" s="87"/>
    </row>
    <row r="101" spans="14:56">
      <c r="AY101" s="88"/>
      <c r="AZ101" s="85"/>
      <c r="BA101" s="85"/>
      <c r="BB101" s="85"/>
      <c r="BC101" s="85"/>
      <c r="BD101" s="87"/>
    </row>
    <row r="102" spans="14:56">
      <c r="AY102" s="85"/>
      <c r="AZ102" s="81"/>
      <c r="BA102" s="81"/>
      <c r="BB102" s="81"/>
      <c r="BC102" s="81"/>
      <c r="BD102" s="87"/>
    </row>
    <row r="103" spans="14:56">
      <c r="AY103" s="85"/>
      <c r="AZ103" s="83"/>
      <c r="BA103" s="83"/>
      <c r="BB103" s="83"/>
      <c r="BC103" s="83"/>
      <c r="BD103" s="87"/>
    </row>
    <row r="104" spans="14:56">
      <c r="AY104" s="85"/>
      <c r="AZ104" s="83"/>
      <c r="BA104" s="83"/>
      <c r="BB104" s="83"/>
      <c r="BC104" s="83"/>
      <c r="BD104" s="87"/>
    </row>
    <row r="105" spans="14:56">
      <c r="AY105" s="85"/>
      <c r="AZ105" s="83"/>
      <c r="BA105" s="83"/>
      <c r="BB105" s="83"/>
      <c r="BC105" s="83"/>
      <c r="BD105" s="87"/>
    </row>
    <row r="106" spans="14:56">
      <c r="AY106" s="86"/>
      <c r="AZ106" s="86"/>
      <c r="BA106" s="86"/>
      <c r="BB106" s="86"/>
      <c r="BC106" s="86"/>
      <c r="BD106" s="87"/>
    </row>
    <row r="116" spans="14:41">
      <c r="N116" s="70" t="s">
        <v>44</v>
      </c>
      <c r="W116" s="70" t="s">
        <v>44</v>
      </c>
      <c r="AF116" s="70" t="s">
        <v>44</v>
      </c>
      <c r="AO116" s="70" t="s">
        <v>44</v>
      </c>
    </row>
  </sheetData>
  <sheetProtection algorithmName="SHA-512" hashValue="GWcRMoY39yh15LXY2DuC0qIPyo9do9brC4efnyDbm5F3pEhQ0y2OmJSttxocfpFfdCbABlrGGFA+DwOvOTrsZg==" saltValue="Hro1Mxce4Lp8XtirqwvIlw==" spinCount="100000" sheet="1" objects="1" scenarios="1"/>
  <mergeCells count="1">
    <mergeCell ref="K1:X3"/>
  </mergeCells>
  <hyperlinks>
    <hyperlink ref="N116" location="INDEX!A1" display="Back to index"/>
    <hyperlink ref="W116" location="INDEX!A1" display="Back to index"/>
    <hyperlink ref="AF116" location="INDEX!A1" display="Back to index"/>
    <hyperlink ref="AO116" location="INDEX!A1" display="Back to index"/>
  </hyperlinks>
  <pageMargins left="0.25" right="0.25" top="0.75" bottom="0.75" header="0.3" footer="0.3"/>
  <pageSetup paperSize="8" scale="51" orientation="landscape" r:id="rId1"/>
  <colBreaks count="1" manualBreakCount="1">
    <brk id="46" max="11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1. All Data</vt:lpstr>
      <vt:lpstr>Q1 Summary</vt:lpstr>
      <vt:lpstr>Q2 Summary</vt:lpstr>
      <vt:lpstr>Q3 Summary</vt:lpstr>
      <vt:lpstr>Q4 Summary</vt:lpstr>
      <vt:lpstr>2a. % By Priority</vt:lpstr>
      <vt:lpstr>2b. Charts by Priority</vt:lpstr>
      <vt:lpstr>3a. % by Portfolio</vt:lpstr>
      <vt:lpstr>3b. Charts by Portfolio</vt:lpstr>
      <vt:lpstr>4. Status Tracking</vt:lpstr>
      <vt:lpstr>Custom Pivot</vt:lpstr>
      <vt:lpstr>'1. All Data'!_Toc382250483</vt:lpstr>
      <vt:lpstr>'1. All Data'!OLE_LINK3</vt:lpstr>
      <vt:lpstr>'1. All Data'!Print_Area</vt:lpstr>
      <vt:lpstr>'2a. % By Priority'!Print_Area</vt:lpstr>
      <vt:lpstr>'2b. Charts by Priority'!Print_Area</vt:lpstr>
      <vt:lpstr>'3a. % by Portfolio'!Print_Area</vt:lpstr>
      <vt:lpstr>'3b. Charts by Portfolio'!Print_Area</vt:lpstr>
      <vt:lpstr>'Q1 Summary'!Print_Area</vt:lpstr>
      <vt:lpstr>'Q2 Summary'!Print_Area</vt:lpstr>
      <vt:lpstr>'Q3 Summary'!Print_Area</vt:lpstr>
      <vt:lpstr>'Q4 Summary'!Print_Area</vt:lpstr>
      <vt:lpstr>'1. All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Norman</dc:creator>
  <cp:lastModifiedBy>James Abbott</cp:lastModifiedBy>
  <cp:lastPrinted>2023-07-05T18:47:41Z</cp:lastPrinted>
  <dcterms:created xsi:type="dcterms:W3CDTF">2019-02-13T13:28:16Z</dcterms:created>
  <dcterms:modified xsi:type="dcterms:W3CDTF">2024-08-19T11:09:13Z</dcterms:modified>
</cp:coreProperties>
</file>