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VALUE FOR MONEY COUNCIL SERVICES COMMITTEE\Agendas\29 JUNE 2022\pdfs\"/>
    </mc:Choice>
  </mc:AlternateContent>
  <bookViews>
    <workbookView xWindow="0" yWindow="0" windowWidth="21600" windowHeight="91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Data'!$B$1:$AE$97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5" l="1"/>
  <c r="X14" i="5"/>
  <c r="X13" i="5"/>
  <c r="X12" i="5"/>
  <c r="X11" i="5"/>
  <c r="X10" i="5"/>
  <c r="X84" i="7" l="1"/>
  <c r="X66" i="7"/>
  <c r="X70" i="7"/>
  <c r="X69" i="7"/>
  <c r="X68" i="7"/>
  <c r="X67" i="7"/>
  <c r="X65" i="7"/>
  <c r="X64" i="7"/>
  <c r="X63" i="7"/>
  <c r="X62" i="7"/>
  <c r="X61" i="7"/>
  <c r="X60" i="7"/>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25" i="7" l="1"/>
  <c r="X6" i="7"/>
  <c r="Q60" i="7" l="1"/>
  <c r="X28" i="7"/>
  <c r="X27" i="7"/>
  <c r="X26" i="7"/>
  <c r="Q26" i="7"/>
  <c r="X29" i="7"/>
  <c r="X34" i="7"/>
  <c r="X33" i="7"/>
  <c r="X32" i="7"/>
  <c r="X31" i="7"/>
  <c r="X30" i="7"/>
  <c r="X24" i="7"/>
  <c r="X9" i="7"/>
  <c r="X8" i="7"/>
  <c r="X7" i="7"/>
  <c r="Q7" i="7"/>
  <c r="X10" i="7"/>
  <c r="X15" i="7"/>
  <c r="X14" i="7"/>
  <c r="X13" i="7"/>
  <c r="X12" i="7"/>
  <c r="X5" i="7"/>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AB62" i="7"/>
  <c r="AB80" i="7"/>
  <c r="AB44" i="7"/>
  <c r="AB26" i="7"/>
  <c r="AB7" i="7"/>
  <c r="Z10" i="5"/>
  <c r="AB10" i="7"/>
  <c r="AA41" i="5"/>
  <c r="AA42" i="5"/>
  <c r="AA46" i="5"/>
  <c r="AA47" i="5"/>
  <c r="AA45" i="5"/>
  <c r="AA43" i="5"/>
  <c r="AA44" i="5"/>
  <c r="AA59" i="5"/>
  <c r="AA60" i="5"/>
  <c r="AA61" i="5"/>
  <c r="AA62" i="5"/>
  <c r="AA63" i="5"/>
  <c r="AA65" i="5"/>
  <c r="AA64" i="5"/>
  <c r="Z41" i="5"/>
  <c r="AB47" i="7"/>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BC72" i="8"/>
  <c r="BC73" i="8"/>
  <c r="BC57" i="8"/>
  <c r="BC55" i="8"/>
  <c r="BC56" i="8"/>
  <c r="BC24" i="8"/>
  <c r="BC25" i="8"/>
  <c r="BC23" i="8"/>
  <c r="BC9" i="8"/>
  <c r="BC8" i="8"/>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<sst xmlns="http://schemas.openxmlformats.org/spreadsheetml/2006/main" count="3374" uniqueCount="1155">
  <si>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</si>
  <si>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</si>
  <si>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</si>
  <si>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</si>
  <si>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</si>
  <si>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</si>
  <si>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</si>
  <si>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</si>
  <si>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</si>
  <si>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</si>
  <si>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</si>
  <si>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</si>
  <si>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</si>
  <si>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</si>
  <si>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</si>
  <si>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</si>
  <si>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</si>
  <si>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</si>
  <si>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</si>
  <si>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</si>
  <si>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</si>
  <si>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</si>
  <si>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</si>
  <si>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</si>
  <si>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</si>
  <si>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</si>
  <si>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</si>
  <si>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</si>
  <si>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</si>
  <si>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</si>
  <si>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</si>
  <si>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</si>
  <si>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</si>
  <si>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</si>
  <si>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</si>
  <si>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</si>
  <si>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</si>
  <si>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</si>
  <si>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</si>
  <si>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</si>
  <si>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</si>
  <si>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</si>
  <si>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</si>
  <si>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</si>
  <si>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</si>
  <si>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</si>
  <si>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</si>
  <si>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</si>
  <si>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</si>
  <si>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</si>
  <si>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</si>
  <si>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</si>
  <si>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</si>
  <si>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</si>
  <si>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</si>
  <si>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</si>
  <si>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</si>
  <si>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</si>
  <si>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</si>
  <si>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</si>
  <si>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</si>
  <si>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</si>
  <si>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</si>
  <si>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</si>
  <si>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</si>
  <si>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</si>
  <si>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</si>
  <si>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</si>
  <si>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</si>
  <si>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</si>
  <si>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</si>
  <si>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</si>
  <si>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</si>
  <si>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</si>
  <si>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</si>
  <si>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</si>
  <si>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</si>
  <si>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</si>
  <si>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</si>
  <si>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</si>
  <si>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</si>
  <si>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</si>
  <si>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</si>
  <si>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</si>
  <si>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</si>
  <si>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</si>
  <si>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</si>
  <si>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</si>
  <si>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</si>
  <si>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</si>
  <si>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</si>
  <si>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</si>
  <si>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</si>
  <si>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</si>
  <si>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</si>
  <si>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</si>
  <si>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</si>
  <si>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</si>
  <si>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</si>
  <si>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</si>
  <si>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</si>
  <si>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</si>
  <si>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</si>
  <si>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</si>
  <si>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</si>
  <si>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</si>
  <si>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</si>
  <si>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</si>
  <si>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</si>
  <si>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</si>
  <si>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</si>
  <si>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</si>
  <si>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</si>
  <si>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</si>
  <si>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</si>
  <si>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</si>
  <si>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</si>
  <si>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</si>
  <si>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</si>
  <si>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</si>
  <si>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</si>
  <si>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</si>
  <si>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</si>
  <si>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</si>
  <si>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</si>
  <si>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</si>
  <si>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</si>
  <si>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</si>
  <si>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</si>
  <si>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</si>
  <si>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</si>
  <si>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</si>
  <si>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</si>
  <si>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</si>
  <si>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</si>
  <si>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</si>
  <si>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</si>
  <si>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</si>
  <si>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</si>
  <si>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</si>
  <si>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</si>
  <si>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</si>
  <si>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</si>
  <si>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</si>
  <si>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</si>
  <si>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</si>
  <si>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</si>
  <si>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</si>
  <si>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</si>
  <si>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</si>
  <si>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</si>
  <si>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</si>
  <si>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</si>
  <si>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</si>
  <si>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</si>
  <si>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</si>
  <si>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</si>
  <si>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</si>
  <si>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</si>
  <si>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</si>
  <si>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</si>
  <si>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</si>
  <si>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</si>
  <si>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</si>
  <si>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</si>
  <si>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</si>
  <si>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</si>
  <si>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</si>
  <si>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</si>
  <si>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</si>
  <si>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</si>
  <si>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</si>
  <si>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</si>
  <si>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</si>
  <si>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</si>
  <si>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</si>
  <si>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</si>
  <si>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</si>
  <si>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</si>
  <si>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</si>
  <si>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</si>
  <si>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</si>
  <si>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</si>
  <si>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</si>
  <si>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</si>
  <si>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</si>
  <si>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</si>
  <si>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</si>
  <si>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</si>
  <si>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</si>
  <si>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</si>
  <si>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</si>
  <si>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</si>
  <si>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</si>
  <si>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</si>
  <si>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</si>
  <si>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</si>
  <si>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</si>
  <si>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</si>
  <si>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</si>
  <si>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</si>
  <si>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</si>
  <si>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</si>
  <si>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</si>
  <si>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</si>
  <si>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</si>
  <si>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</si>
  <si>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</si>
  <si>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</si>
  <si>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</si>
  <si>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</si>
  <si>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</si>
  <si>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</si>
  <si>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</si>
  <si>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</si>
  <si>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</si>
  <si>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</si>
  <si>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</si>
  <si>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</si>
  <si>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</si>
  <si>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</si>
  <si>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</si>
  <si>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</si>
  <si>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</si>
  <si>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</si>
  <si>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</si>
  <si>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</si>
  <si>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</si>
  <si>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</si>
  <si>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</si>
  <si>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</si>
  <si>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</si>
  <si>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</si>
  <si>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</si>
  <si>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</si>
  <si>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</si>
  <si>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</si>
  <si>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</si>
  <si>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</si>
  <si>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</si>
  <si>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</si>
  <si>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</si>
  <si>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</si>
  <si>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</si>
  <si>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</si>
  <si>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</si>
  <si>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</si>
  <si>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</si>
  <si>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</si>
  <si>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</si>
  <si>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</si>
  <si>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</si>
  <si>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</si>
  <si>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</si>
  <si>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</si>
  <si>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</si>
  <si>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</si>
  <si>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</si>
  <si>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</si>
  <si>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</si>
  <si>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</si>
  <si>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</si>
  <si>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</si>
  <si>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</si>
  <si>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</si>
  <si>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</si>
  <si>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</si>
  <si>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</si>
  <si>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</si>
  <si>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</si>
  <si>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</si>
  <si>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</si>
  <si>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</si>
  <si>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</si>
  <si>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</si>
  <si>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</si>
  <si>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</si>
  <si>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</si>
  <si>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</si>
  <si>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</si>
  <si>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</si>
  <si>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</si>
  <si>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</si>
  <si>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</si>
  <si>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</si>
  <si>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</si>
  <si>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</si>
  <si>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</si>
  <si>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</si>
  <si>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</si>
  <si>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</si>
  <si>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</si>
  <si>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</si>
  <si>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</si>
  <si>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</si>
  <si>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</si>
  <si>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</si>
  <si>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</si>
  <si>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</si>
  <si>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</si>
  <si>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</si>
  <si>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</si>
  <si>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</si>
  <si>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</si>
  <si>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</si>
  <si>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</si>
  <si>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</si>
  <si>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</si>
  <si>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</si>
  <si>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</si>
  <si>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</si>
  <si>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</si>
  <si>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</si>
  <si>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</si>
  <si>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</si>
  <si>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</si>
  <si>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</si>
  <si>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</si>
  <si>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</si>
  <si>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</si>
  <si>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</si>
  <si>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</si>
  <si>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</si>
  <si>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</si>
  <si>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</si>
  <si>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</si>
  <si>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</si>
  <si>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</si>
  <si>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</si>
  <si>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</si>
  <si>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</si>
  <si>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</si>
  <si>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</si>
  <si>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</si>
  <si>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</si>
  <si>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</si>
  <si>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</si>
  <si>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</si>
  <si>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</si>
  <si>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</si>
  <si>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</si>
  <si>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</si>
  <si>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</si>
  <si>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</si>
  <si>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</si>
  <si>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</si>
  <si>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</si>
  <si>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</si>
  <si>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</si>
  <si>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</si>
  <si>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</si>
  <si>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</si>
  <si>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</si>
  <si>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</si>
  <si>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</si>
  <si>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</si>
  <si>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</si>
  <si>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</si>
  <si>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</si>
  <si>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</si>
  <si>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</si>
  <si>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</si>
  <si>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</si>
  <si>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</si>
  <si>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</si>
  <si>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</si>
  <si>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</si>
  <si>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</si>
  <si>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</si>
  <si>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</si>
  <si>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</si>
  <si>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</si>
  <si>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</si>
  <si>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</si>
  <si>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</si>
  <si>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</si>
  <si>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</si>
  <si>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</si>
  <si>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</si>
  <si>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</si>
  <si>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</si>
  <si>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</si>
  <si>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</si>
  <si>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</si>
  <si>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</si>
  <si>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</si>
  <si>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</si>
  <si>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</si>
  <si>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</si>
  <si>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</si>
  <si>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</si>
  <si>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</si>
  <si>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</si>
  <si>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</si>
  <si>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</si>
  <si>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</si>
  <si>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</si>
  <si>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</si>
  <si>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</si>
  <si>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</si>
  <si>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</si>
  <si>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</si>
  <si>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</si>
  <si>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</si>
  <si>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</si>
  <si>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</si>
  <si>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</si>
  <si>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</si>
  <si>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</si>
  <si>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</si>
  <si>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</si>
  <si>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</si>
  <si>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</si>
  <si>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</si>
  <si>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</si>
  <si>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</si>
  <si>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</si>
  <si>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</si>
  <si>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</si>
  <si>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</si>
  <si>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</si>
  <si>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</si>
  <si>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</si>
  <si>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</si>
  <si>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</si>
  <si>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</si>
  <si>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</si>
  <si>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</si>
  <si>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</si>
  <si>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</si>
  <si>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</si>
  <si>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</si>
  <si>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</si>
  <si>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</si>
  <si>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</si>
  <si>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</si>
  <si>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</si>
  <si>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</si>
  <si>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</si>
  <si>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</si>
  <si>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</si>
  <si>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</si>
  <si>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</si>
  <si>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</si>
  <si>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</si>
  <si>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</si>
  <si>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</si>
  <si>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</si>
  <si>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</si>
  <si>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</si>
  <si>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</si>
  <si>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</si>
  <si>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</si>
  <si>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</si>
  <si>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</si>
  <si>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</si>
  <si>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</si>
  <si>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</si>
  <si>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</si>
  <si>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</si>
  <si>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</si>
  <si>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</si>
  <si>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</si>
  <si>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</si>
  <si>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</si>
  <si>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</si>
  <si>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</si>
  <si>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</si>
  <si>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</si>
  <si>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</si>
  <si>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</si>
  <si>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</si>
  <si>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</si>
  <si>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</si>
  <si>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</si>
  <si>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</si>
  <si>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</si>
  <si>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</si>
  <si>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</si>
  <si>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</si>
  <si>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</si>
  <si>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</si>
  <si>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</si>
  <si>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</si>
  <si>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</si>
  <si>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</si>
  <si>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</si>
  <si>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</si>
  <si>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</si>
  <si>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</si>
  <si>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</si>
  <si>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</si>
  <si>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</si>
  <si>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</si>
  <si>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</si>
  <si>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</si>
  <si>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</si>
  <si>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</si>
  <si>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</si>
  <si>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</si>
  <si>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</si>
  <si>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</si>
  <si>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</si>
  <si>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</si>
  <si>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</si>
  <si>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</si>
  <si>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</si>
  <si>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</si>
  <si>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</si>
  <si>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</si>
  <si>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</si>
  <si>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</si>
  <si>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</si>
  <si>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</si>
  <si>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</si>
  <si>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</si>
  <si>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</si>
  <si>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</si>
  <si>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</si>
  <si>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</si>
  <si>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</si>
  <si>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</si>
  <si>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</si>
  <si>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</si>
  <si>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</si>
  <si>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</si>
  <si>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</si>
  <si>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</si>
  <si>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</si>
  <si>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</si>
  <si>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</si>
  <si>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</si>
  <si>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</si>
  <si>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</si>
  <si>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</si>
  <si>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</si>
  <si>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</si>
  <si>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</si>
  <si>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</si>
  <si>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</si>
  <si>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</si>
  <si>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</si>
  <si>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</si>
  <si>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</si>
  <si>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</si>
  <si>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</si>
  <si>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</si>
  <si>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</si>
  <si>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</si>
  <si>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</si>
  <si>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</si>
  <si>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</si>
  <si>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</si>
  <si>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</si>
  <si>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</si>
  <si>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</si>
  <si>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</si>
  <si>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</si>
  <si>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</si>
  <si>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</si>
  <si>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</si>
  <si>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</si>
  <si>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</si>
  <si>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</si>
  <si>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</si>
  <si>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</si>
  <si>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</si>
  <si>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</si>
  <si>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</si>
  <si>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</si>
  <si>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</si>
  <si>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</si>
  <si>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</si>
  <si>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</si>
  <si>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</si>
  <si>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</si>
  <si>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</si>
  <si>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</si>
  <si>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</si>
  <si>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</si>
  <si>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</si>
  <si>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</si>
  <si>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</si>
  <si>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</si>
  <si>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</si>
  <si>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</si>
  <si>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</si>
  <si>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</si>
  <si>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</si>
  <si>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</si>
  <si>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</si>
  <si>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</si>
  <si>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</si>
  <si>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</si>
  <si>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</si>
  <si>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</si>
  <si>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</si>
  <si>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</si>
  <si>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</si>
  <si>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</si>
  <si>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</si>
  <si>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</si>
  <si>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</si>
  <si>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</si>
  <si>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</si>
  <si>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</si>
  <si>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</si>
  <si>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</si>
  <si>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</si>
  <si>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</si>
  <si>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</si>
  <si>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</si>
  <si>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</si>
  <si>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</si>
  <si>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</si>
  <si>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</si>
  <si>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</si>
  <si>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</si>
  <si>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</si>
  <si>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</si>
  <si>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</si>
  <si>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</si>
  <si>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</si>
  <si>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</si>
  <si>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</si>
  <si>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</si>
  <si>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</si>
  <si>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</si>
  <si>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</si>
  <si>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</si>
  <si>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</si>
  <si>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</si>
  <si>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</si>
  <si>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</si>
  <si>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</si>
  <si>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</si>
  <si>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</si>
  <si>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</si>
  <si>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</si>
  <si>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</si>
  <si>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</si>
  <si>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</si>
  <si>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</si>
  <si>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</si>
  <si>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</si>
  <si>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</si>
  <si>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</si>
  <si>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</si>
  <si>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</si>
  <si>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</si>
  <si>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</si>
  <si>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</si>
  <si>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</si>
  <si>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</si>
  <si>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</si>
  <si>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</si>
  <si>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</si>
  <si>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</si>
  <si>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</si>
  <si>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</si>
  <si>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</si>
  <si>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</si>
  <si>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</si>
  <si>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</si>
  <si>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</si>
  <si>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</si>
  <si>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</si>
  <si>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</si>
  <si>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</si>
  <si>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</si>
  <si>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</si>
  <si>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</si>
  <si>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</si>
  <si>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</si>
  <si>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</si>
  <si>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</si>
  <si>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</si>
  <si>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</si>
  <si>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</si>
  <si>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</si>
  <si>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</si>
  <si>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</si>
  <si>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</si>
  <si>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</si>
  <si>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</si>
  <si>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</si>
  <si>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</si>
  <si>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</si>
  <si>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</si>
  <si>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</si>
  <si>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</si>
  <si>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</si>
  <si>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</si>
  <si>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</si>
  <si>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</si>
  <si>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</si>
  <si>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</si>
  <si>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</si>
  <si>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</si>
  <si>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</si>
  <si>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</si>
  <si>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</si>
  <si>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</si>
  <si>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</si>
  <si>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</si>
  <si>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</si>
  <si>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</si>
  <si>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</si>
  <si>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</si>
  <si>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</si>
  <si>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</si>
  <si>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</si>
  <si>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</si>
  <si>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</si>
  <si>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</si>
  <si>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</si>
  <si>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</si>
  <si>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</si>
  <si>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</si>
  <si>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</si>
  <si>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</si>
  <si>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</si>
  <si>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</si>
  <si>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</si>
  <si>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</si>
  <si>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</si>
  <si>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</si>
  <si>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</si>
  <si>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</si>
  <si>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</si>
  <si>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</si>
  <si>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</si>
  <si>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</si>
  <si>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</si>
  <si>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</si>
  <si>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</si>
  <si>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</si>
  <si>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</si>
  <si>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</si>
  <si>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</si>
  <si>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</si>
  <si>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</si>
  <si>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</si>
  <si>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</si>
  <si>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</si>
  <si>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</si>
  <si>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</si>
  <si>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</si>
  <si>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</si>
  <si>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</si>
  <si>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</si>
  <si>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</si>
  <si>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</si>
  <si>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</si>
  <si>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</si>
  <si>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</si>
  <si>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</si>
  <si>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</si>
  <si>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</si>
  <si>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</si>
  <si>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</si>
  <si>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</si>
  <si>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</si>
  <si>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</si>
  <si>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</si>
  <si>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</si>
  <si>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</si>
  <si>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</si>
  <si>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</si>
  <si>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</si>
  <si>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</si>
  <si>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</si>
  <si>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</si>
  <si>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</si>
  <si>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</si>
  <si>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</si>
  <si>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</si>
  <si>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</si>
  <si>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</si>
  <si>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</si>
  <si>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</si>
  <si>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</si>
  <si>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</si>
  <si>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</si>
  <si>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</si>
  <si>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</si>
  <si>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</si>
  <si>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</si>
  <si>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</si>
  <si>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</si>
  <si>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</si>
  <si>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</si>
  <si>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</si>
  <si>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</si>
  <si>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</si>
  <si>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</si>
  <si>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</si>
  <si>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</si>
  <si>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</si>
  <si>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</si>
  <si>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</si>
  <si>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</si>
  <si>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</si>
  <si>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</si>
  <si>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</si>
  <si>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</si>
  <si>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</si>
  <si>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</si>
  <si>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</si>
  <si>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</si>
  <si>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</si>
  <si>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</si>
  <si>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</si>
  <si>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</si>
  <si>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</si>
  <si>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</si>
  <si>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</si>
  <si>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</si>
  <si>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</si>
  <si>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</si>
  <si>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</si>
  <si>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</si>
  <si>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</si>
  <si>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</si>
  <si>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</si>
  <si>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</si>
  <si>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</si>
  <si>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</si>
  <si>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</si>
  <si>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</si>
  <si>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</si>
  <si>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</si>
  <si>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</si>
  <si>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</si>
  <si>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</si>
  <si>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</si>
  <si>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</si>
  <si>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</si>
  <si>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</si>
  <si>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</si>
  <si>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</si>
  <si>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</si>
  <si>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</si>
  <si>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</si>
  <si>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</si>
  <si>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</si>
  <si>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</si>
  <si>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</si>
  <si>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</si>
  <si>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</si>
  <si>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</si>
  <si>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</si>
  <si>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</si>
  <si>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</si>
  <si>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</si>
  <si>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</si>
  <si>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</si>
  <si>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</si>
  <si>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</si>
  <si>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</si>
  <si>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</si>
  <si>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</si>
  <si>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</si>
  <si>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</si>
  <si>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</si>
  <si>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</si>
  <si>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</si>
  <si>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</si>
  <si>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</si>
  <si>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</si>
  <si>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</si>
  <si>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</si>
  <si>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</si>
  <si>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</si>
  <si>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</si>
  <si>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</si>
  <si>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</si>
  <si>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</si>
  <si>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</si>
  <si>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</si>
  <si>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</si>
  <si>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</si>
  <si>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</si>
  <si>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</si>
  <si>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</si>
  <si>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</si>
  <si>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</si>
  <si>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</si>
  <si>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</si>
  <si>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</si>
  <si>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</si>
  <si>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</si>
  <si>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</si>
  <si>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</si>
  <si>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</si>
  <si>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</si>
  <si>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</si>
  <si>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</si>
  <si>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</si>
  <si>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</si>
  <si>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</si>
  <si>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</si>
  <si>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</si>
  <si>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</si>
  <si>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</si>
  <si>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</si>
  <si>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</si>
  <si>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</si>
  <si>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</si>
  <si>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</si>
  <si>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</si>
  <si>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</si>
  <si>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</si>
  <si>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</si>
  <si>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</si>
  <si>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</si>
  <si>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</si>
  <si>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</si>
  <si>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</si>
  <si>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</si>
  <si>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</si>
  <si>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</si>
  <si>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</si>
  <si>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</si>
  <si>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</si>
  <si>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</si>
  <si>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</si>
  <si>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</si>
  <si>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</si>
  <si>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</si>
  <si>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</si>
  <si>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</si>
  <si>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</si>
  <si>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</si>
  <si>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</si>
  <si>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</si>
  <si>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</si>
  <si>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</si>
  <si>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</si>
  <si>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</si>
  <si>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</si>
  <si>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</si>
  <si>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</si>
  <si>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</si>
  <si>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</si>
  <si>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</si>
  <si>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</si>
  <si>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</si>
  <si>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</si>
  <si>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</si>
  <si>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</si>
  <si>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</si>
  <si>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</si>
  <si>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</si>
  <si>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</si>
  <si>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</si>
  <si>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</si>
  <si>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</si>
  <si>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</si>
  <si>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</si>
  <si>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</si>
  <si>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</si>
  <si>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</si>
  <si>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</si>
  <si>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</si>
  <si>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</si>
  <si>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</si>
  <si>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</si>
  <si>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</si>
  <si>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</si>
  <si>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</si>
  <si>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</si>
  <si>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</si>
  <si>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</si>
  <si>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</si>
  <si>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</si>
  <si>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</si>
  <si>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</si>
  <si>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</si>
  <si>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</si>
  <si>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</si>
  <si>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</si>
  <si>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</si>
  <si>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</si>
  <si>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</si>
  <si>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</si>
  <si>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</si>
  <si>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</si>
  <si>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</si>
  <si>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</si>
  <si>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</si>
  <si>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</si>
  <si>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</si>
  <si>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</si>
  <si>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</si>
  <si>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</si>
  <si>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</si>
  <si>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</si>
  <si>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</si>
  <si>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</si>
  <si>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</si>
  <si>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</si>
  <si>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</si>
  <si>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</si>
  <si>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</si>
  <si>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</si>
  <si>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</si>
  <si>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</si>
  <si>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</si>
  <si>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</si>
  <si>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</si>
  <si>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</si>
  <si>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</si>
  <si>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</si>
  <si>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</si>
  <si>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</si>
  <si>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</si>
  <si>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</si>
  <si>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</si>
  <si>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</si>
  <si>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</si>
  <si>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</si>
  <si>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</si>
  <si>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</si>
  <si>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</si>
  <si>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</si>
  <si>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</si>
  <si>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</si>
  <si>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</si>
  <si>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</si>
  <si>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</si>
  <si>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</si>
  <si>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</si>
  <si>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</si>
  <si>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</si>
  <si>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</si>
  <si>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</si>
  <si>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</si>
  <si>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</si>
  <si>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</si>
  <si>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</si>
  <si>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</si>
  <si>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</si>
  <si>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</si>
  <si>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</si>
  <si>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</si>
  <si>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</si>
  <si>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</si>
  <si>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</si>
  <si>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</si>
  <si>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</si>
  <si>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</si>
  <si>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</si>
  <si>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</si>
  <si>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</si>
  <si>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</si>
  <si>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</si>
  <si>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</si>
  <si>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</si>
  <si>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</si>
  <si>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</si>
  <si>
    <t>Former Portfolio</t>
  </si>
  <si>
    <t>Finance</t>
  </si>
  <si>
    <t>FINANCE</t>
  </si>
  <si>
    <t>Target deferred to 2022-23 in order to enable more extensive monitoring during the spring/summer of 2022. Deferral approved at March Cabinet.</t>
  </si>
  <si>
    <t xml:space="preserve">Target deferred to 2022-23. Deferral approved at March Cabinet. </t>
  </si>
  <si>
    <t>Target deleted due to lack of certainty over the timing of government guidance. Deletion approved at March Cabinet.</t>
  </si>
  <si>
    <t>Target deleted on the basis that the outcome of the business case of Project C has been deferred. Deletion approved at March Cabinet.</t>
  </si>
  <si>
    <t>Sara Gummerson</t>
  </si>
  <si>
    <t>Review completed including survey and extension of current monitoring and maintenance contract.</t>
  </si>
  <si>
    <t>Polling Place Review was completed in March 2022.</t>
  </si>
  <si>
    <t>The amended boundaries will be implemented in November 2022 prior to the publication of the revised Register of Electors. Preparations have been completed.</t>
  </si>
  <si>
    <t>Approval to award the contract to the preferred bidder secured through Cabinet in Feb-22.</t>
  </si>
  <si>
    <t>New policy and procedures approved via Executive Decision Record.</t>
  </si>
  <si>
    <t xml:space="preserve">Following the initial meeting with all three Chief Executives to establish the appetite for exploring shared working, consultants were commissioned to undertake a land and planning search for potential shared depot locations. This work is now complete. </t>
  </si>
  <si>
    <t>Further meeting required with Chief Executives to discuss report outcome and next steps.</t>
  </si>
  <si>
    <t xml:space="preserve">Draft guidance was prepared and discussed by working group. </t>
  </si>
  <si>
    <t xml:space="preserve">Draft SPD signed off and will go out for consultation in April </t>
  </si>
  <si>
    <t xml:space="preserve">Climate Change Action Plan -1st year progress report completed and approved by Cabinet in February 2022. Declaration amended to include an ecological emergency and approved at Full Council. </t>
  </si>
  <si>
    <t xml:space="preserve">Fully achieved in December 2021. </t>
  </si>
  <si>
    <t>0% all elements.  Surveys carried out Dec - March</t>
  </si>
  <si>
    <t>0% all elements</t>
  </si>
  <si>
    <t xml:space="preserve">Each service area has it own marketing plan and over 85% of the targets have been achieved. </t>
  </si>
  <si>
    <t>A wide range of events have been developed and delivered in 2021/22 to promote ESBC services. Results of these events, along with campaigns have been reported to members each quarter.</t>
  </si>
  <si>
    <t>529.84kg - estimated</t>
  </si>
  <si>
    <t>A new Brownfield Regeneration Framework was approved by Cabinet in March 2022, replacing the existing Brownfield and Infill Regeneration Strategy</t>
  </si>
  <si>
    <t>Three fairs were supported.</t>
  </si>
  <si>
    <t>13 businesses were supported with funding totalling £80,705, resulting in £192,526 of private sector match. This equates to £2.39 of private sector funding per £1 of BSB grant.</t>
  </si>
  <si>
    <t>4 engagement events were arranged (2 in Burton, 2 in Uttoxeter), however two of these needed to be cancelled due to low turnout. Further, targeted engagement activities took place with businesses in order to mitigate these cancellations.</t>
  </si>
  <si>
    <t>42.19% - estimated</t>
  </si>
  <si>
    <t>Achieved in Q1.</t>
  </si>
  <si>
    <t>Achieved in Q3.</t>
  </si>
  <si>
    <t xml:space="preserve">Over 3 'key to key' instances, there was a void turnaround of 4 days of 0.75 days on average. </t>
  </si>
  <si>
    <t>3.8.days</t>
  </si>
  <si>
    <t>There were 74 initial decisions taken in the quarter, with an average of 0.08 days from appointment to initial decision.</t>
  </si>
  <si>
    <t>0.4 days</t>
  </si>
  <si>
    <t xml:space="preserve">Quarterly Performance Report presented to Corporate Management Team, Leader and Deputy Leaders, LAG / LOAG / IAAG and AVFM Scrutiny Committee during February and March 2022. </t>
  </si>
  <si>
    <t xml:space="preserve">Summary Documents for all the projects approved by Council were submitted to Government on 24th March 2022 in accordance with the deadline. </t>
  </si>
  <si>
    <t>Phase one of the UPRN project has been implemented. A resync of the LLPG data with GeoPlace has been undertaken and the quality of our data is reflected in the Gold rating we have received for all categories. We have linked 100% of residential records with Council Tax and PAF records held by GeoPlace.</t>
  </si>
  <si>
    <t xml:space="preserve">Council officers have attended a lead officer group in relation to the Games throughout the year
The Council has supported various communications opportunities such as the recruitment of Games volunteers and advertisement of the West Midlands ticket ballot through its website and social media channels, along with promotion of baton bearer nomination opportunities. 
The Council has identified appropriate opportunities relating to the Queen's baton Relay. </t>
  </si>
  <si>
    <t xml:space="preserve">Benefits assessors have made significant achievements over this last year, dealing with increased volumes of DWP files to process and manage. </t>
  </si>
  <si>
    <t>Report compiled in April 2022.</t>
  </si>
  <si>
    <t>Report approved by Cabinet March 2022</t>
  </si>
  <si>
    <t>Report approved by Cabinet March 2022. Burton and Uttoxeter CSCs closed permanently with effect from 01/04/2022</t>
  </si>
  <si>
    <t>Report compiled in April 2022 and will be delivered to the next Digital Strategy meeting in May 2022.</t>
  </si>
  <si>
    <t>Completed on target.</t>
  </si>
  <si>
    <t>Business Rates collection is 3.58% up on the same time last year and is 0.33% down against the annual target.</t>
  </si>
  <si>
    <t>Council Tax collection is 0.13% up on the same time last year, but 1.03% down against the annual target.</t>
  </si>
  <si>
    <t>Figure is net of credits, arrangements and identified write offs.</t>
  </si>
  <si>
    <t>Invoices raised during the year against all payments received for all invoices.</t>
  </si>
  <si>
    <t>Target was new in 2021-22 and too ambitious</t>
  </si>
  <si>
    <t>A second report was taken to CMT on 15 February 22, with a subsequent briefing supplied to the Deputy Leader.</t>
  </si>
  <si>
    <t>A live stream took place of our Inclusive Dance group during March as part of critical mass dance project taking place across the West Midlands.</t>
  </si>
  <si>
    <t>Peer challenge completed in December.</t>
  </si>
  <si>
    <t xml:space="preserve">Staffordshire FA (SFA) have continued to progress the necessary investigations to enable the development of the hub site with partners. This includes working on the relevant legal documentation with Aggregate Industries, with confirmation of this having been signed expected in the near future. The SFA have also had some initial feasibility back now in terms of a possible layout for the site and what can/cannot be achieved. This is mainly for the grass pitches to give an idea of drainage, levels etc with more in-depth work to take place before they have a fully scaled layout and proposal. This will take place over the coming months now they have this initial detail. Additionally the SFA have instructed the Football Foundation to start the 3G artificial turf pitch feasibility work with a site meeting to take place during May. This will link in with the overall feasibility but has to be managed via the Football Foundation, so will run alongside the overall feasibility work. The SFA are also liaising with the Planning Authority regarding permitted developments or any required permissions. The Council has continued to liaise with the relevant developers for the Hazelwalls and Land West of Uttoxeter sites to expedite the release of S106 monies, to allow the SFA to work on leveraging additional funding via the Football Foundation. </t>
  </si>
  <si>
    <t>3.74 days</t>
  </si>
  <si>
    <t>Q1 = 0.48 days
Q2 = 0.68 days
Q3 = 1.19 days
Q4 = 1.39 days</t>
  </si>
  <si>
    <t>Review completed. Fees set to stay the same for one year.</t>
  </si>
  <si>
    <t>Extension of current monitoring and maintenance contract has been completed.</t>
  </si>
  <si>
    <t>Gambling Act Policy review completed, adopted by Full Council and published on the website.</t>
  </si>
  <si>
    <t>Policy updated and approved by Full Council.</t>
  </si>
  <si>
    <t>Review completed and proposals submitted to Staffordshire County Council Highways.</t>
  </si>
  <si>
    <t>Review and update completed and approved via EDR.</t>
  </si>
  <si>
    <t>Work has been progressed throughout the year.</t>
  </si>
  <si>
    <t>Completed Q3.</t>
  </si>
  <si>
    <t>Charging points installed at depot and cemetery.</t>
  </si>
  <si>
    <t>Communication campaign on the new dry recycling service commenced in March 2022 via the website, social media, council tax bills and resident leaflets. 
Awaiting further feedback from the scrutiny review.</t>
  </si>
  <si>
    <t>Communications campaign planned for this year to promote recycling and encourage residents to reduce waste. The best performing Authorities are collecting food waste separately which improves the recycling rate and reduces the level of residual waste.</t>
  </si>
  <si>
    <t xml:space="preserve">Consultation for redesignation of the scheme undertaken Jan-Mar 2022. Landlords meeting with Leaders of the Council completed in March 2022. Consultation response documents drafted for Cabinet in May 2022. </t>
  </si>
  <si>
    <t>8 Applications all within time = 100%
End of year quartile data for 2021-22 not yet available. Based on last year's quartiles and performance/quartiles as at Q3, performance is top quartile.</t>
  </si>
  <si>
    <t>61 Applications 59 within time = 97%
End of year quartile data for 2021-22 not yet available. Based on last year's quartiles and performance/quartiles as at Q3, performance is top quartile.</t>
  </si>
  <si>
    <t>132 Applications 127 within time = 96%
End of year quartile data for 2021-22 not yet available. Based on last year's quartiles and performance/quartiles as at Q3, performance is top quartile.</t>
  </si>
  <si>
    <t>CSCs in Burton and Uttoxeter have been closed most of the year due to the pandemic, and are now permanently closed following Council approval in March 2022.</t>
  </si>
  <si>
    <t>This is an excellent achievement, considering the amount of contact dealt with following Government grant and payment announcements during the year.</t>
  </si>
  <si>
    <t>OWBC has successfully migrated all ICT services back in house.</t>
  </si>
  <si>
    <t>All possible devices refreshed, remaining devices to cover as and when they become possible i.e. Planning/enforcement etc.</t>
  </si>
  <si>
    <t>There have not been any new announcements or consultations in relation to the proposed local government finance changes.  Officer will continue to monitor developments and brief members accordingly.</t>
  </si>
  <si>
    <t>Q3 1.16 days
There has been an increase in Covid infections and colds/flu type illness.</t>
  </si>
  <si>
    <t xml:space="preserve">A comprehensive range of campaigns have been delivered, including Stay Local campaign, Christmas In Burton campaign, Brewhouse Seasonal campaigns, Brewhouse On Tour Campaign and Market Events campaigns.  </t>
  </si>
  <si>
    <t>The street cleaning module is now in place, although further work is required to cleanse the historic data to enable full integration with our working practices. Due in May/June-22</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</si>
  <si>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</si>
  <si>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It was anticipated that Covid restrictions may impact the  achievement of this target date.
Deferral until September 22 requested</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</si>
  <si>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</si>
  <si>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Report considered by Cabinet in March 2022, with further work being undertaken later in 2022. </t>
  </si>
  <si>
    <t xml:space="preserve">Ongoing Covid compliance and enforcement work. Tenant fees project signed up to with County Council leading. </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</si>
  <si>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</si>
  <si>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 xml:space="preserve">Ongoing Covid compliance work and supporting businesses with the transition to living with Covid. </t>
  </si>
  <si>
    <t>A final exhibition took place to unveil the 30 Anniversary commissions at the Brewhouse</t>
  </si>
  <si>
    <t>Due to schools engagement being low (due to Covid restrictions within schools over the winter) a small trail was created occupying empty shops in the Burton Shopping centres. A larger scale public arts trail has been postponed. This will take place in Summer 2022.</t>
  </si>
  <si>
    <t>The Council has supported Market Hall Traders through the post-covid-19 recovery period through marketing efforts to raise footfall (CR01 &amp; CR 03) and DL visits to meet traders. We have offered some short term leases so that traders businesses can continue to operate and establsihed a cross party working  group.</t>
  </si>
  <si>
    <t>The budget was set for Council approval in Feburary 2022. However, due to the decision in relation to the Towns Fund Programme in February 2022, consideration of the MTFS was deferred until March 2022 to enable the MTFS to be updated.  A revised budget was approved at March Council.</t>
  </si>
  <si>
    <t>The Council has achieved Gold in all relevant categories. In May 2022 the Council received a Gold certificate award from Geoplace in recognition of being an exemplar organisation for address data.</t>
  </si>
  <si>
    <t>End of Year 2021/22</t>
  </si>
  <si>
    <t xml:space="preserve">Q4= 33.83% - estimated as not all data received
Annual outturn = 42.19% estimated
End of year quartile data for 2021-22 not yet available. Based on preliminary estimates and quartiles as at Q3, performance in the third quartile region. (ESBC Q3 estimated 38.8% compared to Q3 median for all English districts 41.86%, Q3 top quartile 50.73%). </t>
  </si>
  <si>
    <t xml:space="preserve">Q4 = 136.80kg - estimated as not all data received
Annual outturn = 529.84kg estimated
End of year quartile data for 2021-22 not yet available. Based on preliminary estimates and quartiles as at Q3, performance in the bottom quartile region. (ESBC Q£ estimated 133kg compared to Q3 median for all English districts 110kg, Q3 top quartile 93.45kg and bottom quartile 124.7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</si>
</sst>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quot;£&quot;#,##0.00"/>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60"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8"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7"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4"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5" fillId="3" borderId="71" xfId="0" applyNumberFormat="1" applyFont="1" applyFill="1" applyBorder="1" applyAlignment="1" applyProtection="1">
      <alignment horizontal="center" vertical="center" wrapText="1"/>
    </xf>
    <xf numFmtId="0" fontId="59" fillId="6" borderId="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3"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4" fillId="6" borderId="4" xfId="0" applyNumberFormat="1" applyFont="1" applyFill="1" applyBorder="1" applyAlignment="1" applyProtection="1">
      <alignment horizontal="left" vertical="center" wrapText="1"/>
    </xf>
    <xf numFmtId="0" fontId="55"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64" fontId="5" fillId="24" borderId="72" xfId="0" applyNumberFormat="1" applyFont="1" applyFill="1" applyBorder="1" applyAlignment="1" applyProtection="1">
      <alignment horizontal="center" vertical="center" wrapText="1"/>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62" fillId="6" borderId="53" xfId="1" applyNumberFormat="1" applyFont="1" applyFill="1" applyBorder="1" applyAlignment="1" applyProtection="1">
      <alignment horizontal="left" vertical="center" wrapText="1"/>
    </xf>
    <xf numFmtId="49" fontId="61"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4"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10" fillId="0" borderId="53" xfId="0" applyFont="1" applyBorder="1" applyAlignment="1">
      <alignment vertical="center" wrapText="1"/>
    </xf>
    <xf numFmtId="0" fontId="9" fillId="6" borderId="0" xfId="0" applyNumberFormat="1" applyFont="1" applyFill="1" applyBorder="1" applyAlignment="1" applyProtection="1">
      <alignment horizontal="left" vertical="center" wrapText="1"/>
      <protection locked="0"/>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2" borderId="0" xfId="0" applyNumberFormat="1" applyFont="1" applyFill="1" applyAlignment="1" applyProtection="1">
      <alignment horizontal="center" vertical="center"/>
    </xf>
    <xf numFmtId="0" fontId="23" fillId="22"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0.94262295081967218</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1.6393442622950821E-2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4.0983606557377053E-2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0.94262295081967218</c:v>
                </c:pt>
                <c:pt idx="1">
                  <c:v>1.6393442622950821E-2</c:v>
                </c:pt>
                <c:pt idx="2">
                  <c:v>4.0983606557377053E-2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0.93243243243243246</c:v>
                </c:pt>
                <c:pt idx="1">
                  <c:v>2.7027027027027029E-2</c:v>
                </c:pt>
                <c:pt idx="2">
                  <c:v>4.0540540540540543E-2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c:v>
                </c:pt>
                <c:pt idx="1">
                  <c:v>0</c:v>
                </c:pt>
                <c:pt idx="2">
                  <c:v>0.1</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0.93243243243243246</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2.7027027027027029E-2</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4.0540540540540543E-2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0.96551724137931028</c:v>
                </c:pt>
                <c:pt idx="1">
                  <c:v>0.96969696969696972</c:v>
                </c:pt>
                <c:pt idx="2">
                  <c:v>0.88888888888888895</c:v>
                </c:pt>
                <c:pt idx="3">
                  <c:v>0.97297297297297303</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3.4482758620689655E-2</c:v>
                </c:pt>
                <c:pt idx="1">
                  <c:v>3.0303030303030304E-2</c:v>
                </c:pt>
                <c:pt idx="2">
                  <c:v>2.7777777777777776E-2</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8.3333333333333329E-2</c:v>
                </c:pt>
                <c:pt idx="3">
                  <c:v>2.7027027027027029E-2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0.85714285714285721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2.8571428571428571E-2</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0.11428571428571428</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0.94444444444444442</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5.5555555555555552E-2</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FINANCE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c:v>
                </c:pt>
                <c:pt idx="1">
                  <c:v>0</c:v>
                </c:pt>
                <c:pt idx="2">
                  <c:v>0</c:v>
                </c:pt>
                <c:pt idx="3">
                  <c:v>1</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0.96551724137931028</c:v>
                </c:pt>
                <c:pt idx="1">
                  <c:v>3.4482758620689655E-2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0.96969696969696972</c:v>
                </c:pt>
                <c:pt idx="1">
                  <c:v>3.0303030303030304E-2</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0.9</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0.1</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0.88888888888888895</c:v>
                </c:pt>
                <c:pt idx="1">
                  <c:v>2.7777777777777776E-2</c:v>
                </c:pt>
                <c:pt idx="2">
                  <c:v>8.3333333333333329E-2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0.97297297297297303</c:v>
                </c:pt>
                <c:pt idx="1">
                  <c:v>0</c:v>
                </c:pt>
                <c:pt idx="2">
                  <c:v>2.7027027027027029E-2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0.85714285714285721</c:v>
                </c:pt>
                <c:pt idx="1">
                  <c:v>2.8571428571428571E-2</c:v>
                </c:pt>
                <c:pt idx="2">
                  <c:v>0.11428571428571428</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1</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FINANCE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1</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1</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mapping.eaststaffsbc.gov.uk/map.html" TargetMode="External"/><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176"/>
  <sheetViews>
    <sheetView tabSelected="1" zoomScale="70" zoomScaleNormal="70" workbookViewId="0">
      <pane xSplit="14" ySplit="2" topLeftCell="O3" activePane="bottomRight" state="frozen"/>
      <selection pane="topRight" activeCell="O1" sqref="O1"/>
      <selection pane="bottomLeft" activeCell="A3" sqref="A3"/>
      <selection pane="bottomRight" activeCell="O5" sqref="O5"/>
    </sheetView>
  </sheetViews>
  <sheetFormatPr defaultColWidth="9.33203125" defaultRowHeight="15.6"/>
  <cols>
    <col min="1" max="1" width="20.44140625" style="237" customWidth="1"/>
    <col min="2" max="2" width="14.6640625" style="238" customWidth="1"/>
    <col min="3" max="3" width="49.5546875" style="234" customWidth="1"/>
    <col min="4" max="4" width="50" style="235" customWidth="1"/>
    <col min="5" max="5" width="19.44140625" style="298" customWidth="1"/>
    <col min="6" max="6" width="51.33203125" style="279" hidden="1" customWidth="1"/>
    <col min="7" max="7" width="18.5546875" style="279" hidden="1" customWidth="1"/>
    <col min="8" max="8" width="18.5546875" style="238" hidden="1" customWidth="1"/>
    <col min="9" max="9" width="22.5546875" style="235" hidden="1" customWidth="1"/>
    <col min="10" max="10" width="56.33203125" style="235" hidden="1" customWidth="1"/>
    <col min="11" max="12" width="18.44140625" style="235" hidden="1" customWidth="1"/>
    <col min="13" max="13" width="18.5546875" style="235" hidden="1" customWidth="1"/>
    <col min="14" max="14" width="38.44140625" style="235" hidden="1" customWidth="1"/>
    <col min="15" max="15" width="57.6640625" style="235" customWidth="1"/>
    <col min="16" max="16" width="18.44140625" style="235" customWidth="1"/>
    <col min="17" max="18" width="18.5546875" style="235" customWidth="1"/>
    <col min="19" max="19" width="32.6640625" style="235" customWidth="1"/>
    <col min="20" max="20" width="62.6640625" style="288" customWidth="1"/>
    <col min="21" max="22" width="18.5546875" style="288" customWidth="1"/>
    <col min="23" max="23" width="49.33203125" style="288" customWidth="1"/>
    <col min="24" max="24" width="8.33203125" style="238" customWidth="1"/>
    <col min="25" max="25" width="19.5546875" style="234" customWidth="1"/>
    <col min="26" max="27" width="20.44140625" style="237" customWidth="1"/>
    <col min="28" max="30" width="19.5546875" style="234" customWidth="1"/>
    <col min="31" max="31" width="9.33203125" style="238" customWidth="1"/>
    <col min="32" max="32" width="18.33203125" style="239" customWidth="1"/>
    <col min="33" max="16384" width="9.33203125" style="239"/>
  </cols>
  <sheetData>
    <row r="1" spans="1:31" ht="27.75" customHeight="1">
      <c r="A1" s="233"/>
      <c r="B1" s="233" t="s">
        <v>589</v>
      </c>
      <c r="E1" s="289"/>
      <c r="F1" s="352" t="s">
        <v>248</v>
      </c>
      <c r="G1" s="352"/>
      <c r="H1" s="352"/>
      <c r="I1" s="352"/>
      <c r="J1" s="352" t="s">
        <v>251</v>
      </c>
      <c r="K1" s="352"/>
      <c r="L1" s="352"/>
      <c r="M1" s="352"/>
      <c r="N1" s="352"/>
      <c r="O1" s="353" t="s">
        <v>255</v>
      </c>
      <c r="P1" s="353"/>
      <c r="Q1" s="353"/>
      <c r="R1" s="353"/>
      <c r="S1" s="353"/>
      <c r="T1" s="354" t="s">
        <v>257</v>
      </c>
      <c r="U1" s="354"/>
      <c r="V1" s="354"/>
      <c r="W1" s="354"/>
      <c r="X1" s="236"/>
    </row>
    <row r="2" spans="1:31" s="248" customFormat="1" ht="103.5" customHeight="1" thickBot="1">
      <c r="A2" s="240" t="s">
        <v>37</v>
      </c>
      <c r="B2" s="241" t="s">
        <v>54</v>
      </c>
      <c r="C2" s="242" t="s">
        <v>0</v>
      </c>
      <c r="D2" s="243" t="s">
        <v>242</v>
      </c>
      <c r="E2" s="290" t="s">
        <v>50</v>
      </c>
      <c r="F2" s="317" t="s">
        <v>249</v>
      </c>
      <c r="G2" s="317" t="s">
        <v>51</v>
      </c>
      <c r="H2" s="317" t="s">
        <v>52</v>
      </c>
      <c r="I2" s="317" t="s">
        <v>53</v>
      </c>
      <c r="J2" s="317" t="s">
        <v>250</v>
      </c>
      <c r="K2" s="317" t="s">
        <v>252</v>
      </c>
      <c r="L2" s="317" t="s">
        <v>70</v>
      </c>
      <c r="M2" s="317" t="s">
        <v>71</v>
      </c>
      <c r="N2" s="317" t="s">
        <v>72</v>
      </c>
      <c r="O2" s="244" t="s">
        <v>253</v>
      </c>
      <c r="P2" s="244" t="s">
        <v>254</v>
      </c>
      <c r="Q2" s="244" t="s">
        <v>73</v>
      </c>
      <c r="R2" s="244" t="s">
        <v>74</v>
      </c>
      <c r="S2" s="244" t="s">
        <v>75</v>
      </c>
      <c r="T2" s="285" t="s">
        <v>256</v>
      </c>
      <c r="U2" s="285" t="s">
        <v>133</v>
      </c>
      <c r="V2" s="285" t="s">
        <v>134</v>
      </c>
      <c r="W2" s="285" t="s">
        <v>76</v>
      </c>
      <c r="X2" s="245" t="s">
        <v>31</v>
      </c>
      <c r="Y2" s="240" t="s">
        <v>25</v>
      </c>
      <c r="Z2" s="240" t="s">
        <v>36</v>
      </c>
      <c r="AA2" s="240" t="s">
        <v>110</v>
      </c>
      <c r="AB2" s="240" t="s">
        <v>22</v>
      </c>
      <c r="AC2" s="240" t="s">
        <v>1061</v>
      </c>
      <c r="AD2" s="246" t="s">
        <v>523</v>
      </c>
      <c r="AE2" s="247" t="s">
        <v>49</v>
      </c>
    </row>
    <row r="3" spans="1:31" ht="98.1" customHeight="1" thickBot="1">
      <c r="A3" s="249" t="s">
        <v>42</v>
      </c>
      <c r="B3" s="250" t="s">
        <v>262</v>
      </c>
      <c r="C3" s="251" t="s">
        <v>263</v>
      </c>
      <c r="D3" s="252" t="s">
        <v>264</v>
      </c>
      <c r="E3" s="291">
        <v>44317</v>
      </c>
      <c r="F3" s="253" t="s">
        <v>773</v>
      </c>
      <c r="G3" s="253"/>
      <c r="H3" s="254" t="s">
        <v>56</v>
      </c>
      <c r="I3" s="255"/>
      <c r="J3" s="230" t="s">
        <v>890</v>
      </c>
      <c r="K3" s="261"/>
      <c r="L3" s="264"/>
      <c r="M3" s="254" t="s">
        <v>56</v>
      </c>
      <c r="N3" s="262"/>
      <c r="O3" s="321" t="s">
        <v>1018</v>
      </c>
      <c r="P3" s="321"/>
      <c r="Q3" s="322"/>
      <c r="R3" s="254" t="s">
        <v>56</v>
      </c>
      <c r="S3" s="262"/>
      <c r="T3" s="325"/>
      <c r="U3" s="326"/>
      <c r="V3" s="327" t="s">
        <v>56</v>
      </c>
      <c r="W3" s="287"/>
      <c r="X3" s="265">
        <v>1</v>
      </c>
      <c r="Y3" s="257" t="s">
        <v>27</v>
      </c>
      <c r="Z3" s="258" t="s">
        <v>578</v>
      </c>
      <c r="AA3" s="257" t="s">
        <v>522</v>
      </c>
      <c r="AB3" s="257" t="s">
        <v>80</v>
      </c>
      <c r="AC3" s="257" t="s">
        <v>80</v>
      </c>
      <c r="AD3" s="259" t="s">
        <v>201</v>
      </c>
      <c r="AE3" s="260" t="s">
        <v>595</v>
      </c>
    </row>
    <row r="4" spans="1:31" ht="98.1" customHeight="1" thickBot="1">
      <c r="A4" s="249" t="s">
        <v>166</v>
      </c>
      <c r="B4" s="250" t="s">
        <v>265</v>
      </c>
      <c r="C4" s="251" t="s">
        <v>263</v>
      </c>
      <c r="D4" s="252" t="s">
        <v>266</v>
      </c>
      <c r="E4" s="291">
        <v>44317</v>
      </c>
      <c r="F4" s="253" t="s">
        <v>826</v>
      </c>
      <c r="G4" s="253"/>
      <c r="H4" s="254" t="s">
        <v>56</v>
      </c>
      <c r="I4" s="255"/>
      <c r="J4" s="230" t="s">
        <v>890</v>
      </c>
      <c r="K4" s="230"/>
      <c r="L4" s="229"/>
      <c r="M4" s="254" t="s">
        <v>56</v>
      </c>
      <c r="N4" s="262"/>
      <c r="O4" s="230" t="s">
        <v>1018</v>
      </c>
      <c r="P4" s="321"/>
      <c r="Q4" s="322"/>
      <c r="R4" s="254" t="s">
        <v>56</v>
      </c>
      <c r="S4" s="255"/>
      <c r="T4" s="328"/>
      <c r="U4" s="329"/>
      <c r="V4" s="327" t="s">
        <v>56</v>
      </c>
      <c r="W4" s="286"/>
      <c r="X4" s="256">
        <v>1</v>
      </c>
      <c r="Y4" s="257" t="s">
        <v>27</v>
      </c>
      <c r="Z4" s="258" t="s">
        <v>579</v>
      </c>
      <c r="AA4" s="257" t="s">
        <v>522</v>
      </c>
      <c r="AB4" s="257" t="s">
        <v>80</v>
      </c>
      <c r="AC4" s="257" t="s">
        <v>80</v>
      </c>
      <c r="AD4" s="259" t="s">
        <v>202</v>
      </c>
      <c r="AE4" s="260" t="s">
        <v>596</v>
      </c>
    </row>
    <row r="5" spans="1:31" ht="98.1" customHeight="1" thickBot="1">
      <c r="A5" s="249" t="s">
        <v>166</v>
      </c>
      <c r="B5" s="250" t="s">
        <v>267</v>
      </c>
      <c r="C5" s="251" t="s">
        <v>268</v>
      </c>
      <c r="D5" s="252" t="s">
        <v>269</v>
      </c>
      <c r="E5" s="291">
        <v>44621</v>
      </c>
      <c r="F5" s="253" t="s">
        <v>752</v>
      </c>
      <c r="G5" s="253"/>
      <c r="H5" s="254" t="s">
        <v>65</v>
      </c>
      <c r="I5" s="255"/>
      <c r="J5" s="301"/>
      <c r="K5" s="302"/>
      <c r="L5" s="301"/>
      <c r="M5" s="254" t="s">
        <v>65</v>
      </c>
      <c r="N5" s="262"/>
      <c r="O5" s="321"/>
      <c r="P5" s="321"/>
      <c r="Q5" s="322"/>
      <c r="R5" s="254" t="s">
        <v>65</v>
      </c>
      <c r="S5" s="262"/>
      <c r="T5" s="325" t="s">
        <v>1070</v>
      </c>
      <c r="U5" s="326"/>
      <c r="V5" s="327" t="s">
        <v>56</v>
      </c>
      <c r="W5" s="287" t="s">
        <v>1071</v>
      </c>
      <c r="X5" s="256">
        <v>4</v>
      </c>
      <c r="Y5" s="257" t="s">
        <v>27</v>
      </c>
      <c r="Z5" s="258" t="s">
        <v>579</v>
      </c>
      <c r="AA5" s="257" t="s">
        <v>522</v>
      </c>
      <c r="AB5" s="257" t="s">
        <v>80</v>
      </c>
      <c r="AC5" s="257" t="s">
        <v>80</v>
      </c>
      <c r="AD5" s="259" t="s">
        <v>203</v>
      </c>
      <c r="AE5" s="260" t="s">
        <v>597</v>
      </c>
    </row>
    <row r="6" spans="1:31" ht="98.1" customHeight="1" thickBot="1">
      <c r="A6" s="249" t="s">
        <v>42</v>
      </c>
      <c r="B6" s="250" t="s">
        <v>270</v>
      </c>
      <c r="C6" s="251" t="s">
        <v>271</v>
      </c>
      <c r="D6" s="252" t="s">
        <v>272</v>
      </c>
      <c r="E6" s="291">
        <v>44621</v>
      </c>
      <c r="F6" s="253" t="s">
        <v>810</v>
      </c>
      <c r="G6" s="253"/>
      <c r="H6" s="254" t="s">
        <v>65</v>
      </c>
      <c r="I6" s="255"/>
      <c r="J6" s="230" t="s">
        <v>848</v>
      </c>
      <c r="K6" s="230"/>
      <c r="L6" s="229"/>
      <c r="M6" s="254" t="s">
        <v>65</v>
      </c>
      <c r="N6" s="255"/>
      <c r="O6" s="230" t="s">
        <v>971</v>
      </c>
      <c r="P6" s="321" t="s">
        <v>992</v>
      </c>
      <c r="Q6" s="322" t="s">
        <v>973</v>
      </c>
      <c r="R6" s="254" t="s">
        <v>65</v>
      </c>
      <c r="S6" s="255" t="s">
        <v>972</v>
      </c>
      <c r="T6" s="328" t="s">
        <v>1151</v>
      </c>
      <c r="U6" s="329"/>
      <c r="V6" s="327" t="s">
        <v>56</v>
      </c>
      <c r="W6" s="286"/>
      <c r="X6" s="256">
        <v>4</v>
      </c>
      <c r="Y6" s="257" t="s">
        <v>26</v>
      </c>
      <c r="Z6" s="258" t="s">
        <v>165</v>
      </c>
      <c r="AA6" s="257" t="s">
        <v>522</v>
      </c>
      <c r="AB6" s="257" t="s">
        <v>1062</v>
      </c>
      <c r="AC6" s="257" t="s">
        <v>80</v>
      </c>
      <c r="AD6" s="259" t="s">
        <v>204</v>
      </c>
      <c r="AE6" s="260" t="s">
        <v>598</v>
      </c>
    </row>
    <row r="7" spans="1:31" ht="98.1" customHeight="1" thickBot="1">
      <c r="A7" s="249" t="s">
        <v>42</v>
      </c>
      <c r="B7" s="250" t="s">
        <v>273</v>
      </c>
      <c r="C7" s="251" t="s">
        <v>271</v>
      </c>
      <c r="D7" s="252" t="s">
        <v>274</v>
      </c>
      <c r="E7" s="291">
        <v>44440</v>
      </c>
      <c r="F7" s="266" t="s">
        <v>811</v>
      </c>
      <c r="G7" s="253"/>
      <c r="H7" s="254" t="s">
        <v>65</v>
      </c>
      <c r="I7" s="270"/>
      <c r="J7" s="230" t="s">
        <v>849</v>
      </c>
      <c r="K7" s="230"/>
      <c r="L7" s="229"/>
      <c r="M7" s="254" t="s">
        <v>56</v>
      </c>
      <c r="N7" s="255"/>
      <c r="O7" s="321" t="s">
        <v>1019</v>
      </c>
      <c r="P7" s="321"/>
      <c r="Q7" s="322"/>
      <c r="R7" s="254" t="s">
        <v>56</v>
      </c>
      <c r="S7" s="255"/>
      <c r="T7" s="328"/>
      <c r="U7" s="329"/>
      <c r="V7" s="327" t="s">
        <v>56</v>
      </c>
      <c r="W7" s="286"/>
      <c r="X7" s="256">
        <v>2</v>
      </c>
      <c r="Y7" s="257" t="s">
        <v>26</v>
      </c>
      <c r="Z7" s="258" t="s">
        <v>165</v>
      </c>
      <c r="AA7" s="257" t="s">
        <v>522</v>
      </c>
      <c r="AB7" s="257" t="s">
        <v>1062</v>
      </c>
      <c r="AC7" s="257" t="s">
        <v>80</v>
      </c>
      <c r="AD7" s="259" t="s">
        <v>205</v>
      </c>
      <c r="AE7" s="260" t="s">
        <v>599</v>
      </c>
    </row>
    <row r="8" spans="1:31" ht="98.1" customHeight="1" thickBot="1">
      <c r="A8" s="249" t="s">
        <v>42</v>
      </c>
      <c r="B8" s="250" t="s">
        <v>275</v>
      </c>
      <c r="C8" s="251" t="s">
        <v>271</v>
      </c>
      <c r="D8" s="252" t="s">
        <v>276</v>
      </c>
      <c r="E8" s="291">
        <v>44621</v>
      </c>
      <c r="F8" s="253" t="s">
        <v>833</v>
      </c>
      <c r="G8" s="253"/>
      <c r="H8" s="254" t="s">
        <v>65</v>
      </c>
      <c r="I8" s="255"/>
      <c r="J8" s="230" t="s">
        <v>850</v>
      </c>
      <c r="K8" s="230"/>
      <c r="L8" s="229"/>
      <c r="M8" s="254" t="s">
        <v>65</v>
      </c>
      <c r="N8" s="255"/>
      <c r="O8" s="347" t="s">
        <v>997</v>
      </c>
      <c r="P8" s="321"/>
      <c r="Q8" s="322"/>
      <c r="R8" s="254" t="s">
        <v>65</v>
      </c>
      <c r="S8" s="255"/>
      <c r="T8" s="328" t="s">
        <v>1098</v>
      </c>
      <c r="U8" s="329"/>
      <c r="V8" s="327" t="s">
        <v>56</v>
      </c>
      <c r="W8" s="286"/>
      <c r="X8" s="256">
        <v>4</v>
      </c>
      <c r="Y8" s="257" t="s">
        <v>26</v>
      </c>
      <c r="Z8" s="258" t="s">
        <v>165</v>
      </c>
      <c r="AA8" s="257" t="s">
        <v>522</v>
      </c>
      <c r="AB8" s="257" t="s">
        <v>1062</v>
      </c>
      <c r="AC8" s="257" t="s">
        <v>80</v>
      </c>
      <c r="AD8" s="259" t="s">
        <v>206</v>
      </c>
      <c r="AE8" s="260" t="s">
        <v>600</v>
      </c>
    </row>
    <row r="9" spans="1:31" ht="115.95" customHeight="1" thickBot="1">
      <c r="A9" s="249" t="s">
        <v>42</v>
      </c>
      <c r="B9" s="250" t="s">
        <v>277</v>
      </c>
      <c r="C9" s="251" t="s">
        <v>271</v>
      </c>
      <c r="D9" s="252" t="s">
        <v>278</v>
      </c>
      <c r="E9" s="291">
        <v>44440</v>
      </c>
      <c r="F9" s="253" t="s">
        <v>821</v>
      </c>
      <c r="G9" s="253"/>
      <c r="H9" s="254" t="s">
        <v>65</v>
      </c>
      <c r="I9" s="255"/>
      <c r="J9" s="230" t="s">
        <v>851</v>
      </c>
      <c r="K9" s="230"/>
      <c r="L9" s="229"/>
      <c r="M9" s="254" t="s">
        <v>56</v>
      </c>
      <c r="N9" s="255"/>
      <c r="O9" s="321" t="s">
        <v>1019</v>
      </c>
      <c r="P9" s="321"/>
      <c r="Q9" s="322"/>
      <c r="R9" s="254" t="s">
        <v>56</v>
      </c>
      <c r="S9" s="255"/>
      <c r="T9" s="328"/>
      <c r="U9" s="329"/>
      <c r="V9" s="327" t="s">
        <v>56</v>
      </c>
      <c r="W9" s="286"/>
      <c r="X9" s="256">
        <v>2</v>
      </c>
      <c r="Y9" s="257" t="s">
        <v>26</v>
      </c>
      <c r="Z9" s="258" t="s">
        <v>165</v>
      </c>
      <c r="AA9" s="257" t="s">
        <v>522</v>
      </c>
      <c r="AB9" s="257" t="s">
        <v>1062</v>
      </c>
      <c r="AC9" s="257" t="s">
        <v>80</v>
      </c>
      <c r="AD9" s="259" t="s">
        <v>207</v>
      </c>
      <c r="AE9" s="260" t="s">
        <v>601</v>
      </c>
    </row>
    <row r="10" spans="1:31" ht="98.1" customHeight="1" thickBot="1">
      <c r="A10" s="249" t="s">
        <v>42</v>
      </c>
      <c r="B10" s="250" t="s">
        <v>279</v>
      </c>
      <c r="C10" s="251" t="s">
        <v>280</v>
      </c>
      <c r="D10" s="252" t="s">
        <v>281</v>
      </c>
      <c r="E10" s="291">
        <v>44378</v>
      </c>
      <c r="F10" s="253" t="s">
        <v>817</v>
      </c>
      <c r="G10" s="253"/>
      <c r="H10" s="254" t="s">
        <v>56</v>
      </c>
      <c r="I10" s="270"/>
      <c r="J10" s="263" t="s">
        <v>890</v>
      </c>
      <c r="K10" s="229"/>
      <c r="L10" s="229"/>
      <c r="M10" s="254" t="s">
        <v>56</v>
      </c>
      <c r="N10" s="255"/>
      <c r="O10" s="261" t="s">
        <v>1018</v>
      </c>
      <c r="P10" s="321"/>
      <c r="Q10" s="322"/>
      <c r="R10" s="254" t="s">
        <v>56</v>
      </c>
      <c r="S10" s="255"/>
      <c r="T10" s="328"/>
      <c r="U10" s="329"/>
      <c r="V10" s="327" t="s">
        <v>56</v>
      </c>
      <c r="W10" s="286"/>
      <c r="X10" s="256">
        <v>2</v>
      </c>
      <c r="Y10" s="257" t="s">
        <v>26</v>
      </c>
      <c r="Z10" s="258" t="s">
        <v>165</v>
      </c>
      <c r="AA10" s="257" t="s">
        <v>522</v>
      </c>
      <c r="AB10" s="257" t="s">
        <v>1062</v>
      </c>
      <c r="AC10" s="257" t="s">
        <v>80</v>
      </c>
      <c r="AD10" s="259" t="s">
        <v>208</v>
      </c>
      <c r="AE10" s="260" t="s">
        <v>602</v>
      </c>
    </row>
    <row r="11" spans="1:31" ht="98.1" customHeight="1" thickBot="1">
      <c r="A11" s="249" t="s">
        <v>42</v>
      </c>
      <c r="B11" s="250" t="s">
        <v>282</v>
      </c>
      <c r="C11" s="251" t="s">
        <v>280</v>
      </c>
      <c r="D11" s="252" t="s">
        <v>283</v>
      </c>
      <c r="E11" s="291">
        <v>44317</v>
      </c>
      <c r="F11" s="253" t="s">
        <v>808</v>
      </c>
      <c r="G11" s="253"/>
      <c r="H11" s="254" t="s">
        <v>56</v>
      </c>
      <c r="I11" s="255"/>
      <c r="J11" s="303" t="s">
        <v>890</v>
      </c>
      <c r="K11" s="230"/>
      <c r="L11" s="229"/>
      <c r="M11" s="254" t="s">
        <v>56</v>
      </c>
      <c r="N11" s="255"/>
      <c r="O11" s="261" t="s">
        <v>1018</v>
      </c>
      <c r="P11" s="321"/>
      <c r="Q11" s="322"/>
      <c r="R11" s="254" t="s">
        <v>56</v>
      </c>
      <c r="S11" s="255"/>
      <c r="T11" s="328"/>
      <c r="U11" s="329"/>
      <c r="V11" s="327" t="s">
        <v>56</v>
      </c>
      <c r="W11" s="286"/>
      <c r="X11" s="256">
        <v>1</v>
      </c>
      <c r="Y11" s="257" t="s">
        <v>26</v>
      </c>
      <c r="Z11" s="258" t="s">
        <v>165</v>
      </c>
      <c r="AA11" s="257" t="s">
        <v>522</v>
      </c>
      <c r="AB11" s="257" t="s">
        <v>1062</v>
      </c>
      <c r="AC11" s="257" t="s">
        <v>80</v>
      </c>
      <c r="AD11" s="259" t="s">
        <v>209</v>
      </c>
      <c r="AE11" s="260" t="s">
        <v>603</v>
      </c>
    </row>
    <row r="12" spans="1:31" ht="98.1" customHeight="1" thickBot="1">
      <c r="A12" s="249" t="s">
        <v>42</v>
      </c>
      <c r="B12" s="250" t="s">
        <v>284</v>
      </c>
      <c r="C12" s="251" t="s">
        <v>280</v>
      </c>
      <c r="D12" s="252" t="s">
        <v>285</v>
      </c>
      <c r="E12" s="291">
        <v>44317</v>
      </c>
      <c r="F12" s="253" t="s">
        <v>809</v>
      </c>
      <c r="G12" s="253"/>
      <c r="H12" s="254" t="s">
        <v>56</v>
      </c>
      <c r="I12" s="255"/>
      <c r="J12" s="263" t="s">
        <v>890</v>
      </c>
      <c r="K12" s="261"/>
      <c r="L12" s="264"/>
      <c r="M12" s="254" t="s">
        <v>56</v>
      </c>
      <c r="N12" s="262"/>
      <c r="O12" s="261" t="s">
        <v>1018</v>
      </c>
      <c r="P12" s="321"/>
      <c r="Q12" s="322"/>
      <c r="R12" s="254" t="s">
        <v>56</v>
      </c>
      <c r="S12" s="262"/>
      <c r="T12" s="325"/>
      <c r="U12" s="326"/>
      <c r="V12" s="327" t="s">
        <v>56</v>
      </c>
      <c r="W12" s="287"/>
      <c r="X12" s="265">
        <v>1</v>
      </c>
      <c r="Y12" s="257" t="s">
        <v>26</v>
      </c>
      <c r="Z12" s="258" t="s">
        <v>165</v>
      </c>
      <c r="AA12" s="257" t="s">
        <v>522</v>
      </c>
      <c r="AB12" s="257" t="s">
        <v>1062</v>
      </c>
      <c r="AC12" s="257" t="s">
        <v>80</v>
      </c>
      <c r="AD12" s="259" t="s">
        <v>210</v>
      </c>
      <c r="AE12" s="260" t="s">
        <v>604</v>
      </c>
    </row>
    <row r="13" spans="1:31" ht="98.1" customHeight="1" thickBot="1">
      <c r="A13" s="249" t="s">
        <v>42</v>
      </c>
      <c r="B13" s="250" t="s">
        <v>286</v>
      </c>
      <c r="C13" s="251" t="s">
        <v>280</v>
      </c>
      <c r="D13" s="252" t="s">
        <v>287</v>
      </c>
      <c r="E13" s="291">
        <v>44531</v>
      </c>
      <c r="F13" s="253"/>
      <c r="G13" s="253"/>
      <c r="H13" s="254" t="s">
        <v>69</v>
      </c>
      <c r="I13" s="255"/>
      <c r="J13" s="261" t="s">
        <v>901</v>
      </c>
      <c r="K13" s="261"/>
      <c r="L13" s="264"/>
      <c r="M13" s="254" t="s">
        <v>65</v>
      </c>
      <c r="N13" s="262"/>
      <c r="O13" s="321" t="s">
        <v>1020</v>
      </c>
      <c r="P13" s="321"/>
      <c r="Q13" s="322"/>
      <c r="R13" s="254" t="s">
        <v>56</v>
      </c>
      <c r="S13" s="262"/>
      <c r="T13" s="325"/>
      <c r="U13" s="326"/>
      <c r="V13" s="327" t="s">
        <v>56</v>
      </c>
      <c r="W13" s="287"/>
      <c r="X13" s="265">
        <v>3</v>
      </c>
      <c r="Y13" s="257" t="s">
        <v>26</v>
      </c>
      <c r="Z13" s="258" t="s">
        <v>165</v>
      </c>
      <c r="AA13" s="257" t="s">
        <v>522</v>
      </c>
      <c r="AB13" s="257" t="s">
        <v>1062</v>
      </c>
      <c r="AC13" s="257" t="s">
        <v>80</v>
      </c>
      <c r="AD13" s="259" t="s">
        <v>211</v>
      </c>
      <c r="AE13" s="260" t="s">
        <v>605</v>
      </c>
    </row>
    <row r="14" spans="1:31" ht="119.7" customHeight="1" thickBot="1">
      <c r="A14" s="249" t="s">
        <v>42</v>
      </c>
      <c r="B14" s="250" t="s">
        <v>288</v>
      </c>
      <c r="C14" s="251" t="s">
        <v>153</v>
      </c>
      <c r="D14" s="252" t="s">
        <v>289</v>
      </c>
      <c r="E14" s="291">
        <v>44621</v>
      </c>
      <c r="F14" s="253"/>
      <c r="G14" s="253"/>
      <c r="H14" s="254" t="s">
        <v>69</v>
      </c>
      <c r="I14" s="255"/>
      <c r="J14" s="261" t="s">
        <v>891</v>
      </c>
      <c r="K14" s="261"/>
      <c r="L14" s="264"/>
      <c r="M14" s="254" t="s">
        <v>65</v>
      </c>
      <c r="N14" s="262"/>
      <c r="O14" s="321" t="s">
        <v>994</v>
      </c>
      <c r="P14" s="321"/>
      <c r="Q14" s="322"/>
      <c r="R14" s="254" t="s">
        <v>56</v>
      </c>
      <c r="S14" s="262" t="s">
        <v>993</v>
      </c>
      <c r="T14" s="325" t="s">
        <v>1113</v>
      </c>
      <c r="U14" s="326"/>
      <c r="V14" s="327" t="s">
        <v>56</v>
      </c>
      <c r="W14" s="287"/>
      <c r="X14" s="265">
        <v>4</v>
      </c>
      <c r="Y14" s="257" t="s">
        <v>27</v>
      </c>
      <c r="Z14" s="258" t="s">
        <v>578</v>
      </c>
      <c r="AA14" s="257" t="s">
        <v>522</v>
      </c>
      <c r="AB14" s="257" t="s">
        <v>80</v>
      </c>
      <c r="AC14" s="257" t="s">
        <v>80</v>
      </c>
      <c r="AD14" s="259" t="s">
        <v>212</v>
      </c>
      <c r="AE14" s="260" t="s">
        <v>606</v>
      </c>
    </row>
    <row r="15" spans="1:31" ht="98.1" customHeight="1" thickBot="1">
      <c r="A15" s="249" t="s">
        <v>42</v>
      </c>
      <c r="B15" s="250" t="s">
        <v>290</v>
      </c>
      <c r="C15" s="251" t="s">
        <v>152</v>
      </c>
      <c r="D15" s="252" t="s">
        <v>291</v>
      </c>
      <c r="E15" s="291">
        <v>44440</v>
      </c>
      <c r="F15" s="253" t="s">
        <v>779</v>
      </c>
      <c r="G15" s="253"/>
      <c r="H15" s="254" t="s">
        <v>65</v>
      </c>
      <c r="I15" s="255"/>
      <c r="J15" s="261" t="s">
        <v>902</v>
      </c>
      <c r="K15" s="261"/>
      <c r="L15" s="264"/>
      <c r="M15" s="254" t="s">
        <v>56</v>
      </c>
      <c r="N15" s="262" t="s">
        <v>903</v>
      </c>
      <c r="O15" s="261" t="s">
        <v>1019</v>
      </c>
      <c r="P15" s="321"/>
      <c r="Q15" s="322"/>
      <c r="R15" s="254" t="s">
        <v>56</v>
      </c>
      <c r="S15" s="262"/>
      <c r="T15" s="325"/>
      <c r="U15" s="326"/>
      <c r="V15" s="327" t="s">
        <v>56</v>
      </c>
      <c r="W15" s="287"/>
      <c r="X15" s="265">
        <v>2</v>
      </c>
      <c r="Y15" s="257" t="s">
        <v>26</v>
      </c>
      <c r="Z15" s="258" t="s">
        <v>578</v>
      </c>
      <c r="AA15" s="257" t="s">
        <v>522</v>
      </c>
      <c r="AB15" s="257" t="s">
        <v>80</v>
      </c>
      <c r="AC15" s="257" t="s">
        <v>80</v>
      </c>
      <c r="AD15" s="259" t="s">
        <v>213</v>
      </c>
      <c r="AE15" s="260" t="s">
        <v>607</v>
      </c>
    </row>
    <row r="16" spans="1:31" ht="98.1" customHeight="1" thickBot="1">
      <c r="A16" s="249" t="s">
        <v>39</v>
      </c>
      <c r="B16" s="250" t="s">
        <v>292</v>
      </c>
      <c r="C16" s="251" t="s">
        <v>293</v>
      </c>
      <c r="D16" s="252" t="s">
        <v>294</v>
      </c>
      <c r="E16" s="291">
        <v>44531</v>
      </c>
      <c r="F16" s="253"/>
      <c r="G16" s="253"/>
      <c r="H16" s="254" t="s">
        <v>69</v>
      </c>
      <c r="I16" s="255"/>
      <c r="J16" s="263"/>
      <c r="K16" s="229"/>
      <c r="L16" s="229"/>
      <c r="M16" s="254" t="s">
        <v>69</v>
      </c>
      <c r="N16" s="262"/>
      <c r="O16" s="321" t="s">
        <v>1021</v>
      </c>
      <c r="P16" s="321"/>
      <c r="Q16" s="322"/>
      <c r="R16" s="254" t="s">
        <v>56</v>
      </c>
      <c r="S16" s="262"/>
      <c r="T16" s="325"/>
      <c r="U16" s="326"/>
      <c r="V16" s="327" t="s">
        <v>56</v>
      </c>
      <c r="W16" s="287"/>
      <c r="X16" s="265">
        <v>3</v>
      </c>
      <c r="Y16" s="257" t="s">
        <v>26</v>
      </c>
      <c r="Z16" s="258" t="s">
        <v>38</v>
      </c>
      <c r="AA16" s="257" t="s">
        <v>522</v>
      </c>
      <c r="AB16" s="257" t="s">
        <v>1062</v>
      </c>
      <c r="AC16" s="257" t="s">
        <v>80</v>
      </c>
      <c r="AD16" s="259" t="s">
        <v>214</v>
      </c>
      <c r="AE16" s="260" t="s">
        <v>608</v>
      </c>
    </row>
    <row r="17" spans="1:31" ht="98.1" customHeight="1" thickBot="1">
      <c r="A17" s="249" t="s">
        <v>39</v>
      </c>
      <c r="B17" s="250" t="s">
        <v>295</v>
      </c>
      <c r="C17" s="251" t="s">
        <v>296</v>
      </c>
      <c r="D17" s="252" t="s">
        <v>297</v>
      </c>
      <c r="E17" s="291">
        <v>44621</v>
      </c>
      <c r="F17" s="253" t="s">
        <v>767</v>
      </c>
      <c r="G17" s="253"/>
      <c r="H17" s="254" t="s">
        <v>65</v>
      </c>
      <c r="I17" s="255"/>
      <c r="J17" s="264"/>
      <c r="K17" s="261"/>
      <c r="L17" s="264"/>
      <c r="M17" s="254" t="s">
        <v>65</v>
      </c>
      <c r="N17" s="262"/>
      <c r="O17" s="321" t="s">
        <v>1022</v>
      </c>
      <c r="P17" s="321"/>
      <c r="Q17" s="322"/>
      <c r="R17" s="254" t="s">
        <v>65</v>
      </c>
      <c r="S17" s="262"/>
      <c r="T17" s="330" t="s">
        <v>1134</v>
      </c>
      <c r="U17" s="326"/>
      <c r="V17" s="327" t="s">
        <v>56</v>
      </c>
      <c r="W17" s="287"/>
      <c r="X17" s="268">
        <v>4</v>
      </c>
      <c r="Y17" s="257" t="s">
        <v>26</v>
      </c>
      <c r="Z17" s="258" t="s">
        <v>38</v>
      </c>
      <c r="AA17" s="257" t="s">
        <v>522</v>
      </c>
      <c r="AB17" s="257" t="s">
        <v>1062</v>
      </c>
      <c r="AC17" s="257" t="s">
        <v>80</v>
      </c>
      <c r="AD17" s="259" t="s">
        <v>215</v>
      </c>
      <c r="AE17" s="260" t="s">
        <v>609</v>
      </c>
    </row>
    <row r="18" spans="1:31" ht="98.1" customHeight="1" thickBot="1">
      <c r="A18" s="249" t="s">
        <v>39</v>
      </c>
      <c r="B18" s="250" t="s">
        <v>298</v>
      </c>
      <c r="C18" s="269" t="s">
        <v>296</v>
      </c>
      <c r="D18" s="252" t="s">
        <v>299</v>
      </c>
      <c r="E18" s="292">
        <v>44621</v>
      </c>
      <c r="F18" s="253" t="s">
        <v>766</v>
      </c>
      <c r="G18" s="253"/>
      <c r="H18" s="254" t="s">
        <v>65</v>
      </c>
      <c r="I18" s="255"/>
      <c r="J18" s="264"/>
      <c r="K18" s="261"/>
      <c r="L18" s="264"/>
      <c r="M18" s="254" t="s">
        <v>65</v>
      </c>
      <c r="N18" s="262"/>
      <c r="O18" s="321" t="s">
        <v>1023</v>
      </c>
      <c r="P18" s="321"/>
      <c r="Q18" s="322"/>
      <c r="R18" s="254" t="s">
        <v>65</v>
      </c>
      <c r="S18" s="262"/>
      <c r="T18" s="325" t="s">
        <v>1135</v>
      </c>
      <c r="U18" s="326"/>
      <c r="V18" s="327" t="s">
        <v>56</v>
      </c>
      <c r="W18" s="287"/>
      <c r="X18" s="268">
        <v>4</v>
      </c>
      <c r="Y18" s="257" t="s">
        <v>26</v>
      </c>
      <c r="Z18" s="258" t="s">
        <v>38</v>
      </c>
      <c r="AA18" s="257" t="s">
        <v>522</v>
      </c>
      <c r="AB18" s="257" t="s">
        <v>1062</v>
      </c>
      <c r="AC18" s="257" t="s">
        <v>80</v>
      </c>
      <c r="AD18" s="259" t="s">
        <v>216</v>
      </c>
      <c r="AE18" s="260" t="s">
        <v>610</v>
      </c>
    </row>
    <row r="19" spans="1:31" ht="128.4" customHeight="1" thickBot="1">
      <c r="A19" s="249" t="s">
        <v>42</v>
      </c>
      <c r="B19" s="250" t="s">
        <v>300</v>
      </c>
      <c r="C19" s="269" t="s">
        <v>301</v>
      </c>
      <c r="D19" s="252" t="s">
        <v>302</v>
      </c>
      <c r="E19" s="291">
        <v>44531</v>
      </c>
      <c r="F19" s="253" t="s">
        <v>774</v>
      </c>
      <c r="G19" s="253"/>
      <c r="H19" s="254" t="s">
        <v>65</v>
      </c>
      <c r="I19" s="255"/>
      <c r="J19" s="264" t="s">
        <v>892</v>
      </c>
      <c r="K19" s="261"/>
      <c r="L19" s="264"/>
      <c r="M19" s="254" t="s">
        <v>65</v>
      </c>
      <c r="N19" s="262"/>
      <c r="O19" s="322" t="s">
        <v>1024</v>
      </c>
      <c r="P19" s="321"/>
      <c r="Q19" s="322"/>
      <c r="R19" s="254" t="s">
        <v>56</v>
      </c>
      <c r="S19" s="262"/>
      <c r="T19" s="325"/>
      <c r="U19" s="326"/>
      <c r="V19" s="327" t="s">
        <v>56</v>
      </c>
      <c r="W19" s="287"/>
      <c r="X19" s="265">
        <v>3</v>
      </c>
      <c r="Y19" s="257" t="s">
        <v>26</v>
      </c>
      <c r="Z19" s="258" t="s">
        <v>578</v>
      </c>
      <c r="AA19" s="257" t="s">
        <v>522</v>
      </c>
      <c r="AB19" s="257" t="s">
        <v>80</v>
      </c>
      <c r="AC19" s="257" t="s">
        <v>80</v>
      </c>
      <c r="AD19" s="259" t="s">
        <v>217</v>
      </c>
      <c r="AE19" s="260" t="s">
        <v>611</v>
      </c>
    </row>
    <row r="20" spans="1:31" ht="98.1" customHeight="1" thickBot="1">
      <c r="A20" s="249" t="s">
        <v>40</v>
      </c>
      <c r="B20" s="250" t="s">
        <v>303</v>
      </c>
      <c r="C20" s="269" t="s">
        <v>4</v>
      </c>
      <c r="D20" s="252" t="s">
        <v>5</v>
      </c>
      <c r="E20" s="292">
        <v>44621</v>
      </c>
      <c r="F20" s="253" t="s">
        <v>757</v>
      </c>
      <c r="G20" s="253" t="s">
        <v>126</v>
      </c>
      <c r="H20" s="254" t="s">
        <v>65</v>
      </c>
      <c r="I20" s="255"/>
      <c r="J20" s="264" t="s">
        <v>905</v>
      </c>
      <c r="K20" s="261"/>
      <c r="L20" s="264"/>
      <c r="M20" s="254" t="s">
        <v>65</v>
      </c>
      <c r="N20" s="304"/>
      <c r="O20" s="322" t="s">
        <v>1006</v>
      </c>
      <c r="P20" s="321"/>
      <c r="Q20" s="322"/>
      <c r="R20" s="254" t="s">
        <v>65</v>
      </c>
      <c r="S20" s="262"/>
      <c r="T20" s="330" t="s">
        <v>1136</v>
      </c>
      <c r="U20" s="326"/>
      <c r="V20" s="327" t="s">
        <v>56</v>
      </c>
      <c r="W20" s="287"/>
      <c r="X20" s="265">
        <v>4</v>
      </c>
      <c r="Y20" s="257" t="s">
        <v>26</v>
      </c>
      <c r="Z20" s="258" t="s">
        <v>164</v>
      </c>
      <c r="AA20" s="257" t="s">
        <v>522</v>
      </c>
      <c r="AB20" s="257" t="s">
        <v>1062</v>
      </c>
      <c r="AC20" s="257" t="s">
        <v>80</v>
      </c>
      <c r="AD20" s="259" t="s">
        <v>524</v>
      </c>
      <c r="AE20" s="260" t="s">
        <v>612</v>
      </c>
    </row>
    <row r="21" spans="1:31" ht="132" customHeight="1" thickBot="1">
      <c r="A21" s="249" t="s">
        <v>40</v>
      </c>
      <c r="B21" s="250" t="s">
        <v>304</v>
      </c>
      <c r="C21" s="251" t="s">
        <v>305</v>
      </c>
      <c r="D21" s="252" t="s">
        <v>2</v>
      </c>
      <c r="E21" s="292">
        <v>44593</v>
      </c>
      <c r="F21" s="253"/>
      <c r="G21" s="253"/>
      <c r="H21" s="254" t="s">
        <v>69</v>
      </c>
      <c r="I21" s="255"/>
      <c r="J21" s="264" t="s">
        <v>889</v>
      </c>
      <c r="K21" s="261"/>
      <c r="L21" s="264"/>
      <c r="M21" s="254" t="s">
        <v>65</v>
      </c>
      <c r="N21" s="262"/>
      <c r="O21" s="322" t="s">
        <v>939</v>
      </c>
      <c r="P21" s="321"/>
      <c r="Q21" s="322"/>
      <c r="R21" s="254" t="s">
        <v>65</v>
      </c>
      <c r="S21" s="262"/>
      <c r="T21" s="325" t="s">
        <v>1150</v>
      </c>
      <c r="U21" s="326"/>
      <c r="V21" s="327" t="s">
        <v>56</v>
      </c>
      <c r="W21" s="287"/>
      <c r="X21" s="256">
        <v>4</v>
      </c>
      <c r="Y21" s="257" t="s">
        <v>26</v>
      </c>
      <c r="Z21" s="258" t="s">
        <v>164</v>
      </c>
      <c r="AA21" s="257" t="s">
        <v>522</v>
      </c>
      <c r="AB21" s="257" t="s">
        <v>1062</v>
      </c>
      <c r="AC21" s="257" t="s">
        <v>80</v>
      </c>
      <c r="AD21" s="259" t="s">
        <v>167</v>
      </c>
      <c r="AE21" s="260" t="s">
        <v>613</v>
      </c>
    </row>
    <row r="22" spans="1:31" ht="98.1" customHeight="1" thickBot="1">
      <c r="A22" s="249" t="s">
        <v>40</v>
      </c>
      <c r="B22" s="250" t="s">
        <v>306</v>
      </c>
      <c r="C22" s="251" t="s">
        <v>3</v>
      </c>
      <c r="D22" s="252" t="s">
        <v>151</v>
      </c>
      <c r="E22" s="292" t="s">
        <v>307</v>
      </c>
      <c r="F22" s="253" t="s">
        <v>758</v>
      </c>
      <c r="G22" s="253" t="s">
        <v>126</v>
      </c>
      <c r="H22" s="254" t="s">
        <v>65</v>
      </c>
      <c r="I22" s="255"/>
      <c r="J22" s="230" t="s">
        <v>906</v>
      </c>
      <c r="K22" s="230"/>
      <c r="L22" s="229"/>
      <c r="M22" s="254" t="s">
        <v>56</v>
      </c>
      <c r="N22" s="255"/>
      <c r="O22" s="321"/>
      <c r="P22" s="321"/>
      <c r="Q22" s="322"/>
      <c r="R22" s="254" t="s">
        <v>56</v>
      </c>
      <c r="S22" s="255"/>
      <c r="T22" s="328"/>
      <c r="U22" s="329"/>
      <c r="V22" s="327" t="s">
        <v>56</v>
      </c>
      <c r="W22" s="286"/>
      <c r="X22" s="256"/>
      <c r="Y22" s="257" t="s">
        <v>26</v>
      </c>
      <c r="Z22" s="258" t="s">
        <v>164</v>
      </c>
      <c r="AA22" s="257" t="s">
        <v>522</v>
      </c>
      <c r="AB22" s="257" t="s">
        <v>1062</v>
      </c>
      <c r="AC22" s="257" t="s">
        <v>80</v>
      </c>
      <c r="AD22" s="259" t="s">
        <v>168</v>
      </c>
      <c r="AE22" s="260" t="s">
        <v>614</v>
      </c>
    </row>
    <row r="23" spans="1:31" ht="187.95" customHeight="1" thickBot="1">
      <c r="A23" s="249" t="s">
        <v>40</v>
      </c>
      <c r="B23" s="250" t="s">
        <v>308</v>
      </c>
      <c r="C23" s="251" t="s">
        <v>148</v>
      </c>
      <c r="D23" s="252" t="s">
        <v>149</v>
      </c>
      <c r="E23" s="292">
        <v>44621</v>
      </c>
      <c r="F23" s="266"/>
      <c r="G23" s="253"/>
      <c r="H23" s="254" t="s">
        <v>69</v>
      </c>
      <c r="I23" s="255"/>
      <c r="J23" s="344"/>
      <c r="K23" s="230"/>
      <c r="L23" s="229"/>
      <c r="M23" s="254" t="s">
        <v>69</v>
      </c>
      <c r="N23" s="255"/>
      <c r="O23" s="322" t="s">
        <v>1060</v>
      </c>
      <c r="P23" s="321"/>
      <c r="Q23" s="322"/>
      <c r="R23" s="254" t="s">
        <v>60</v>
      </c>
      <c r="S23" s="255"/>
      <c r="T23" s="328" t="s">
        <v>1066</v>
      </c>
      <c r="U23" s="329"/>
      <c r="V23" s="327" t="s">
        <v>64</v>
      </c>
      <c r="W23" s="286"/>
      <c r="X23" s="256">
        <v>4</v>
      </c>
      <c r="Y23" s="257" t="s">
        <v>26</v>
      </c>
      <c r="Z23" s="258" t="s">
        <v>164</v>
      </c>
      <c r="AA23" s="257" t="s">
        <v>522</v>
      </c>
      <c r="AB23" s="257" t="s">
        <v>1062</v>
      </c>
      <c r="AC23" s="257" t="s">
        <v>80</v>
      </c>
      <c r="AD23" s="259" t="s">
        <v>169</v>
      </c>
      <c r="AE23" s="260" t="s">
        <v>615</v>
      </c>
    </row>
    <row r="24" spans="1:31" ht="190.95" customHeight="1" thickBot="1">
      <c r="A24" s="249" t="s">
        <v>40</v>
      </c>
      <c r="B24" s="250" t="s">
        <v>309</v>
      </c>
      <c r="C24" s="251" t="s">
        <v>148</v>
      </c>
      <c r="D24" s="252" t="s">
        <v>150</v>
      </c>
      <c r="E24" s="291">
        <v>44621</v>
      </c>
      <c r="F24" s="266"/>
      <c r="G24" s="253"/>
      <c r="H24" s="254" t="s">
        <v>69</v>
      </c>
      <c r="I24" s="270"/>
      <c r="J24" s="230"/>
      <c r="K24" s="230"/>
      <c r="L24" s="229"/>
      <c r="M24" s="254" t="s">
        <v>69</v>
      </c>
      <c r="N24" s="255"/>
      <c r="O24" s="321" t="s">
        <v>1060</v>
      </c>
      <c r="P24" s="321"/>
      <c r="Q24" s="322"/>
      <c r="R24" s="254" t="s">
        <v>60</v>
      </c>
      <c r="S24" s="255"/>
      <c r="T24" s="328" t="s">
        <v>1066</v>
      </c>
      <c r="U24" s="329"/>
      <c r="V24" s="327" t="s">
        <v>64</v>
      </c>
      <c r="W24" s="286"/>
      <c r="X24" s="256">
        <v>4</v>
      </c>
      <c r="Y24" s="257" t="s">
        <v>26</v>
      </c>
      <c r="Z24" s="258" t="s">
        <v>164</v>
      </c>
      <c r="AA24" s="257" t="s">
        <v>522</v>
      </c>
      <c r="AB24" s="257" t="s">
        <v>1062</v>
      </c>
      <c r="AC24" s="257" t="s">
        <v>80</v>
      </c>
      <c r="AD24" s="259" t="s">
        <v>170</v>
      </c>
      <c r="AE24" s="260" t="s">
        <v>616</v>
      </c>
    </row>
    <row r="25" spans="1:31" ht="98.1" customHeight="1" thickBot="1">
      <c r="A25" s="249" t="s">
        <v>41</v>
      </c>
      <c r="B25" s="250" t="s">
        <v>310</v>
      </c>
      <c r="C25" s="251" t="s">
        <v>6</v>
      </c>
      <c r="D25" s="252" t="s">
        <v>736</v>
      </c>
      <c r="E25" s="291"/>
      <c r="F25" s="266" t="s">
        <v>793</v>
      </c>
      <c r="G25" s="253">
        <v>2.7</v>
      </c>
      <c r="H25" s="254" t="s">
        <v>65</v>
      </c>
      <c r="I25" s="255"/>
      <c r="J25" s="230" t="s">
        <v>928</v>
      </c>
      <c r="K25" s="230"/>
      <c r="L25" s="229"/>
      <c r="M25" s="254" t="s">
        <v>65</v>
      </c>
      <c r="N25" s="255"/>
      <c r="O25" s="321" t="s">
        <v>1137</v>
      </c>
      <c r="P25" s="321" t="s">
        <v>1003</v>
      </c>
      <c r="Q25" s="322" t="s">
        <v>1011</v>
      </c>
      <c r="R25" s="254" t="s">
        <v>60</v>
      </c>
      <c r="S25" s="255"/>
      <c r="T25" s="328" t="s">
        <v>1116</v>
      </c>
      <c r="U25" s="337" t="s">
        <v>1115</v>
      </c>
      <c r="V25" s="327" t="s">
        <v>60</v>
      </c>
      <c r="W25" s="286"/>
      <c r="X25" s="265"/>
      <c r="Y25" s="257" t="s">
        <v>27</v>
      </c>
      <c r="Z25" s="258" t="s">
        <v>580</v>
      </c>
      <c r="AA25" s="257" t="s">
        <v>522</v>
      </c>
      <c r="AB25" s="257" t="s">
        <v>80</v>
      </c>
      <c r="AC25" s="257" t="s">
        <v>80</v>
      </c>
      <c r="AD25" s="259" t="s">
        <v>171</v>
      </c>
      <c r="AE25" s="260" t="s">
        <v>617</v>
      </c>
    </row>
    <row r="26" spans="1:31" ht="98.1" customHeight="1" thickBot="1">
      <c r="A26" s="249" t="s">
        <v>41</v>
      </c>
      <c r="B26" s="250" t="s">
        <v>311</v>
      </c>
      <c r="C26" s="251" t="s">
        <v>312</v>
      </c>
      <c r="D26" s="252" t="s">
        <v>313</v>
      </c>
      <c r="E26" s="291"/>
      <c r="F26" s="253" t="s">
        <v>764</v>
      </c>
      <c r="G26" s="253" t="s">
        <v>765</v>
      </c>
      <c r="H26" s="254" t="s">
        <v>65</v>
      </c>
      <c r="I26" s="255"/>
      <c r="J26" s="230" t="s">
        <v>856</v>
      </c>
      <c r="K26" s="305" t="s">
        <v>857</v>
      </c>
      <c r="L26" s="229" t="s">
        <v>858</v>
      </c>
      <c r="M26" s="254" t="s">
        <v>65</v>
      </c>
      <c r="N26" s="255"/>
      <c r="O26" s="321" t="s">
        <v>937</v>
      </c>
      <c r="P26" s="321" t="s">
        <v>857</v>
      </c>
      <c r="Q26" s="322" t="s">
        <v>937</v>
      </c>
      <c r="R26" s="254" t="s">
        <v>65</v>
      </c>
      <c r="S26" s="255" t="s">
        <v>938</v>
      </c>
      <c r="T26" s="328" t="s">
        <v>937</v>
      </c>
      <c r="U26" s="337" t="s">
        <v>937</v>
      </c>
      <c r="V26" s="327" t="s">
        <v>56</v>
      </c>
      <c r="W26" s="286"/>
      <c r="X26" s="256"/>
      <c r="Y26" s="257" t="s">
        <v>27</v>
      </c>
      <c r="Z26" s="258" t="s">
        <v>580</v>
      </c>
      <c r="AA26" s="257" t="s">
        <v>522</v>
      </c>
      <c r="AB26" s="257" t="s">
        <v>80</v>
      </c>
      <c r="AC26" s="257" t="s">
        <v>80</v>
      </c>
      <c r="AD26" s="259" t="s">
        <v>172</v>
      </c>
      <c r="AE26" s="260" t="s">
        <v>618</v>
      </c>
    </row>
    <row r="27" spans="1:31" ht="98.1" customHeight="1" thickBot="1">
      <c r="A27" s="249" t="s">
        <v>42</v>
      </c>
      <c r="B27" s="250" t="s">
        <v>314</v>
      </c>
      <c r="C27" s="251" t="s">
        <v>155</v>
      </c>
      <c r="D27" s="252" t="s">
        <v>156</v>
      </c>
      <c r="E27" s="291">
        <v>44621</v>
      </c>
      <c r="F27" s="253" t="s">
        <v>775</v>
      </c>
      <c r="G27" s="253"/>
      <c r="H27" s="254" t="s">
        <v>65</v>
      </c>
      <c r="I27" s="270"/>
      <c r="J27" s="267" t="s">
        <v>893</v>
      </c>
      <c r="K27" s="230"/>
      <c r="L27" s="229"/>
      <c r="M27" s="254" t="s">
        <v>65</v>
      </c>
      <c r="N27" s="255"/>
      <c r="O27" s="267" t="s">
        <v>968</v>
      </c>
      <c r="P27" s="321"/>
      <c r="Q27" s="322"/>
      <c r="R27" s="254" t="s">
        <v>65</v>
      </c>
      <c r="S27" s="255"/>
      <c r="T27" s="267" t="s">
        <v>1096</v>
      </c>
      <c r="U27" s="329"/>
      <c r="V27" s="327" t="s">
        <v>56</v>
      </c>
      <c r="W27" s="286"/>
      <c r="X27" s="256">
        <v>4</v>
      </c>
      <c r="Y27" s="257" t="s">
        <v>28</v>
      </c>
      <c r="Z27" s="258" t="s">
        <v>578</v>
      </c>
      <c r="AA27" s="257" t="s">
        <v>522</v>
      </c>
      <c r="AB27" s="257" t="s">
        <v>244</v>
      </c>
      <c r="AC27" s="257" t="s">
        <v>244</v>
      </c>
      <c r="AD27" s="259" t="s">
        <v>525</v>
      </c>
      <c r="AE27" s="260" t="s">
        <v>619</v>
      </c>
    </row>
    <row r="28" spans="1:31" ht="222" customHeight="1" thickBot="1">
      <c r="A28" s="249" t="s">
        <v>42</v>
      </c>
      <c r="B28" s="250" t="s">
        <v>315</v>
      </c>
      <c r="C28" s="251" t="s">
        <v>157</v>
      </c>
      <c r="D28" s="252" t="s">
        <v>316</v>
      </c>
      <c r="E28" s="291">
        <v>44409</v>
      </c>
      <c r="F28" s="253" t="s">
        <v>776</v>
      </c>
      <c r="G28" s="253"/>
      <c r="H28" s="254" t="s">
        <v>66</v>
      </c>
      <c r="I28" s="255" t="s">
        <v>822</v>
      </c>
      <c r="J28" s="229" t="s">
        <v>898</v>
      </c>
      <c r="K28" s="230"/>
      <c r="L28" s="229"/>
      <c r="M28" s="254" t="s">
        <v>67</v>
      </c>
      <c r="N28" s="255" t="s">
        <v>895</v>
      </c>
      <c r="O28" s="321" t="s">
        <v>1057</v>
      </c>
      <c r="P28" s="321"/>
      <c r="Q28" s="322"/>
      <c r="R28" s="254" t="s">
        <v>67</v>
      </c>
      <c r="S28" s="255"/>
      <c r="T28" s="328"/>
      <c r="U28" s="329"/>
      <c r="V28" s="327" t="s">
        <v>62</v>
      </c>
      <c r="W28" s="286"/>
      <c r="X28" s="265">
        <v>2</v>
      </c>
      <c r="Y28" s="257" t="s">
        <v>28</v>
      </c>
      <c r="Z28" s="258" t="s">
        <v>578</v>
      </c>
      <c r="AA28" s="257" t="s">
        <v>522</v>
      </c>
      <c r="AB28" s="257" t="s">
        <v>244</v>
      </c>
      <c r="AC28" s="257" t="s">
        <v>244</v>
      </c>
      <c r="AD28" s="259" t="s">
        <v>526</v>
      </c>
      <c r="AE28" s="260" t="s">
        <v>620</v>
      </c>
    </row>
    <row r="29" spans="1:31" ht="85.2" customHeight="1" thickBot="1">
      <c r="A29" s="249" t="s">
        <v>726</v>
      </c>
      <c r="B29" s="250" t="s">
        <v>317</v>
      </c>
      <c r="C29" s="251" t="s">
        <v>159</v>
      </c>
      <c r="D29" s="252" t="s">
        <v>318</v>
      </c>
      <c r="E29" s="291">
        <v>44621</v>
      </c>
      <c r="F29" s="253" t="s">
        <v>801</v>
      </c>
      <c r="G29" s="253"/>
      <c r="H29" s="254" t="s">
        <v>65</v>
      </c>
      <c r="I29" s="270"/>
      <c r="J29" s="229" t="s">
        <v>864</v>
      </c>
      <c r="K29" s="230"/>
      <c r="L29" s="229"/>
      <c r="M29" s="254" t="s">
        <v>65</v>
      </c>
      <c r="N29" s="255"/>
      <c r="O29" s="321" t="s">
        <v>1025</v>
      </c>
      <c r="P29" s="321"/>
      <c r="Q29" s="322"/>
      <c r="R29" s="254" t="s">
        <v>56</v>
      </c>
      <c r="S29" s="255"/>
      <c r="T29" s="321" t="s">
        <v>1025</v>
      </c>
      <c r="U29" s="329"/>
      <c r="V29" s="327" t="s">
        <v>56</v>
      </c>
      <c r="W29" s="286"/>
      <c r="X29" s="256">
        <v>4</v>
      </c>
      <c r="Y29" s="257" t="s">
        <v>28</v>
      </c>
      <c r="Z29" s="258" t="s">
        <v>732</v>
      </c>
      <c r="AA29" s="257" t="s">
        <v>522</v>
      </c>
      <c r="AB29" s="257" t="s">
        <v>244</v>
      </c>
      <c r="AC29" s="257" t="s">
        <v>244</v>
      </c>
      <c r="AD29" s="259" t="s">
        <v>527</v>
      </c>
      <c r="AE29" s="260" t="s">
        <v>621</v>
      </c>
    </row>
    <row r="30" spans="1:31" ht="219" customHeight="1" thickBot="1">
      <c r="A30" s="249" t="s">
        <v>726</v>
      </c>
      <c r="B30" s="250" t="s">
        <v>319</v>
      </c>
      <c r="C30" s="251" t="s">
        <v>320</v>
      </c>
      <c r="D30" s="252" t="s">
        <v>321</v>
      </c>
      <c r="E30" s="291">
        <v>44501</v>
      </c>
      <c r="F30" s="253"/>
      <c r="G30" s="253"/>
      <c r="H30" s="254" t="s">
        <v>69</v>
      </c>
      <c r="I30" s="255"/>
      <c r="J30" s="261" t="s">
        <v>865</v>
      </c>
      <c r="K30" s="261"/>
      <c r="L30" s="264"/>
      <c r="M30" s="254" t="s">
        <v>69</v>
      </c>
      <c r="N30" s="262"/>
      <c r="O30" s="321" t="s">
        <v>1026</v>
      </c>
      <c r="P30" s="321"/>
      <c r="Q30" s="322"/>
      <c r="R30" s="254" t="s">
        <v>56</v>
      </c>
      <c r="S30" s="262"/>
      <c r="T30" s="325"/>
      <c r="U30" s="326"/>
      <c r="V30" s="327" t="s">
        <v>56</v>
      </c>
      <c r="W30" s="287"/>
      <c r="X30" s="256">
        <v>3</v>
      </c>
      <c r="Y30" s="257" t="s">
        <v>28</v>
      </c>
      <c r="Z30" s="258" t="s">
        <v>732</v>
      </c>
      <c r="AA30" s="257" t="s">
        <v>522</v>
      </c>
      <c r="AB30" s="257" t="s">
        <v>244</v>
      </c>
      <c r="AC30" s="257" t="s">
        <v>244</v>
      </c>
      <c r="AD30" s="259" t="s">
        <v>528</v>
      </c>
      <c r="AE30" s="260" t="s">
        <v>622</v>
      </c>
    </row>
    <row r="31" spans="1:31" ht="384" customHeight="1" thickBot="1">
      <c r="A31" s="249" t="s">
        <v>45</v>
      </c>
      <c r="B31" s="250" t="s">
        <v>322</v>
      </c>
      <c r="C31" s="251" t="s">
        <v>158</v>
      </c>
      <c r="D31" s="252" t="s">
        <v>323</v>
      </c>
      <c r="E31" s="291">
        <v>44621</v>
      </c>
      <c r="F31" s="253" t="s">
        <v>760</v>
      </c>
      <c r="G31" s="253"/>
      <c r="H31" s="254" t="s">
        <v>65</v>
      </c>
      <c r="I31" s="255"/>
      <c r="J31" s="264"/>
      <c r="K31" s="261"/>
      <c r="L31" s="264"/>
      <c r="M31" s="254" t="s">
        <v>65</v>
      </c>
      <c r="N31" s="262"/>
      <c r="O31" s="322" t="s">
        <v>1007</v>
      </c>
      <c r="P31" s="321"/>
      <c r="Q31" s="322"/>
      <c r="R31" s="254" t="s">
        <v>65</v>
      </c>
      <c r="S31" s="262"/>
      <c r="T31" s="351" t="s">
        <v>1082</v>
      </c>
      <c r="U31" s="326"/>
      <c r="V31" s="327" t="s">
        <v>56</v>
      </c>
      <c r="W31" s="287"/>
      <c r="X31" s="256">
        <v>4</v>
      </c>
      <c r="Y31" s="257" t="s">
        <v>28</v>
      </c>
      <c r="Z31" s="258" t="s">
        <v>44</v>
      </c>
      <c r="AA31" s="257" t="s">
        <v>522</v>
      </c>
      <c r="AB31" s="257" t="s">
        <v>244</v>
      </c>
      <c r="AC31" s="257" t="s">
        <v>244</v>
      </c>
      <c r="AD31" s="259" t="s">
        <v>529</v>
      </c>
      <c r="AE31" s="260" t="s">
        <v>623</v>
      </c>
    </row>
    <row r="32" spans="1:31" ht="75.599999999999994" thickBot="1">
      <c r="A32" s="249" t="s">
        <v>45</v>
      </c>
      <c r="B32" s="250" t="s">
        <v>324</v>
      </c>
      <c r="C32" s="251" t="s">
        <v>158</v>
      </c>
      <c r="D32" s="252" t="s">
        <v>325</v>
      </c>
      <c r="E32" s="291">
        <v>44621</v>
      </c>
      <c r="F32" s="253" t="s">
        <v>761</v>
      </c>
      <c r="G32" s="253"/>
      <c r="H32" s="254" t="s">
        <v>65</v>
      </c>
      <c r="I32" s="255"/>
      <c r="J32" s="261" t="s">
        <v>877</v>
      </c>
      <c r="K32" s="261"/>
      <c r="L32" s="264"/>
      <c r="M32" s="254" t="s">
        <v>65</v>
      </c>
      <c r="N32" s="262"/>
      <c r="O32" s="321" t="s">
        <v>945</v>
      </c>
      <c r="P32" s="321"/>
      <c r="Q32" s="322"/>
      <c r="R32" s="254" t="s">
        <v>65</v>
      </c>
      <c r="S32" s="262"/>
      <c r="T32" s="325" t="s">
        <v>1083</v>
      </c>
      <c r="U32" s="326"/>
      <c r="V32" s="327" t="s">
        <v>56</v>
      </c>
      <c r="W32" s="287"/>
      <c r="X32" s="265">
        <v>4</v>
      </c>
      <c r="Y32" s="257" t="s">
        <v>28</v>
      </c>
      <c r="Z32" s="258" t="s">
        <v>44</v>
      </c>
      <c r="AA32" s="257" t="s">
        <v>522</v>
      </c>
      <c r="AB32" s="257" t="s">
        <v>244</v>
      </c>
      <c r="AC32" s="257" t="s">
        <v>244</v>
      </c>
      <c r="AD32" s="259" t="s">
        <v>530</v>
      </c>
      <c r="AE32" s="260" t="s">
        <v>624</v>
      </c>
    </row>
    <row r="33" spans="1:31" ht="105.6" thickBot="1">
      <c r="A33" s="249" t="s">
        <v>45</v>
      </c>
      <c r="B33" s="250" t="s">
        <v>326</v>
      </c>
      <c r="C33" s="251" t="s">
        <v>158</v>
      </c>
      <c r="D33" s="252" t="s">
        <v>327</v>
      </c>
      <c r="E33" s="291">
        <v>44621</v>
      </c>
      <c r="F33" s="253" t="s">
        <v>762</v>
      </c>
      <c r="G33" s="253"/>
      <c r="H33" s="254" t="s">
        <v>65</v>
      </c>
      <c r="I33" s="255"/>
      <c r="J33" s="229" t="s">
        <v>926</v>
      </c>
      <c r="K33" s="230"/>
      <c r="L33" s="229"/>
      <c r="M33" s="254" t="s">
        <v>65</v>
      </c>
      <c r="N33" s="255"/>
      <c r="O33" s="321" t="s">
        <v>946</v>
      </c>
      <c r="P33" s="321"/>
      <c r="Q33" s="322"/>
      <c r="R33" s="254" t="s">
        <v>65</v>
      </c>
      <c r="S33" s="255"/>
      <c r="T33" s="328" t="s">
        <v>1138</v>
      </c>
      <c r="U33" s="329"/>
      <c r="V33" s="327" t="s">
        <v>56</v>
      </c>
      <c r="W33" s="286"/>
      <c r="X33" s="256">
        <v>4</v>
      </c>
      <c r="Y33" s="257" t="s">
        <v>28</v>
      </c>
      <c r="Z33" s="258" t="s">
        <v>44</v>
      </c>
      <c r="AA33" s="257" t="s">
        <v>522</v>
      </c>
      <c r="AB33" s="257" t="s">
        <v>244</v>
      </c>
      <c r="AC33" s="257" t="s">
        <v>244</v>
      </c>
      <c r="AD33" s="259" t="s">
        <v>531</v>
      </c>
      <c r="AE33" s="260" t="s">
        <v>625</v>
      </c>
    </row>
    <row r="34" spans="1:31" ht="107.4" customHeight="1" thickBot="1">
      <c r="A34" s="249" t="s">
        <v>243</v>
      </c>
      <c r="B34" s="250" t="s">
        <v>328</v>
      </c>
      <c r="C34" s="251" t="s">
        <v>15</v>
      </c>
      <c r="D34" s="252" t="s">
        <v>329</v>
      </c>
      <c r="E34" s="291">
        <v>44348</v>
      </c>
      <c r="F34" s="229" t="s">
        <v>836</v>
      </c>
      <c r="G34" s="253"/>
      <c r="H34" s="254" t="s">
        <v>56</v>
      </c>
      <c r="I34" s="255"/>
      <c r="J34" s="261"/>
      <c r="K34" s="261"/>
      <c r="L34" s="264"/>
      <c r="M34" s="254" t="s">
        <v>56</v>
      </c>
      <c r="N34" s="262"/>
      <c r="O34" s="321" t="s">
        <v>1018</v>
      </c>
      <c r="P34" s="321"/>
      <c r="Q34" s="322"/>
      <c r="R34" s="254" t="s">
        <v>56</v>
      </c>
      <c r="S34" s="262"/>
      <c r="T34" s="325"/>
      <c r="U34" s="326"/>
      <c r="V34" s="327" t="s">
        <v>56</v>
      </c>
      <c r="W34" s="287"/>
      <c r="X34" s="256">
        <v>1</v>
      </c>
      <c r="Y34" s="257" t="s">
        <v>26</v>
      </c>
      <c r="Z34" s="258" t="s">
        <v>24</v>
      </c>
      <c r="AA34" s="257" t="s">
        <v>522</v>
      </c>
      <c r="AB34" s="257" t="s">
        <v>80</v>
      </c>
      <c r="AC34" s="257" t="s">
        <v>77</v>
      </c>
      <c r="AD34" s="259" t="s">
        <v>231</v>
      </c>
      <c r="AE34" s="260" t="s">
        <v>626</v>
      </c>
    </row>
    <row r="35" spans="1:31" ht="98.1" customHeight="1" thickBot="1">
      <c r="A35" s="249" t="s">
        <v>243</v>
      </c>
      <c r="B35" s="250" t="s">
        <v>330</v>
      </c>
      <c r="C35" s="251" t="s">
        <v>15</v>
      </c>
      <c r="D35" s="252" t="s">
        <v>331</v>
      </c>
      <c r="E35" s="291">
        <v>44621</v>
      </c>
      <c r="F35" s="229" t="s">
        <v>837</v>
      </c>
      <c r="G35" s="253"/>
      <c r="H35" s="254" t="s">
        <v>65</v>
      </c>
      <c r="I35" s="255"/>
      <c r="J35" s="264"/>
      <c r="K35" s="261"/>
      <c r="L35" s="264"/>
      <c r="M35" s="254" t="s">
        <v>65</v>
      </c>
      <c r="N35" s="306"/>
      <c r="O35" s="323" t="s">
        <v>996</v>
      </c>
      <c r="P35" s="321"/>
      <c r="Q35" s="322"/>
      <c r="R35" s="254" t="s">
        <v>56</v>
      </c>
      <c r="S35" s="262"/>
      <c r="T35" s="323" t="s">
        <v>996</v>
      </c>
      <c r="U35" s="326"/>
      <c r="V35" s="327" t="s">
        <v>56</v>
      </c>
      <c r="W35" s="287"/>
      <c r="X35" s="256">
        <v>4</v>
      </c>
      <c r="Y35" s="257" t="s">
        <v>26</v>
      </c>
      <c r="Z35" s="258" t="s">
        <v>24</v>
      </c>
      <c r="AA35" s="257" t="s">
        <v>522</v>
      </c>
      <c r="AB35" s="257" t="s">
        <v>80</v>
      </c>
      <c r="AC35" s="257" t="s">
        <v>77</v>
      </c>
      <c r="AD35" s="259" t="s">
        <v>232</v>
      </c>
      <c r="AE35" s="260" t="s">
        <v>627</v>
      </c>
    </row>
    <row r="36" spans="1:31" ht="98.1" customHeight="1" thickBot="1">
      <c r="A36" s="249" t="s">
        <v>243</v>
      </c>
      <c r="B36" s="250" t="s">
        <v>332</v>
      </c>
      <c r="C36" s="251" t="s">
        <v>12</v>
      </c>
      <c r="D36" s="252" t="s">
        <v>13</v>
      </c>
      <c r="E36" s="291" t="s">
        <v>333</v>
      </c>
      <c r="F36" s="229" t="s">
        <v>838</v>
      </c>
      <c r="G36" s="253"/>
      <c r="H36" s="254" t="s">
        <v>65</v>
      </c>
      <c r="I36" s="255"/>
      <c r="J36" s="261"/>
      <c r="K36" s="261"/>
      <c r="L36" s="264"/>
      <c r="M36" s="254" t="s">
        <v>65</v>
      </c>
      <c r="N36" s="262"/>
      <c r="O36" s="321" t="s">
        <v>1027</v>
      </c>
      <c r="P36" s="321"/>
      <c r="Q36" s="322"/>
      <c r="R36" s="254" t="s">
        <v>65</v>
      </c>
      <c r="S36" s="262"/>
      <c r="T36" s="325"/>
      <c r="U36" s="327">
        <v>2</v>
      </c>
      <c r="V36" s="327" t="s">
        <v>56</v>
      </c>
      <c r="W36" s="287"/>
      <c r="X36" s="265">
        <v>4</v>
      </c>
      <c r="Y36" s="257" t="s">
        <v>26</v>
      </c>
      <c r="Z36" s="258" t="s">
        <v>24</v>
      </c>
      <c r="AA36" s="257" t="s">
        <v>522</v>
      </c>
      <c r="AB36" s="257" t="s">
        <v>80</v>
      </c>
      <c r="AC36" s="257" t="s">
        <v>77</v>
      </c>
      <c r="AD36" s="259" t="s">
        <v>233</v>
      </c>
      <c r="AE36" s="260" t="s">
        <v>628</v>
      </c>
    </row>
    <row r="37" spans="1:31" ht="98.1" customHeight="1" thickBot="1">
      <c r="A37" s="249" t="s">
        <v>243</v>
      </c>
      <c r="B37" s="250" t="s">
        <v>334</v>
      </c>
      <c r="C37" s="251" t="s">
        <v>12</v>
      </c>
      <c r="D37" s="252" t="s">
        <v>160</v>
      </c>
      <c r="E37" s="291" t="s">
        <v>335</v>
      </c>
      <c r="F37" s="229" t="s">
        <v>812</v>
      </c>
      <c r="G37" s="253"/>
      <c r="H37" s="254" t="s">
        <v>65</v>
      </c>
      <c r="I37" s="255"/>
      <c r="J37" s="264"/>
      <c r="K37" s="261"/>
      <c r="L37" s="264"/>
      <c r="M37" s="254" t="s">
        <v>65</v>
      </c>
      <c r="N37" s="262"/>
      <c r="O37" s="321" t="s">
        <v>983</v>
      </c>
      <c r="P37" s="321"/>
      <c r="Q37" s="322"/>
      <c r="R37" s="254" t="s">
        <v>65</v>
      </c>
      <c r="S37" s="262"/>
      <c r="T37" s="325"/>
      <c r="U37" s="326"/>
      <c r="V37" s="327" t="s">
        <v>56</v>
      </c>
      <c r="W37" s="287"/>
      <c r="X37" s="265">
        <v>4</v>
      </c>
      <c r="Y37" s="257" t="s">
        <v>26</v>
      </c>
      <c r="Z37" s="258" t="s">
        <v>24</v>
      </c>
      <c r="AA37" s="257" t="s">
        <v>522</v>
      </c>
      <c r="AB37" s="257" t="s">
        <v>80</v>
      </c>
      <c r="AC37" s="257" t="s">
        <v>77</v>
      </c>
      <c r="AD37" s="259" t="s">
        <v>234</v>
      </c>
      <c r="AE37" s="260" t="s">
        <v>629</v>
      </c>
    </row>
    <row r="38" spans="1:31" ht="98.1" customHeight="1" thickBot="1">
      <c r="A38" s="249" t="s">
        <v>243</v>
      </c>
      <c r="B38" s="250" t="s">
        <v>336</v>
      </c>
      <c r="C38" s="251" t="s">
        <v>14</v>
      </c>
      <c r="D38" s="252" t="s">
        <v>161</v>
      </c>
      <c r="E38" s="293">
        <v>44531</v>
      </c>
      <c r="F38" s="253"/>
      <c r="G38" s="253"/>
      <c r="H38" s="254" t="s">
        <v>65</v>
      </c>
      <c r="I38" s="255"/>
      <c r="J38" s="261"/>
      <c r="K38" s="261"/>
      <c r="L38" s="264"/>
      <c r="M38" s="254" t="s">
        <v>65</v>
      </c>
      <c r="N38" s="262"/>
      <c r="O38" s="321" t="s">
        <v>1028</v>
      </c>
      <c r="P38" s="321"/>
      <c r="Q38" s="322"/>
      <c r="R38" s="254" t="s">
        <v>56</v>
      </c>
      <c r="S38" s="262"/>
      <c r="T38" s="325"/>
      <c r="U38" s="326"/>
      <c r="V38" s="327" t="s">
        <v>56</v>
      </c>
      <c r="W38" s="287"/>
      <c r="X38" s="265">
        <v>3</v>
      </c>
      <c r="Y38" s="257" t="s">
        <v>26</v>
      </c>
      <c r="Z38" s="258" t="s">
        <v>24</v>
      </c>
      <c r="AA38" s="257" t="s">
        <v>522</v>
      </c>
      <c r="AB38" s="257" t="s">
        <v>80</v>
      </c>
      <c r="AC38" s="257" t="s">
        <v>77</v>
      </c>
      <c r="AD38" s="259" t="s">
        <v>235</v>
      </c>
      <c r="AE38" s="260" t="s">
        <v>630</v>
      </c>
    </row>
    <row r="39" spans="1:31" ht="98.1" customHeight="1" thickBot="1">
      <c r="A39" s="249" t="s">
        <v>243</v>
      </c>
      <c r="B39" s="250" t="s">
        <v>337</v>
      </c>
      <c r="C39" s="251" t="s">
        <v>338</v>
      </c>
      <c r="D39" s="252" t="s">
        <v>339</v>
      </c>
      <c r="E39" s="291">
        <v>44440</v>
      </c>
      <c r="F39" s="253"/>
      <c r="G39" s="253"/>
      <c r="H39" s="254" t="s">
        <v>65</v>
      </c>
      <c r="I39" s="255"/>
      <c r="J39" s="261" t="s">
        <v>918</v>
      </c>
      <c r="K39" s="261"/>
      <c r="L39" s="264"/>
      <c r="M39" s="254" t="s">
        <v>56</v>
      </c>
      <c r="N39" s="262"/>
      <c r="O39" s="321" t="s">
        <v>1019</v>
      </c>
      <c r="P39" s="321"/>
      <c r="Q39" s="322"/>
      <c r="R39" s="254" t="s">
        <v>56</v>
      </c>
      <c r="S39" s="262"/>
      <c r="T39" s="325"/>
      <c r="U39" s="326"/>
      <c r="V39" s="327" t="s">
        <v>56</v>
      </c>
      <c r="W39" s="287"/>
      <c r="X39" s="265">
        <v>2</v>
      </c>
      <c r="Y39" s="257" t="s">
        <v>26</v>
      </c>
      <c r="Z39" s="258" t="s">
        <v>24</v>
      </c>
      <c r="AA39" s="257" t="s">
        <v>522</v>
      </c>
      <c r="AB39" s="257" t="s">
        <v>80</v>
      </c>
      <c r="AC39" s="257" t="s">
        <v>77</v>
      </c>
      <c r="AD39" s="259" t="s">
        <v>236</v>
      </c>
      <c r="AE39" s="260" t="s">
        <v>631</v>
      </c>
    </row>
    <row r="40" spans="1:31" ht="98.1" customHeight="1" thickBot="1">
      <c r="A40" s="249" t="s">
        <v>243</v>
      </c>
      <c r="B40" s="250" t="s">
        <v>340</v>
      </c>
      <c r="C40" s="251" t="s">
        <v>14</v>
      </c>
      <c r="D40" s="252" t="s">
        <v>162</v>
      </c>
      <c r="E40" s="291">
        <v>44470</v>
      </c>
      <c r="F40" s="253"/>
      <c r="G40" s="253"/>
      <c r="H40" s="254" t="s">
        <v>65</v>
      </c>
      <c r="I40" s="255"/>
      <c r="J40" s="261"/>
      <c r="K40" s="261"/>
      <c r="L40" s="264"/>
      <c r="M40" s="254" t="s">
        <v>65</v>
      </c>
      <c r="N40" s="262"/>
      <c r="O40" s="321" t="s">
        <v>1029</v>
      </c>
      <c r="P40" s="321"/>
      <c r="Q40" s="322"/>
      <c r="R40" s="254" t="s">
        <v>56</v>
      </c>
      <c r="S40" s="262"/>
      <c r="T40" s="325"/>
      <c r="U40" s="326"/>
      <c r="V40" s="327" t="s">
        <v>56</v>
      </c>
      <c r="W40" s="287"/>
      <c r="X40" s="265">
        <v>3</v>
      </c>
      <c r="Y40" s="257" t="s">
        <v>26</v>
      </c>
      <c r="Z40" s="258" t="s">
        <v>24</v>
      </c>
      <c r="AA40" s="257" t="s">
        <v>522</v>
      </c>
      <c r="AB40" s="257" t="s">
        <v>80</v>
      </c>
      <c r="AC40" s="257" t="s">
        <v>77</v>
      </c>
      <c r="AD40" s="259" t="s">
        <v>237</v>
      </c>
      <c r="AE40" s="260" t="s">
        <v>632</v>
      </c>
    </row>
    <row r="41" spans="1:31" ht="98.1" customHeight="1" thickBot="1">
      <c r="A41" s="249" t="s">
        <v>243</v>
      </c>
      <c r="B41" s="250" t="s">
        <v>341</v>
      </c>
      <c r="C41" s="251" t="s">
        <v>141</v>
      </c>
      <c r="D41" s="252" t="s">
        <v>342</v>
      </c>
      <c r="E41" s="291">
        <v>44562</v>
      </c>
      <c r="F41" s="318"/>
      <c r="G41" s="253"/>
      <c r="H41" s="254" t="s">
        <v>65</v>
      </c>
      <c r="I41" s="255"/>
      <c r="J41" s="261"/>
      <c r="K41" s="261"/>
      <c r="L41" s="264"/>
      <c r="M41" s="254" t="s">
        <v>65</v>
      </c>
      <c r="N41" s="262"/>
      <c r="O41" s="321" t="s">
        <v>1030</v>
      </c>
      <c r="P41" s="321"/>
      <c r="Q41" s="322"/>
      <c r="R41" s="254" t="s">
        <v>56</v>
      </c>
      <c r="S41" s="262"/>
      <c r="T41" s="325"/>
      <c r="U41" s="326"/>
      <c r="V41" s="327" t="s">
        <v>56</v>
      </c>
      <c r="W41" s="287"/>
      <c r="X41" s="265">
        <v>4</v>
      </c>
      <c r="Y41" s="257" t="s">
        <v>26</v>
      </c>
      <c r="Z41" s="258" t="s">
        <v>24</v>
      </c>
      <c r="AA41" s="257" t="s">
        <v>522</v>
      </c>
      <c r="AB41" s="257" t="s">
        <v>80</v>
      </c>
      <c r="AC41" s="257" t="s">
        <v>77</v>
      </c>
      <c r="AD41" s="259" t="s">
        <v>173</v>
      </c>
      <c r="AE41" s="260" t="s">
        <v>633</v>
      </c>
    </row>
    <row r="42" spans="1:31" ht="98.1" customHeight="1" thickBot="1">
      <c r="A42" s="249" t="s">
        <v>243</v>
      </c>
      <c r="B42" s="250" t="s">
        <v>343</v>
      </c>
      <c r="C42" s="251" t="s">
        <v>141</v>
      </c>
      <c r="D42" s="252" t="s">
        <v>344</v>
      </c>
      <c r="E42" s="291">
        <v>44409</v>
      </c>
      <c r="F42" s="229" t="s">
        <v>813</v>
      </c>
      <c r="G42" s="253"/>
      <c r="H42" s="254" t="s">
        <v>65</v>
      </c>
      <c r="I42" s="255"/>
      <c r="J42" s="261" t="s">
        <v>919</v>
      </c>
      <c r="K42" s="261"/>
      <c r="L42" s="264"/>
      <c r="M42" s="254" t="s">
        <v>56</v>
      </c>
      <c r="N42" s="262"/>
      <c r="O42" s="321" t="s">
        <v>1019</v>
      </c>
      <c r="P42" s="321"/>
      <c r="Q42" s="322"/>
      <c r="R42" s="254" t="s">
        <v>56</v>
      </c>
      <c r="S42" s="262"/>
      <c r="T42" s="325"/>
      <c r="U42" s="326"/>
      <c r="V42" s="327" t="s">
        <v>56</v>
      </c>
      <c r="W42" s="287"/>
      <c r="X42" s="265">
        <v>2</v>
      </c>
      <c r="Y42" s="257" t="s">
        <v>26</v>
      </c>
      <c r="Z42" s="258" t="s">
        <v>24</v>
      </c>
      <c r="AA42" s="257" t="s">
        <v>522</v>
      </c>
      <c r="AB42" s="257" t="s">
        <v>80</v>
      </c>
      <c r="AC42" s="257" t="s">
        <v>77</v>
      </c>
      <c r="AD42" s="259" t="s">
        <v>174</v>
      </c>
      <c r="AE42" s="260" t="s">
        <v>634</v>
      </c>
    </row>
    <row r="43" spans="1:31" ht="98.1" customHeight="1" thickBot="1">
      <c r="A43" s="249" t="s">
        <v>243</v>
      </c>
      <c r="B43" s="250" t="s">
        <v>345</v>
      </c>
      <c r="C43" s="251" t="s">
        <v>141</v>
      </c>
      <c r="D43" s="252" t="s">
        <v>346</v>
      </c>
      <c r="E43" s="291">
        <v>44409</v>
      </c>
      <c r="F43" s="344" t="s">
        <v>813</v>
      </c>
      <c r="G43" s="253"/>
      <c r="H43" s="254" t="s">
        <v>65</v>
      </c>
      <c r="I43" s="270"/>
      <c r="J43" s="261" t="s">
        <v>919</v>
      </c>
      <c r="K43" s="261"/>
      <c r="L43" s="264"/>
      <c r="M43" s="254" t="s">
        <v>56</v>
      </c>
      <c r="N43" s="262"/>
      <c r="O43" s="321" t="s">
        <v>1019</v>
      </c>
      <c r="P43" s="321"/>
      <c r="Q43" s="322"/>
      <c r="R43" s="254" t="s">
        <v>56</v>
      </c>
      <c r="S43" s="262"/>
      <c r="T43" s="325"/>
      <c r="U43" s="326"/>
      <c r="V43" s="327" t="s">
        <v>56</v>
      </c>
      <c r="W43" s="287"/>
      <c r="X43" s="265">
        <v>2</v>
      </c>
      <c r="Y43" s="257" t="s">
        <v>26</v>
      </c>
      <c r="Z43" s="258" t="s">
        <v>24</v>
      </c>
      <c r="AA43" s="257" t="s">
        <v>522</v>
      </c>
      <c r="AB43" s="257" t="s">
        <v>80</v>
      </c>
      <c r="AC43" s="257" t="s">
        <v>77</v>
      </c>
      <c r="AD43" s="259" t="s">
        <v>175</v>
      </c>
      <c r="AE43" s="260" t="s">
        <v>635</v>
      </c>
    </row>
    <row r="44" spans="1:31" ht="98.1" customHeight="1" thickBot="1">
      <c r="A44" s="249" t="s">
        <v>46</v>
      </c>
      <c r="B44" s="250" t="s">
        <v>347</v>
      </c>
      <c r="C44" s="251" t="s">
        <v>348</v>
      </c>
      <c r="D44" s="252" t="s">
        <v>349</v>
      </c>
      <c r="E44" s="291"/>
      <c r="F44" s="299">
        <v>0.29649999999999999</v>
      </c>
      <c r="G44" s="277">
        <v>98</v>
      </c>
      <c r="H44" s="254" t="s">
        <v>65</v>
      </c>
      <c r="I44" s="255" t="s">
        <v>780</v>
      </c>
      <c r="J44" s="307">
        <v>0.56910000000000005</v>
      </c>
      <c r="K44" s="229">
        <v>98</v>
      </c>
      <c r="L44" s="229">
        <v>98</v>
      </c>
      <c r="M44" s="254" t="s">
        <v>65</v>
      </c>
      <c r="N44" s="316"/>
      <c r="O44" s="321" t="s">
        <v>1000</v>
      </c>
      <c r="P44" s="321" t="s">
        <v>1000</v>
      </c>
      <c r="Q44" s="253">
        <v>98</v>
      </c>
      <c r="R44" s="254" t="s">
        <v>65</v>
      </c>
      <c r="S44" s="255" t="s">
        <v>780</v>
      </c>
      <c r="T44" s="335">
        <v>0.96970000000000001</v>
      </c>
      <c r="U44" s="338">
        <v>0.96970000000000001</v>
      </c>
      <c r="V44" s="327" t="s">
        <v>57</v>
      </c>
      <c r="W44" s="332" t="s">
        <v>1107</v>
      </c>
      <c r="X44" s="265"/>
      <c r="Y44" s="257" t="s">
        <v>26</v>
      </c>
      <c r="Z44" s="258" t="s">
        <v>581</v>
      </c>
      <c r="AA44" s="257" t="s">
        <v>522</v>
      </c>
      <c r="AB44" s="257" t="s">
        <v>79</v>
      </c>
      <c r="AC44" s="257" t="s">
        <v>79</v>
      </c>
      <c r="AD44" s="259" t="s">
        <v>218</v>
      </c>
      <c r="AE44" s="260" t="s">
        <v>636</v>
      </c>
    </row>
    <row r="45" spans="1:31" ht="98.1" customHeight="1" thickBot="1">
      <c r="A45" s="249" t="s">
        <v>46</v>
      </c>
      <c r="B45" s="250" t="s">
        <v>350</v>
      </c>
      <c r="C45" s="251" t="s">
        <v>348</v>
      </c>
      <c r="D45" s="252" t="s">
        <v>351</v>
      </c>
      <c r="E45" s="291"/>
      <c r="F45" s="299">
        <v>0.33360000000000001</v>
      </c>
      <c r="G45" s="277">
        <v>99</v>
      </c>
      <c r="H45" s="254" t="s">
        <v>65</v>
      </c>
      <c r="I45" s="255" t="s">
        <v>781</v>
      </c>
      <c r="J45" s="307">
        <v>0.54190000000000005</v>
      </c>
      <c r="K45" s="229">
        <v>99</v>
      </c>
      <c r="L45" s="229">
        <v>99</v>
      </c>
      <c r="M45" s="254" t="s">
        <v>66</v>
      </c>
      <c r="N45" s="272" t="s">
        <v>934</v>
      </c>
      <c r="O45" s="321" t="s">
        <v>1001</v>
      </c>
      <c r="P45" s="321" t="s">
        <v>1001</v>
      </c>
      <c r="Q45" s="253">
        <v>99</v>
      </c>
      <c r="R45" s="254" t="s">
        <v>65</v>
      </c>
      <c r="S45" s="255" t="s">
        <v>781</v>
      </c>
      <c r="T45" s="335">
        <v>0.98670000000000002</v>
      </c>
      <c r="U45" s="338">
        <v>0.98670000000000002</v>
      </c>
      <c r="V45" s="327" t="s">
        <v>57</v>
      </c>
      <c r="W45" s="332" t="s">
        <v>1106</v>
      </c>
      <c r="X45" s="265"/>
      <c r="Y45" s="257" t="s">
        <v>26</v>
      </c>
      <c r="Z45" s="258" t="s">
        <v>581</v>
      </c>
      <c r="AA45" s="257" t="s">
        <v>522</v>
      </c>
      <c r="AB45" s="257" t="s">
        <v>79</v>
      </c>
      <c r="AC45" s="257" t="s">
        <v>79</v>
      </c>
      <c r="AD45" s="259" t="s">
        <v>219</v>
      </c>
      <c r="AE45" s="260" t="s">
        <v>637</v>
      </c>
    </row>
    <row r="46" spans="1:31" ht="98.1" customHeight="1" thickBot="1">
      <c r="A46" s="249" t="s">
        <v>46</v>
      </c>
      <c r="B46" s="250" t="s">
        <v>352</v>
      </c>
      <c r="C46" s="251" t="s">
        <v>353</v>
      </c>
      <c r="D46" s="252" t="s">
        <v>737</v>
      </c>
      <c r="E46" s="291"/>
      <c r="F46" s="253">
        <v>2262619.96</v>
      </c>
      <c r="G46" s="253">
        <v>2500000</v>
      </c>
      <c r="H46" s="254" t="s">
        <v>65</v>
      </c>
      <c r="I46" s="255" t="s">
        <v>781</v>
      </c>
      <c r="J46" s="308" t="s">
        <v>929</v>
      </c>
      <c r="K46" s="300">
        <v>2500000</v>
      </c>
      <c r="L46" s="300">
        <v>2500000</v>
      </c>
      <c r="M46" s="254" t="s">
        <v>65</v>
      </c>
      <c r="N46" s="255"/>
      <c r="O46" s="309" t="s">
        <v>998</v>
      </c>
      <c r="P46" s="348">
        <v>2500000</v>
      </c>
      <c r="Q46" s="349">
        <v>2500000</v>
      </c>
      <c r="R46" s="254" t="s">
        <v>65</v>
      </c>
      <c r="S46" s="255" t="s">
        <v>781</v>
      </c>
      <c r="T46" s="334">
        <v>1335828.51</v>
      </c>
      <c r="U46" s="336">
        <v>1335828.51</v>
      </c>
      <c r="V46" s="327" t="s">
        <v>56</v>
      </c>
      <c r="W46" s="332" t="s">
        <v>1108</v>
      </c>
      <c r="X46" s="265"/>
      <c r="Y46" s="257" t="s">
        <v>26</v>
      </c>
      <c r="Z46" s="258" t="s">
        <v>581</v>
      </c>
      <c r="AA46" s="257" t="s">
        <v>522</v>
      </c>
      <c r="AB46" s="257" t="s">
        <v>79</v>
      </c>
      <c r="AC46" s="257" t="s">
        <v>79</v>
      </c>
      <c r="AD46" s="259" t="s">
        <v>220</v>
      </c>
      <c r="AE46" s="260" t="s">
        <v>638</v>
      </c>
    </row>
    <row r="47" spans="1:31" ht="98.1" customHeight="1" thickBot="1">
      <c r="A47" s="249" t="s">
        <v>46</v>
      </c>
      <c r="B47" s="250" t="s">
        <v>354</v>
      </c>
      <c r="C47" s="251" t="s">
        <v>353</v>
      </c>
      <c r="D47" s="252" t="s">
        <v>738</v>
      </c>
      <c r="E47" s="294"/>
      <c r="F47" s="253">
        <v>2088266.62</v>
      </c>
      <c r="G47" s="253">
        <v>1500000</v>
      </c>
      <c r="H47" s="254" t="s">
        <v>65</v>
      </c>
      <c r="I47" s="255" t="s">
        <v>782</v>
      </c>
      <c r="J47" s="309" t="s">
        <v>930</v>
      </c>
      <c r="K47" s="300">
        <v>1500000</v>
      </c>
      <c r="L47" s="300">
        <v>1500000</v>
      </c>
      <c r="M47" s="254" t="s">
        <v>65</v>
      </c>
      <c r="N47" s="255"/>
      <c r="O47" s="309" t="s">
        <v>999</v>
      </c>
      <c r="P47" s="314">
        <v>1500000</v>
      </c>
      <c r="Q47" s="300">
        <v>1500000</v>
      </c>
      <c r="R47" s="254" t="s">
        <v>65</v>
      </c>
      <c r="S47" s="255" t="s">
        <v>781</v>
      </c>
      <c r="T47" s="334">
        <v>1212387.3400000001</v>
      </c>
      <c r="U47" s="336">
        <v>1212387.3400000001</v>
      </c>
      <c r="V47" s="327" t="s">
        <v>56</v>
      </c>
      <c r="W47" s="332" t="s">
        <v>1108</v>
      </c>
      <c r="X47" s="265"/>
      <c r="Y47" s="257" t="s">
        <v>26</v>
      </c>
      <c r="Z47" s="258" t="s">
        <v>581</v>
      </c>
      <c r="AA47" s="257" t="s">
        <v>522</v>
      </c>
      <c r="AB47" s="257" t="s">
        <v>79</v>
      </c>
      <c r="AC47" s="257" t="s">
        <v>79</v>
      </c>
      <c r="AD47" s="259" t="s">
        <v>221</v>
      </c>
      <c r="AE47" s="260" t="s">
        <v>639</v>
      </c>
    </row>
    <row r="48" spans="1:31" ht="98.1" customHeight="1" thickBot="1">
      <c r="A48" s="249" t="s">
        <v>46</v>
      </c>
      <c r="B48" s="250" t="s">
        <v>355</v>
      </c>
      <c r="C48" s="251" t="s">
        <v>353</v>
      </c>
      <c r="D48" s="271" t="s">
        <v>739</v>
      </c>
      <c r="E48" s="295"/>
      <c r="F48" s="253">
        <v>0</v>
      </c>
      <c r="G48" s="253">
        <v>80000</v>
      </c>
      <c r="H48" s="254" t="s">
        <v>65</v>
      </c>
      <c r="I48" s="255" t="s">
        <v>781</v>
      </c>
      <c r="J48" s="309" t="s">
        <v>931</v>
      </c>
      <c r="K48" s="300">
        <v>80000</v>
      </c>
      <c r="L48" s="300">
        <v>80000</v>
      </c>
      <c r="M48" s="254" t="s">
        <v>65</v>
      </c>
      <c r="N48" s="255"/>
      <c r="O48" s="320">
        <v>23120</v>
      </c>
      <c r="P48" s="314">
        <v>80000</v>
      </c>
      <c r="Q48" s="300">
        <v>80000</v>
      </c>
      <c r="R48" s="254" t="s">
        <v>65</v>
      </c>
      <c r="S48" s="262"/>
      <c r="T48" s="334">
        <v>28691.34</v>
      </c>
      <c r="U48" s="336">
        <v>28691.34</v>
      </c>
      <c r="V48" s="327" t="s">
        <v>56</v>
      </c>
      <c r="W48" s="287" t="s">
        <v>781</v>
      </c>
      <c r="X48" s="265"/>
      <c r="Y48" s="257" t="s">
        <v>26</v>
      </c>
      <c r="Z48" s="258" t="s">
        <v>581</v>
      </c>
      <c r="AA48" s="257" t="s">
        <v>522</v>
      </c>
      <c r="AB48" s="257" t="s">
        <v>79</v>
      </c>
      <c r="AC48" s="257" t="s">
        <v>79</v>
      </c>
      <c r="AD48" s="259" t="s">
        <v>222</v>
      </c>
      <c r="AE48" s="260" t="s">
        <v>640</v>
      </c>
    </row>
    <row r="49" spans="1:31" ht="98.1" customHeight="1" thickBot="1">
      <c r="A49" s="249" t="s">
        <v>46</v>
      </c>
      <c r="B49" s="250" t="s">
        <v>356</v>
      </c>
      <c r="C49" s="251" t="s">
        <v>11</v>
      </c>
      <c r="D49" s="271" t="s">
        <v>238</v>
      </c>
      <c r="E49" s="291"/>
      <c r="F49" s="253">
        <v>0</v>
      </c>
      <c r="G49" s="253">
        <v>0</v>
      </c>
      <c r="H49" s="254" t="s">
        <v>69</v>
      </c>
      <c r="I49" s="255" t="s">
        <v>783</v>
      </c>
      <c r="J49" s="230" t="s">
        <v>927</v>
      </c>
      <c r="K49" s="310">
        <v>1</v>
      </c>
      <c r="L49" s="311">
        <v>0.99</v>
      </c>
      <c r="M49" s="254" t="s">
        <v>65</v>
      </c>
      <c r="N49" s="255"/>
      <c r="O49" s="230" t="s">
        <v>1031</v>
      </c>
      <c r="P49" s="321" t="s">
        <v>957</v>
      </c>
      <c r="Q49" s="322" t="s">
        <v>957</v>
      </c>
      <c r="R49" s="254" t="s">
        <v>65</v>
      </c>
      <c r="S49" s="255"/>
      <c r="T49" s="341">
        <v>0.98</v>
      </c>
      <c r="U49" s="340">
        <v>0.98</v>
      </c>
      <c r="V49" s="327" t="s">
        <v>57</v>
      </c>
      <c r="W49" s="286" t="s">
        <v>1132</v>
      </c>
      <c r="X49" s="265"/>
      <c r="Y49" s="257" t="s">
        <v>26</v>
      </c>
      <c r="Z49" s="258" t="s">
        <v>581</v>
      </c>
      <c r="AA49" s="257" t="s">
        <v>522</v>
      </c>
      <c r="AB49" s="257" t="s">
        <v>79</v>
      </c>
      <c r="AC49" s="257" t="s">
        <v>79</v>
      </c>
      <c r="AD49" s="259" t="s">
        <v>223</v>
      </c>
      <c r="AE49" s="260" t="s">
        <v>641</v>
      </c>
    </row>
    <row r="50" spans="1:31" ht="98.1" customHeight="1" thickBot="1">
      <c r="A50" s="249" t="s">
        <v>46</v>
      </c>
      <c r="B50" s="250" t="s">
        <v>357</v>
      </c>
      <c r="C50" s="251" t="s">
        <v>11</v>
      </c>
      <c r="D50" s="252" t="s">
        <v>239</v>
      </c>
      <c r="E50" s="291"/>
      <c r="F50" s="253">
        <v>0.81</v>
      </c>
      <c r="G50" s="253">
        <v>75</v>
      </c>
      <c r="H50" s="254" t="s">
        <v>65</v>
      </c>
      <c r="I50" s="255"/>
      <c r="J50" s="263"/>
      <c r="K50" s="311">
        <v>0.83</v>
      </c>
      <c r="L50" s="311">
        <v>0.75</v>
      </c>
      <c r="M50" s="254" t="s">
        <v>65</v>
      </c>
      <c r="N50" s="255"/>
      <c r="O50" s="324"/>
      <c r="P50" s="321" t="s">
        <v>987</v>
      </c>
      <c r="Q50" s="322" t="s">
        <v>988</v>
      </c>
      <c r="R50" s="254" t="s">
        <v>65</v>
      </c>
      <c r="S50" s="255"/>
      <c r="T50" s="342">
        <v>0.83</v>
      </c>
      <c r="U50" s="340">
        <v>0.83</v>
      </c>
      <c r="V50" s="327" t="s">
        <v>56</v>
      </c>
      <c r="W50" s="286" t="s">
        <v>1133</v>
      </c>
      <c r="X50" s="256"/>
      <c r="Y50" s="257" t="s">
        <v>26</v>
      </c>
      <c r="Z50" s="258" t="s">
        <v>581</v>
      </c>
      <c r="AA50" s="257" t="s">
        <v>522</v>
      </c>
      <c r="AB50" s="257" t="s">
        <v>79</v>
      </c>
      <c r="AC50" s="257" t="s">
        <v>79</v>
      </c>
      <c r="AD50" s="259" t="s">
        <v>224</v>
      </c>
      <c r="AE50" s="260" t="s">
        <v>642</v>
      </c>
    </row>
    <row r="51" spans="1:31" ht="98.1" customHeight="1" thickBot="1">
      <c r="A51" s="249" t="s">
        <v>46</v>
      </c>
      <c r="B51" s="250" t="s">
        <v>358</v>
      </c>
      <c r="C51" s="251" t="s">
        <v>154</v>
      </c>
      <c r="D51" s="252" t="s">
        <v>740</v>
      </c>
      <c r="E51" s="291"/>
      <c r="F51" s="253" t="s">
        <v>784</v>
      </c>
      <c r="G51" s="253">
        <v>4.5</v>
      </c>
      <c r="H51" s="254" t="s">
        <v>65</v>
      </c>
      <c r="I51" s="255"/>
      <c r="J51" s="230" t="s">
        <v>933</v>
      </c>
      <c r="K51" s="230">
        <v>4.32</v>
      </c>
      <c r="L51" s="229">
        <v>4.5</v>
      </c>
      <c r="M51" s="254" t="s">
        <v>65</v>
      </c>
      <c r="N51" s="255"/>
      <c r="O51" s="321" t="s">
        <v>1015</v>
      </c>
      <c r="P51" s="321" t="s">
        <v>1016</v>
      </c>
      <c r="Q51" s="322" t="s">
        <v>1017</v>
      </c>
      <c r="R51" s="254" t="s">
        <v>65</v>
      </c>
      <c r="S51" s="255"/>
      <c r="T51" s="328">
        <v>3.77</v>
      </c>
      <c r="U51" s="337">
        <v>3.97</v>
      </c>
      <c r="V51" s="327" t="s">
        <v>56</v>
      </c>
      <c r="W51" s="286" t="s">
        <v>1100</v>
      </c>
      <c r="X51" s="256"/>
      <c r="Y51" s="257" t="s">
        <v>26</v>
      </c>
      <c r="Z51" s="258" t="s">
        <v>581</v>
      </c>
      <c r="AA51" s="257" t="s">
        <v>522</v>
      </c>
      <c r="AB51" s="257" t="s">
        <v>79</v>
      </c>
      <c r="AC51" s="257" t="s">
        <v>79</v>
      </c>
      <c r="AD51" s="259" t="s">
        <v>225</v>
      </c>
      <c r="AE51" s="260" t="s">
        <v>643</v>
      </c>
    </row>
    <row r="52" spans="1:31" ht="80.400000000000006" customHeight="1" thickBot="1">
      <c r="A52" s="249" t="s">
        <v>46</v>
      </c>
      <c r="B52" s="250" t="s">
        <v>592</v>
      </c>
      <c r="C52" s="251" t="s">
        <v>359</v>
      </c>
      <c r="D52" s="252" t="s">
        <v>741</v>
      </c>
      <c r="E52" s="291"/>
      <c r="F52" s="299">
        <v>1.25</v>
      </c>
      <c r="G52" s="253">
        <v>90</v>
      </c>
      <c r="H52" s="254" t="s">
        <v>65</v>
      </c>
      <c r="I52" s="255" t="s">
        <v>788</v>
      </c>
      <c r="J52" s="309" t="s">
        <v>932</v>
      </c>
      <c r="K52" s="312">
        <v>1.0713999999999999</v>
      </c>
      <c r="L52" s="308"/>
      <c r="M52" s="254" t="s">
        <v>65</v>
      </c>
      <c r="N52" s="262"/>
      <c r="O52" s="321"/>
      <c r="P52" s="321" t="s">
        <v>957</v>
      </c>
      <c r="Q52" s="322" t="s">
        <v>1002</v>
      </c>
      <c r="R52" s="254" t="s">
        <v>65</v>
      </c>
      <c r="S52" s="262"/>
      <c r="T52" s="335">
        <v>0.48089999999999999</v>
      </c>
      <c r="U52" s="343">
        <v>1.0301</v>
      </c>
      <c r="V52" s="327" t="s">
        <v>56</v>
      </c>
      <c r="W52" s="287" t="s">
        <v>1109</v>
      </c>
      <c r="X52" s="265"/>
      <c r="Y52" s="257" t="s">
        <v>26</v>
      </c>
      <c r="Z52" s="258" t="s">
        <v>581</v>
      </c>
      <c r="AA52" s="257" t="s">
        <v>522</v>
      </c>
      <c r="AB52" s="257" t="s">
        <v>79</v>
      </c>
      <c r="AC52" s="257" t="s">
        <v>79</v>
      </c>
      <c r="AD52" s="259" t="s">
        <v>226</v>
      </c>
      <c r="AE52" s="260" t="s">
        <v>644</v>
      </c>
    </row>
    <row r="53" spans="1:31" ht="113.25" customHeight="1" thickBot="1">
      <c r="A53" s="249" t="s">
        <v>46</v>
      </c>
      <c r="B53" s="250" t="s">
        <v>591</v>
      </c>
      <c r="C53" s="251" t="s">
        <v>359</v>
      </c>
      <c r="D53" s="252" t="s">
        <v>742</v>
      </c>
      <c r="E53" s="291"/>
      <c r="F53" s="299">
        <v>0.33</v>
      </c>
      <c r="G53" s="299">
        <v>0.7</v>
      </c>
      <c r="H53" s="254" t="s">
        <v>66</v>
      </c>
      <c r="I53" s="255" t="s">
        <v>785</v>
      </c>
      <c r="J53" s="313">
        <v>0.6</v>
      </c>
      <c r="K53" s="313">
        <v>0.48599999999999999</v>
      </c>
      <c r="L53" s="299">
        <v>0.7</v>
      </c>
      <c r="M53" s="254" t="s">
        <v>66</v>
      </c>
      <c r="N53" s="255" t="s">
        <v>936</v>
      </c>
      <c r="O53" s="321" t="s">
        <v>1055</v>
      </c>
      <c r="P53" s="321" t="s">
        <v>1056</v>
      </c>
      <c r="Q53" s="322"/>
      <c r="R53" s="254" t="s">
        <v>60</v>
      </c>
      <c r="S53" s="262"/>
      <c r="T53" s="335">
        <v>0.48089999999999999</v>
      </c>
      <c r="U53" s="343">
        <v>0.47439999999999999</v>
      </c>
      <c r="V53" s="327" t="s">
        <v>60</v>
      </c>
      <c r="W53" s="287" t="s">
        <v>1110</v>
      </c>
      <c r="X53" s="265"/>
      <c r="Y53" s="257" t="s">
        <v>26</v>
      </c>
      <c r="Z53" s="258" t="s">
        <v>581</v>
      </c>
      <c r="AA53" s="257" t="s">
        <v>522</v>
      </c>
      <c r="AB53" s="257" t="s">
        <v>79</v>
      </c>
      <c r="AC53" s="257" t="s">
        <v>79</v>
      </c>
      <c r="AD53" s="259" t="s">
        <v>226</v>
      </c>
      <c r="AE53" s="260" t="s">
        <v>645</v>
      </c>
    </row>
    <row r="54" spans="1:31" ht="93" customHeight="1" thickBot="1">
      <c r="A54" s="249" t="s">
        <v>46</v>
      </c>
      <c r="B54" s="250" t="s">
        <v>590</v>
      </c>
      <c r="C54" s="251" t="s">
        <v>359</v>
      </c>
      <c r="D54" s="252" t="s">
        <v>743</v>
      </c>
      <c r="E54" s="291"/>
      <c r="F54" s="299">
        <v>0.89</v>
      </c>
      <c r="G54" s="299">
        <v>0.9</v>
      </c>
      <c r="H54" s="254" t="s">
        <v>65</v>
      </c>
      <c r="I54" s="255"/>
      <c r="J54" s="312">
        <v>0.90200000000000002</v>
      </c>
      <c r="K54" s="312">
        <v>0.98399999999999999</v>
      </c>
      <c r="L54" s="308"/>
      <c r="M54" s="254" t="s">
        <v>65</v>
      </c>
      <c r="N54" s="262"/>
      <c r="O54" s="321" t="s">
        <v>1012</v>
      </c>
      <c r="P54" s="321" t="s">
        <v>1013</v>
      </c>
      <c r="Q54" s="322" t="s">
        <v>1014</v>
      </c>
      <c r="R54" s="254" t="s">
        <v>65</v>
      </c>
      <c r="S54" s="262"/>
      <c r="T54" s="335">
        <v>0.8236</v>
      </c>
      <c r="U54" s="343">
        <v>0.87490000000000001</v>
      </c>
      <c r="V54" s="327" t="s">
        <v>57</v>
      </c>
      <c r="W54" s="287"/>
      <c r="X54" s="265"/>
      <c r="Y54" s="257" t="s">
        <v>26</v>
      </c>
      <c r="Z54" s="258" t="s">
        <v>581</v>
      </c>
      <c r="AA54" s="257" t="s">
        <v>522</v>
      </c>
      <c r="AB54" s="257" t="s">
        <v>79</v>
      </c>
      <c r="AC54" s="257" t="s">
        <v>79</v>
      </c>
      <c r="AD54" s="259" t="s">
        <v>226</v>
      </c>
      <c r="AE54" s="260" t="s">
        <v>646</v>
      </c>
    </row>
    <row r="55" spans="1:31" ht="115.5" customHeight="1" thickBot="1">
      <c r="A55" s="249" t="s">
        <v>46</v>
      </c>
      <c r="B55" s="250" t="s">
        <v>360</v>
      </c>
      <c r="C55" s="251" t="s">
        <v>361</v>
      </c>
      <c r="D55" s="252" t="s">
        <v>362</v>
      </c>
      <c r="E55" s="291">
        <v>44287</v>
      </c>
      <c r="F55" s="253" t="s">
        <v>786</v>
      </c>
      <c r="G55" s="253"/>
      <c r="H55" s="254" t="s">
        <v>56</v>
      </c>
      <c r="I55" s="255"/>
      <c r="J55" s="264"/>
      <c r="K55" s="261"/>
      <c r="L55" s="264"/>
      <c r="M55" s="254" t="s">
        <v>56</v>
      </c>
      <c r="N55" s="262"/>
      <c r="O55" s="321" t="s">
        <v>1018</v>
      </c>
      <c r="P55" s="321"/>
      <c r="Q55" s="322"/>
      <c r="R55" s="254" t="s">
        <v>56</v>
      </c>
      <c r="S55" s="262"/>
      <c r="T55" s="325" t="s">
        <v>1105</v>
      </c>
      <c r="U55" s="326"/>
      <c r="V55" s="327" t="s">
        <v>56</v>
      </c>
      <c r="W55" s="287"/>
      <c r="X55" s="265">
        <v>1</v>
      </c>
      <c r="Y55" s="257" t="s">
        <v>26</v>
      </c>
      <c r="Z55" s="258" t="s">
        <v>581</v>
      </c>
      <c r="AA55" s="257" t="s">
        <v>522</v>
      </c>
      <c r="AB55" s="257" t="s">
        <v>79</v>
      </c>
      <c r="AC55" s="257" t="s">
        <v>79</v>
      </c>
      <c r="AD55" s="259" t="s">
        <v>227</v>
      </c>
      <c r="AE55" s="260" t="s">
        <v>647</v>
      </c>
    </row>
    <row r="56" spans="1:31" ht="98.1" customHeight="1" thickBot="1">
      <c r="A56" s="249" t="s">
        <v>46</v>
      </c>
      <c r="B56" s="250" t="s">
        <v>363</v>
      </c>
      <c r="C56" s="251" t="s">
        <v>364</v>
      </c>
      <c r="D56" s="252" t="s">
        <v>593</v>
      </c>
      <c r="E56" s="291">
        <v>44531</v>
      </c>
      <c r="F56" s="253" t="s">
        <v>787</v>
      </c>
      <c r="G56" s="253"/>
      <c r="H56" s="254" t="s">
        <v>69</v>
      </c>
      <c r="I56" s="255"/>
      <c r="J56" s="264"/>
      <c r="K56" s="261"/>
      <c r="L56" s="264"/>
      <c r="M56" s="254" t="s">
        <v>69</v>
      </c>
      <c r="N56" s="262"/>
      <c r="O56" s="321" t="s">
        <v>1010</v>
      </c>
      <c r="P56" s="321"/>
      <c r="Q56" s="322"/>
      <c r="R56" s="254" t="s">
        <v>56</v>
      </c>
      <c r="S56" s="262"/>
      <c r="T56" s="325" t="s">
        <v>1105</v>
      </c>
      <c r="U56" s="326"/>
      <c r="V56" s="327" t="s">
        <v>56</v>
      </c>
      <c r="W56" s="287"/>
      <c r="X56" s="265">
        <v>3</v>
      </c>
      <c r="Y56" s="257" t="s">
        <v>26</v>
      </c>
      <c r="Z56" s="258" t="s">
        <v>581</v>
      </c>
      <c r="AA56" s="257" t="s">
        <v>522</v>
      </c>
      <c r="AB56" s="257" t="s">
        <v>79</v>
      </c>
      <c r="AC56" s="257" t="s">
        <v>79</v>
      </c>
      <c r="AD56" s="259" t="s">
        <v>228</v>
      </c>
      <c r="AE56" s="260" t="s">
        <v>648</v>
      </c>
    </row>
    <row r="57" spans="1:31" ht="150" customHeight="1" thickBot="1">
      <c r="A57" s="249" t="s">
        <v>46</v>
      </c>
      <c r="B57" s="250" t="s">
        <v>365</v>
      </c>
      <c r="C57" s="251" t="s">
        <v>366</v>
      </c>
      <c r="D57" s="252" t="s">
        <v>367</v>
      </c>
      <c r="E57" s="291">
        <v>44531</v>
      </c>
      <c r="F57" s="253" t="s">
        <v>787</v>
      </c>
      <c r="G57" s="253"/>
      <c r="H57" s="254" t="s">
        <v>69</v>
      </c>
      <c r="I57" s="255"/>
      <c r="J57" s="230"/>
      <c r="K57" s="230"/>
      <c r="L57" s="229"/>
      <c r="M57" s="254" t="s">
        <v>69</v>
      </c>
      <c r="N57" s="255"/>
      <c r="O57" s="321" t="s">
        <v>1054</v>
      </c>
      <c r="P57" s="321"/>
      <c r="Q57" s="322"/>
      <c r="R57" s="254" t="s">
        <v>60</v>
      </c>
      <c r="S57" s="255"/>
      <c r="T57" s="328" t="s">
        <v>1101</v>
      </c>
      <c r="U57" s="329" t="s">
        <v>1101</v>
      </c>
      <c r="V57" s="327" t="s">
        <v>61</v>
      </c>
      <c r="W57" s="286" t="s">
        <v>1104</v>
      </c>
      <c r="X57" s="256">
        <v>3</v>
      </c>
      <c r="Y57" s="257" t="s">
        <v>26</v>
      </c>
      <c r="Z57" s="258" t="s">
        <v>581</v>
      </c>
      <c r="AA57" s="257" t="s">
        <v>522</v>
      </c>
      <c r="AB57" s="257" t="s">
        <v>79</v>
      </c>
      <c r="AC57" s="257" t="s">
        <v>79</v>
      </c>
      <c r="AD57" s="259" t="s">
        <v>229</v>
      </c>
      <c r="AE57" s="260" t="s">
        <v>649</v>
      </c>
    </row>
    <row r="58" spans="1:31" ht="98.1" customHeight="1" thickBot="1">
      <c r="A58" s="249" t="s">
        <v>46</v>
      </c>
      <c r="B58" s="250" t="s">
        <v>368</v>
      </c>
      <c r="C58" s="273" t="s">
        <v>366</v>
      </c>
      <c r="D58" s="274" t="s">
        <v>369</v>
      </c>
      <c r="E58" s="291">
        <v>44621</v>
      </c>
      <c r="F58" s="253" t="s">
        <v>847</v>
      </c>
      <c r="G58" s="253"/>
      <c r="H58" s="254" t="s">
        <v>69</v>
      </c>
      <c r="I58" s="255"/>
      <c r="J58" s="230"/>
      <c r="K58" s="230"/>
      <c r="L58" s="229"/>
      <c r="M58" s="254" t="s">
        <v>69</v>
      </c>
      <c r="N58" s="255"/>
      <c r="O58" s="321"/>
      <c r="P58" s="321"/>
      <c r="Q58" s="322"/>
      <c r="R58" s="254" t="s">
        <v>65</v>
      </c>
      <c r="S58" s="255"/>
      <c r="T58" s="325" t="s">
        <v>1102</v>
      </c>
      <c r="U58" s="326" t="s">
        <v>1102</v>
      </c>
      <c r="V58" s="327" t="s">
        <v>56</v>
      </c>
      <c r="W58" s="287" t="s">
        <v>1103</v>
      </c>
      <c r="X58" s="265">
        <v>2</v>
      </c>
      <c r="Y58" s="257" t="s">
        <v>26</v>
      </c>
      <c r="Z58" s="258" t="s">
        <v>581</v>
      </c>
      <c r="AA58" s="257" t="s">
        <v>522</v>
      </c>
      <c r="AB58" s="257" t="s">
        <v>79</v>
      </c>
      <c r="AC58" s="257" t="s">
        <v>79</v>
      </c>
      <c r="AD58" s="275" t="s">
        <v>230</v>
      </c>
      <c r="AE58" s="260" t="s">
        <v>650</v>
      </c>
    </row>
    <row r="59" spans="1:31" ht="98.1" customHeight="1" thickBot="1">
      <c r="A59" s="249" t="s">
        <v>43</v>
      </c>
      <c r="B59" s="250" t="s">
        <v>586</v>
      </c>
      <c r="C59" s="251" t="s">
        <v>370</v>
      </c>
      <c r="D59" s="252" t="s">
        <v>582</v>
      </c>
      <c r="E59" s="296">
        <v>44713</v>
      </c>
      <c r="F59" s="253" t="s">
        <v>844</v>
      </c>
      <c r="G59" s="253"/>
      <c r="H59" s="254" t="s">
        <v>56</v>
      </c>
      <c r="I59" s="270"/>
      <c r="J59" s="230"/>
      <c r="K59" s="230"/>
      <c r="L59" s="229"/>
      <c r="M59" s="254" t="s">
        <v>56</v>
      </c>
      <c r="N59" s="255"/>
      <c r="O59" s="321" t="s">
        <v>1018</v>
      </c>
      <c r="P59" s="321"/>
      <c r="Q59" s="322"/>
      <c r="R59" s="254" t="s">
        <v>56</v>
      </c>
      <c r="S59" s="255"/>
      <c r="T59" s="328"/>
      <c r="U59" s="329"/>
      <c r="V59" s="327" t="s">
        <v>56</v>
      </c>
      <c r="W59" s="286"/>
      <c r="X59" s="256">
        <v>4</v>
      </c>
      <c r="Y59" s="257" t="s">
        <v>26</v>
      </c>
      <c r="Z59" s="258" t="s">
        <v>23</v>
      </c>
      <c r="AA59" s="257" t="s">
        <v>522</v>
      </c>
      <c r="AB59" s="257" t="s">
        <v>79</v>
      </c>
      <c r="AC59" s="257" t="s">
        <v>79</v>
      </c>
      <c r="AD59" s="259" t="s">
        <v>188</v>
      </c>
      <c r="AE59" s="260" t="s">
        <v>651</v>
      </c>
    </row>
    <row r="60" spans="1:31" ht="98.1" customHeight="1" thickBot="1">
      <c r="A60" s="249" t="s">
        <v>43</v>
      </c>
      <c r="B60" s="250" t="s">
        <v>587</v>
      </c>
      <c r="C60" s="251" t="s">
        <v>370</v>
      </c>
      <c r="D60" s="252" t="s">
        <v>583</v>
      </c>
      <c r="E60" s="291" t="s">
        <v>584</v>
      </c>
      <c r="F60" s="253"/>
      <c r="G60" s="253"/>
      <c r="H60" s="254" t="s">
        <v>69</v>
      </c>
      <c r="I60" s="270"/>
      <c r="J60" s="230" t="s">
        <v>914</v>
      </c>
      <c r="K60" s="230"/>
      <c r="L60" s="229"/>
      <c r="M60" s="254" t="s">
        <v>56</v>
      </c>
      <c r="N60" s="255"/>
      <c r="O60" s="321" t="s">
        <v>1033</v>
      </c>
      <c r="P60" s="321"/>
      <c r="Q60" s="322"/>
      <c r="R60" s="254" t="s">
        <v>56</v>
      </c>
      <c r="S60" s="255"/>
      <c r="T60" s="321" t="s">
        <v>1033</v>
      </c>
      <c r="U60" s="329"/>
      <c r="V60" s="327" t="s">
        <v>56</v>
      </c>
      <c r="W60" s="286"/>
      <c r="X60" s="256">
        <v>4</v>
      </c>
      <c r="Y60" s="257" t="s">
        <v>26</v>
      </c>
      <c r="Z60" s="258" t="s">
        <v>23</v>
      </c>
      <c r="AA60" s="257" t="s">
        <v>522</v>
      </c>
      <c r="AB60" s="257" t="s">
        <v>79</v>
      </c>
      <c r="AC60" s="257" t="s">
        <v>79</v>
      </c>
      <c r="AD60" s="259" t="s">
        <v>188</v>
      </c>
      <c r="AE60" s="260" t="s">
        <v>652</v>
      </c>
    </row>
    <row r="61" spans="1:31" ht="98.1" customHeight="1" thickBot="1">
      <c r="A61" s="249" t="s">
        <v>43</v>
      </c>
      <c r="B61" s="250" t="s">
        <v>588</v>
      </c>
      <c r="C61" s="251" t="s">
        <v>370</v>
      </c>
      <c r="D61" s="252" t="s">
        <v>585</v>
      </c>
      <c r="E61" s="291" t="s">
        <v>584</v>
      </c>
      <c r="F61" s="253"/>
      <c r="G61" s="253"/>
      <c r="H61" s="254" t="s">
        <v>69</v>
      </c>
      <c r="I61" s="270"/>
      <c r="J61" s="230" t="s">
        <v>916</v>
      </c>
      <c r="K61" s="230"/>
      <c r="L61" s="229"/>
      <c r="M61" s="254" t="s">
        <v>65</v>
      </c>
      <c r="N61" s="255"/>
      <c r="O61" s="321" t="s">
        <v>1032</v>
      </c>
      <c r="P61" s="321"/>
      <c r="Q61" s="322"/>
      <c r="R61" s="254" t="s">
        <v>65</v>
      </c>
      <c r="S61" s="255"/>
      <c r="T61" s="328" t="s">
        <v>1072</v>
      </c>
      <c r="U61" s="329"/>
      <c r="V61" s="327" t="s">
        <v>56</v>
      </c>
      <c r="W61" s="286"/>
      <c r="X61" s="256">
        <v>4</v>
      </c>
      <c r="Y61" s="257" t="s">
        <v>26</v>
      </c>
      <c r="Z61" s="258" t="s">
        <v>23</v>
      </c>
      <c r="AA61" s="257" t="s">
        <v>522</v>
      </c>
      <c r="AB61" s="257" t="s">
        <v>79</v>
      </c>
      <c r="AC61" s="257" t="s">
        <v>79</v>
      </c>
      <c r="AD61" s="259" t="s">
        <v>188</v>
      </c>
      <c r="AE61" s="260" t="s">
        <v>653</v>
      </c>
    </row>
    <row r="62" spans="1:31" ht="98.1" customHeight="1" thickBot="1">
      <c r="A62" s="249" t="s">
        <v>43</v>
      </c>
      <c r="B62" s="250" t="s">
        <v>371</v>
      </c>
      <c r="C62" s="251" t="s">
        <v>370</v>
      </c>
      <c r="D62" s="252" t="s">
        <v>372</v>
      </c>
      <c r="E62" s="291" t="s">
        <v>373</v>
      </c>
      <c r="F62" s="253" t="s">
        <v>827</v>
      </c>
      <c r="G62" s="253"/>
      <c r="H62" s="254" t="s">
        <v>65</v>
      </c>
      <c r="I62" s="255"/>
      <c r="J62" s="230" t="s">
        <v>915</v>
      </c>
      <c r="K62" s="230"/>
      <c r="L62" s="229"/>
      <c r="M62" s="254" t="s">
        <v>65</v>
      </c>
      <c r="N62" s="255"/>
      <c r="O62" s="321" t="s">
        <v>990</v>
      </c>
      <c r="P62" s="321"/>
      <c r="Q62" s="322"/>
      <c r="R62" s="254" t="s">
        <v>56</v>
      </c>
      <c r="S62" s="255"/>
      <c r="T62" s="328"/>
      <c r="U62" s="329"/>
      <c r="V62" s="327" t="s">
        <v>56</v>
      </c>
      <c r="W62" s="286"/>
      <c r="X62" s="256">
        <v>3</v>
      </c>
      <c r="Y62" s="257" t="s">
        <v>26</v>
      </c>
      <c r="Z62" s="258" t="s">
        <v>23</v>
      </c>
      <c r="AA62" s="257" t="s">
        <v>522</v>
      </c>
      <c r="AB62" s="257" t="s">
        <v>79</v>
      </c>
      <c r="AC62" s="257" t="s">
        <v>79</v>
      </c>
      <c r="AD62" s="259" t="s">
        <v>189</v>
      </c>
      <c r="AE62" s="260" t="s">
        <v>654</v>
      </c>
    </row>
    <row r="63" spans="1:31" ht="98.1" customHeight="1" thickBot="1">
      <c r="A63" s="249" t="s">
        <v>43</v>
      </c>
      <c r="B63" s="250" t="s">
        <v>374</v>
      </c>
      <c r="C63" s="251" t="s">
        <v>370</v>
      </c>
      <c r="D63" s="252" t="s">
        <v>375</v>
      </c>
      <c r="E63" s="315">
        <v>44593</v>
      </c>
      <c r="F63" s="253" t="s">
        <v>828</v>
      </c>
      <c r="G63" s="253"/>
      <c r="H63" s="254" t="s">
        <v>65</v>
      </c>
      <c r="I63" s="255"/>
      <c r="J63" s="230" t="s">
        <v>917</v>
      </c>
      <c r="K63" s="230"/>
      <c r="L63" s="229"/>
      <c r="M63" s="254" t="s">
        <v>65</v>
      </c>
      <c r="N63" s="255"/>
      <c r="O63" s="321" t="s">
        <v>991</v>
      </c>
      <c r="P63" s="321"/>
      <c r="Q63" s="322"/>
      <c r="R63" s="254" t="s">
        <v>65</v>
      </c>
      <c r="S63" s="255" t="s">
        <v>986</v>
      </c>
      <c r="T63" s="328" t="s">
        <v>1125</v>
      </c>
      <c r="U63" s="329"/>
      <c r="V63" s="327" t="s">
        <v>56</v>
      </c>
      <c r="W63" s="286"/>
      <c r="X63" s="256"/>
      <c r="Y63" s="257" t="s">
        <v>26</v>
      </c>
      <c r="Z63" s="258" t="s">
        <v>23</v>
      </c>
      <c r="AA63" s="257" t="s">
        <v>522</v>
      </c>
      <c r="AB63" s="257" t="s">
        <v>79</v>
      </c>
      <c r="AC63" s="257" t="s">
        <v>79</v>
      </c>
      <c r="AD63" s="259" t="s">
        <v>190</v>
      </c>
      <c r="AE63" s="260" t="s">
        <v>655</v>
      </c>
    </row>
    <row r="64" spans="1:31" ht="98.1" customHeight="1" thickBot="1">
      <c r="A64" s="249" t="s">
        <v>43</v>
      </c>
      <c r="B64" s="250" t="s">
        <v>376</v>
      </c>
      <c r="C64" s="251" t="s">
        <v>7</v>
      </c>
      <c r="D64" s="252" t="s">
        <v>377</v>
      </c>
      <c r="E64" s="291">
        <v>44621</v>
      </c>
      <c r="F64" s="253" t="s">
        <v>829</v>
      </c>
      <c r="G64" s="253"/>
      <c r="H64" s="254" t="s">
        <v>65</v>
      </c>
      <c r="I64" s="255"/>
      <c r="J64" s="230"/>
      <c r="K64" s="230"/>
      <c r="L64" s="229"/>
      <c r="M64" s="254" t="s">
        <v>69</v>
      </c>
      <c r="N64" s="255"/>
      <c r="O64" s="321"/>
      <c r="P64" s="321"/>
      <c r="Q64" s="322"/>
      <c r="R64" s="254" t="s">
        <v>65</v>
      </c>
      <c r="S64" s="255"/>
      <c r="T64" s="328" t="s">
        <v>1074</v>
      </c>
      <c r="U64" s="329"/>
      <c r="V64" s="327" t="s">
        <v>56</v>
      </c>
      <c r="W64" s="286" t="s">
        <v>1075</v>
      </c>
      <c r="X64" s="265">
        <v>4</v>
      </c>
      <c r="Y64" s="257" t="s">
        <v>26</v>
      </c>
      <c r="Z64" s="258" t="s">
        <v>23</v>
      </c>
      <c r="AA64" s="257" t="s">
        <v>522</v>
      </c>
      <c r="AB64" s="257" t="s">
        <v>79</v>
      </c>
      <c r="AC64" s="257" t="s">
        <v>79</v>
      </c>
      <c r="AD64" s="259" t="s">
        <v>191</v>
      </c>
      <c r="AE64" s="260" t="s">
        <v>656</v>
      </c>
    </row>
    <row r="65" spans="1:31" ht="98.1" customHeight="1" thickBot="1">
      <c r="A65" s="249" t="s">
        <v>43</v>
      </c>
      <c r="B65" s="250" t="s">
        <v>378</v>
      </c>
      <c r="C65" s="251" t="s">
        <v>7</v>
      </c>
      <c r="D65" s="252" t="s">
        <v>379</v>
      </c>
      <c r="E65" s="297" t="s">
        <v>380</v>
      </c>
      <c r="F65" s="272" t="s">
        <v>794</v>
      </c>
      <c r="G65" s="253"/>
      <c r="H65" s="254" t="s">
        <v>69</v>
      </c>
      <c r="I65" s="255"/>
      <c r="J65" s="230" t="s">
        <v>855</v>
      </c>
      <c r="K65" s="230"/>
      <c r="L65" s="229"/>
      <c r="M65" s="254" t="s">
        <v>69</v>
      </c>
      <c r="N65" s="319"/>
      <c r="O65" s="321" t="s">
        <v>989</v>
      </c>
      <c r="P65" s="321"/>
      <c r="Q65" s="322"/>
      <c r="R65" s="254" t="s">
        <v>65</v>
      </c>
      <c r="S65" s="255"/>
      <c r="T65" s="328" t="s">
        <v>1126</v>
      </c>
      <c r="U65" s="329"/>
      <c r="V65" s="327" t="s">
        <v>56</v>
      </c>
      <c r="W65" s="286"/>
      <c r="X65" s="265"/>
      <c r="Y65" s="257" t="s">
        <v>26</v>
      </c>
      <c r="Z65" s="258" t="s">
        <v>23</v>
      </c>
      <c r="AA65" s="257" t="s">
        <v>522</v>
      </c>
      <c r="AB65" s="257" t="s">
        <v>79</v>
      </c>
      <c r="AC65" s="257" t="s">
        <v>79</v>
      </c>
      <c r="AD65" s="259" t="s">
        <v>192</v>
      </c>
      <c r="AE65" s="260" t="s">
        <v>657</v>
      </c>
    </row>
    <row r="66" spans="1:31" ht="98.1" customHeight="1" thickBot="1">
      <c r="A66" s="249" t="s">
        <v>43</v>
      </c>
      <c r="B66" s="250" t="s">
        <v>381</v>
      </c>
      <c r="C66" s="251" t="s">
        <v>8</v>
      </c>
      <c r="D66" s="252" t="s">
        <v>382</v>
      </c>
      <c r="E66" s="291">
        <v>44621</v>
      </c>
      <c r="F66" s="272"/>
      <c r="G66" s="253"/>
      <c r="H66" s="254" t="s">
        <v>69</v>
      </c>
      <c r="I66" s="255"/>
      <c r="J66" s="261"/>
      <c r="K66" s="261"/>
      <c r="L66" s="264"/>
      <c r="M66" s="254" t="s">
        <v>69</v>
      </c>
      <c r="N66" s="262"/>
      <c r="O66" s="321"/>
      <c r="P66" s="321"/>
      <c r="Q66" s="322"/>
      <c r="R66" s="254" t="s">
        <v>69</v>
      </c>
      <c r="S66" s="262"/>
      <c r="T66" s="325" t="s">
        <v>1073</v>
      </c>
      <c r="U66" s="326"/>
      <c r="V66" s="327" t="s">
        <v>56</v>
      </c>
      <c r="W66" s="287"/>
      <c r="X66" s="265">
        <v>4</v>
      </c>
      <c r="Y66" s="257" t="s">
        <v>26</v>
      </c>
      <c r="Z66" s="258" t="s">
        <v>23</v>
      </c>
      <c r="AA66" s="257" t="s">
        <v>522</v>
      </c>
      <c r="AB66" s="257" t="s">
        <v>79</v>
      </c>
      <c r="AC66" s="257" t="s">
        <v>79</v>
      </c>
      <c r="AD66" s="259" t="s">
        <v>193</v>
      </c>
      <c r="AE66" s="260" t="s">
        <v>658</v>
      </c>
    </row>
    <row r="67" spans="1:31" ht="98.1" customHeight="1" thickBot="1">
      <c r="A67" s="249" t="s">
        <v>43</v>
      </c>
      <c r="B67" s="250" t="s">
        <v>383</v>
      </c>
      <c r="C67" s="251" t="s">
        <v>8</v>
      </c>
      <c r="D67" s="252" t="s">
        <v>384</v>
      </c>
      <c r="E67" s="291">
        <v>44621</v>
      </c>
      <c r="F67" s="272" t="s">
        <v>830</v>
      </c>
      <c r="G67" s="253"/>
      <c r="H67" s="254" t="s">
        <v>65</v>
      </c>
      <c r="I67" s="255"/>
      <c r="J67" s="230"/>
      <c r="K67" s="230"/>
      <c r="L67" s="229"/>
      <c r="M67" s="254" t="s">
        <v>69</v>
      </c>
      <c r="N67" s="255"/>
      <c r="O67" s="261" t="s">
        <v>1008</v>
      </c>
      <c r="P67" s="321"/>
      <c r="Q67" s="322"/>
      <c r="R67" s="254" t="s">
        <v>65</v>
      </c>
      <c r="S67" s="255"/>
      <c r="T67" s="328" t="s">
        <v>1139</v>
      </c>
      <c r="U67" s="329"/>
      <c r="V67" s="327" t="s">
        <v>59</v>
      </c>
      <c r="W67" s="286"/>
      <c r="X67" s="265">
        <v>4</v>
      </c>
      <c r="Y67" s="257" t="s">
        <v>26</v>
      </c>
      <c r="Z67" s="258" t="s">
        <v>23</v>
      </c>
      <c r="AA67" s="257" t="s">
        <v>522</v>
      </c>
      <c r="AB67" s="257" t="s">
        <v>79</v>
      </c>
      <c r="AC67" s="257" t="s">
        <v>79</v>
      </c>
      <c r="AD67" s="259" t="s">
        <v>194</v>
      </c>
      <c r="AE67" s="260" t="s">
        <v>659</v>
      </c>
    </row>
    <row r="68" spans="1:31" ht="98.1" customHeight="1" thickBot="1">
      <c r="A68" s="249" t="s">
        <v>43</v>
      </c>
      <c r="B68" s="250" t="s">
        <v>385</v>
      </c>
      <c r="C68" s="251" t="s">
        <v>386</v>
      </c>
      <c r="D68" s="252" t="s">
        <v>10</v>
      </c>
      <c r="E68" s="291"/>
      <c r="F68" s="272" t="s">
        <v>831</v>
      </c>
      <c r="G68" s="253"/>
      <c r="H68" s="254" t="s">
        <v>56</v>
      </c>
      <c r="I68" s="255"/>
      <c r="J68" s="261" t="s">
        <v>920</v>
      </c>
      <c r="K68" s="229"/>
      <c r="L68" s="229"/>
      <c r="M68" s="254" t="s">
        <v>56</v>
      </c>
      <c r="N68" s="255"/>
      <c r="O68" s="261" t="s">
        <v>1034</v>
      </c>
      <c r="P68" s="321"/>
      <c r="Q68" s="321"/>
      <c r="R68" s="254" t="s">
        <v>56</v>
      </c>
      <c r="S68" s="255"/>
      <c r="T68" s="331"/>
      <c r="U68" s="329"/>
      <c r="V68" s="327" t="s">
        <v>56</v>
      </c>
      <c r="W68" s="286"/>
      <c r="X68" s="265"/>
      <c r="Y68" s="257" t="s">
        <v>26</v>
      </c>
      <c r="Z68" s="258" t="s">
        <v>23</v>
      </c>
      <c r="AA68" s="257" t="s">
        <v>522</v>
      </c>
      <c r="AB68" s="257" t="s">
        <v>79</v>
      </c>
      <c r="AC68" s="257" t="s">
        <v>79</v>
      </c>
      <c r="AD68" s="259" t="s">
        <v>195</v>
      </c>
      <c r="AE68" s="260" t="s">
        <v>660</v>
      </c>
    </row>
    <row r="69" spans="1:31" ht="98.1" customHeight="1" thickBot="1">
      <c r="A69" s="249" t="s">
        <v>725</v>
      </c>
      <c r="B69" s="250" t="s">
        <v>387</v>
      </c>
      <c r="C69" s="251" t="s">
        <v>20</v>
      </c>
      <c r="D69" s="252" t="s">
        <v>594</v>
      </c>
      <c r="E69" s="291" t="s">
        <v>388</v>
      </c>
      <c r="F69" s="266" t="s">
        <v>815</v>
      </c>
      <c r="G69" s="253"/>
      <c r="H69" s="254" t="s">
        <v>56</v>
      </c>
      <c r="I69" s="255"/>
      <c r="J69" s="261"/>
      <c r="K69" s="261"/>
      <c r="L69" s="264"/>
      <c r="M69" s="254" t="s">
        <v>56</v>
      </c>
      <c r="N69" s="262"/>
      <c r="O69" s="321" t="s">
        <v>1035</v>
      </c>
      <c r="P69" s="321"/>
      <c r="Q69" s="322"/>
      <c r="R69" s="254" t="s">
        <v>56</v>
      </c>
      <c r="S69" s="262"/>
      <c r="T69" s="325" t="s">
        <v>1090</v>
      </c>
      <c r="U69" s="326"/>
      <c r="V69" s="327" t="s">
        <v>56</v>
      </c>
      <c r="W69" s="287"/>
      <c r="X69" s="265">
        <v>1</v>
      </c>
      <c r="Y69" s="257" t="s">
        <v>26</v>
      </c>
      <c r="Z69" s="258" t="s">
        <v>724</v>
      </c>
      <c r="AA69" s="257" t="s">
        <v>522</v>
      </c>
      <c r="AB69" s="257" t="s">
        <v>79</v>
      </c>
      <c r="AC69" s="257" t="s">
        <v>79</v>
      </c>
      <c r="AD69" s="259" t="s">
        <v>196</v>
      </c>
      <c r="AE69" s="260" t="s">
        <v>661</v>
      </c>
    </row>
    <row r="70" spans="1:31" ht="98.1" customHeight="1" thickBot="1">
      <c r="A70" s="249" t="s">
        <v>728</v>
      </c>
      <c r="B70" s="250" t="s">
        <v>389</v>
      </c>
      <c r="C70" s="251" t="s">
        <v>145</v>
      </c>
      <c r="D70" s="252" t="s">
        <v>390</v>
      </c>
      <c r="E70" s="291">
        <v>44501</v>
      </c>
      <c r="F70" s="266" t="s">
        <v>753</v>
      </c>
      <c r="G70" s="253"/>
      <c r="H70" s="254" t="s">
        <v>65</v>
      </c>
      <c r="I70" s="255"/>
      <c r="J70" s="230" t="s">
        <v>852</v>
      </c>
      <c r="K70" s="230"/>
      <c r="L70" s="229"/>
      <c r="M70" s="254" t="s">
        <v>65</v>
      </c>
      <c r="N70" s="255"/>
      <c r="O70" s="321" t="s">
        <v>1009</v>
      </c>
      <c r="P70" s="321"/>
      <c r="Q70" s="322"/>
      <c r="R70" s="254" t="s">
        <v>56</v>
      </c>
      <c r="S70" s="255"/>
      <c r="T70" s="328" t="s">
        <v>1128</v>
      </c>
      <c r="U70" s="329"/>
      <c r="V70" s="327" t="s">
        <v>56</v>
      </c>
      <c r="W70" s="286"/>
      <c r="X70" s="265">
        <v>3</v>
      </c>
      <c r="Y70" s="257" t="s">
        <v>28</v>
      </c>
      <c r="Z70" s="258" t="s">
        <v>729</v>
      </c>
      <c r="AA70" s="257" t="s">
        <v>522</v>
      </c>
      <c r="AB70" s="257" t="s">
        <v>245</v>
      </c>
      <c r="AC70" s="257" t="s">
        <v>245</v>
      </c>
      <c r="AD70" s="259" t="s">
        <v>532</v>
      </c>
      <c r="AE70" s="260" t="s">
        <v>662</v>
      </c>
    </row>
    <row r="71" spans="1:31" ht="189.6" customHeight="1" thickBot="1">
      <c r="A71" s="249" t="s">
        <v>728</v>
      </c>
      <c r="B71" s="250" t="s">
        <v>391</v>
      </c>
      <c r="C71" s="251" t="s">
        <v>145</v>
      </c>
      <c r="D71" s="252" t="s">
        <v>392</v>
      </c>
      <c r="E71" s="291" t="s">
        <v>393</v>
      </c>
      <c r="F71" s="253" t="s">
        <v>754</v>
      </c>
      <c r="G71" s="253"/>
      <c r="H71" s="254" t="s">
        <v>69</v>
      </c>
      <c r="I71" s="255"/>
      <c r="J71" s="230" t="s">
        <v>1140</v>
      </c>
      <c r="K71" s="230"/>
      <c r="L71" s="229"/>
      <c r="M71" s="254" t="s">
        <v>66</v>
      </c>
      <c r="N71" s="255" t="s">
        <v>1141</v>
      </c>
      <c r="O71" s="321" t="s">
        <v>1142</v>
      </c>
      <c r="P71" s="321"/>
      <c r="Q71" s="322"/>
      <c r="R71" s="254" t="s">
        <v>63</v>
      </c>
      <c r="S71" s="255"/>
      <c r="T71" s="328" t="s">
        <v>985</v>
      </c>
      <c r="U71" s="329"/>
      <c r="V71" s="327" t="s">
        <v>63</v>
      </c>
      <c r="W71" s="286"/>
      <c r="X71" s="265">
        <v>4</v>
      </c>
      <c r="Y71" s="257" t="s">
        <v>28</v>
      </c>
      <c r="Z71" s="258" t="s">
        <v>729</v>
      </c>
      <c r="AA71" s="257" t="s">
        <v>522</v>
      </c>
      <c r="AB71" s="257" t="s">
        <v>245</v>
      </c>
      <c r="AC71" s="257" t="s">
        <v>245</v>
      </c>
      <c r="AD71" s="259" t="s">
        <v>533</v>
      </c>
      <c r="AE71" s="260" t="s">
        <v>663</v>
      </c>
    </row>
    <row r="72" spans="1:31" ht="98.1" customHeight="1" thickBot="1">
      <c r="A72" s="249" t="s">
        <v>734</v>
      </c>
      <c r="B72" s="250" t="s">
        <v>394</v>
      </c>
      <c r="C72" s="251" t="s">
        <v>163</v>
      </c>
      <c r="D72" s="252" t="s">
        <v>907</v>
      </c>
      <c r="E72" s="291">
        <v>44378</v>
      </c>
      <c r="F72" s="345" t="s">
        <v>747</v>
      </c>
      <c r="G72" s="253"/>
      <c r="H72" s="254" t="s">
        <v>65</v>
      </c>
      <c r="I72" s="255"/>
      <c r="J72" s="230"/>
      <c r="K72" s="229"/>
      <c r="L72" s="229"/>
      <c r="M72" s="254" t="s">
        <v>56</v>
      </c>
      <c r="N72" s="255"/>
      <c r="O72" s="321" t="s">
        <v>1019</v>
      </c>
      <c r="P72" s="321"/>
      <c r="Q72" s="322"/>
      <c r="R72" s="254" t="s">
        <v>56</v>
      </c>
      <c r="S72" s="255"/>
      <c r="T72" s="328" t="s">
        <v>1069</v>
      </c>
      <c r="U72" s="329"/>
      <c r="V72" s="327" t="s">
        <v>56</v>
      </c>
      <c r="W72" s="286"/>
      <c r="X72" s="256">
        <v>2</v>
      </c>
      <c r="Y72" s="257" t="s">
        <v>28</v>
      </c>
      <c r="Z72" s="258" t="s">
        <v>733</v>
      </c>
      <c r="AA72" s="257" t="s">
        <v>522</v>
      </c>
      <c r="AB72" s="257" t="s">
        <v>245</v>
      </c>
      <c r="AC72" s="257" t="s">
        <v>245</v>
      </c>
      <c r="AD72" s="259" t="s">
        <v>534</v>
      </c>
      <c r="AE72" s="260" t="s">
        <v>664</v>
      </c>
    </row>
    <row r="73" spans="1:31" ht="98.1" customHeight="1" thickBot="1">
      <c r="A73" s="249" t="s">
        <v>734</v>
      </c>
      <c r="B73" s="250" t="s">
        <v>395</v>
      </c>
      <c r="C73" s="251" t="s">
        <v>396</v>
      </c>
      <c r="D73" s="252" t="s">
        <v>397</v>
      </c>
      <c r="E73" s="291">
        <v>44593</v>
      </c>
      <c r="F73" s="272" t="s">
        <v>748</v>
      </c>
      <c r="G73" s="253"/>
      <c r="H73" s="254" t="s">
        <v>65</v>
      </c>
      <c r="I73" s="255"/>
      <c r="J73" s="267" t="s">
        <v>748</v>
      </c>
      <c r="K73" s="230"/>
      <c r="L73" s="229"/>
      <c r="M73" s="254" t="s">
        <v>65</v>
      </c>
      <c r="N73" s="255"/>
      <c r="O73" s="321" t="s">
        <v>1036</v>
      </c>
      <c r="P73" s="321"/>
      <c r="Q73" s="322"/>
      <c r="R73" s="254" t="s">
        <v>65</v>
      </c>
      <c r="S73" s="255"/>
      <c r="T73" s="328" t="s">
        <v>1118</v>
      </c>
      <c r="U73" s="329"/>
      <c r="V73" s="327" t="s">
        <v>56</v>
      </c>
      <c r="W73" s="286"/>
      <c r="X73" s="256">
        <v>4</v>
      </c>
      <c r="Y73" s="257" t="s">
        <v>28</v>
      </c>
      <c r="Z73" s="258" t="s">
        <v>733</v>
      </c>
      <c r="AA73" s="257" t="s">
        <v>522</v>
      </c>
      <c r="AB73" s="257" t="s">
        <v>245</v>
      </c>
      <c r="AC73" s="257" t="s">
        <v>245</v>
      </c>
      <c r="AD73" s="259" t="s">
        <v>535</v>
      </c>
      <c r="AE73" s="260" t="s">
        <v>665</v>
      </c>
    </row>
    <row r="74" spans="1:31" ht="98.1" customHeight="1" thickBot="1">
      <c r="A74" s="249" t="s">
        <v>734</v>
      </c>
      <c r="B74" s="250" t="s">
        <v>398</v>
      </c>
      <c r="C74" s="251" t="s">
        <v>399</v>
      </c>
      <c r="D74" s="252" t="s">
        <v>400</v>
      </c>
      <c r="E74" s="291">
        <v>44531</v>
      </c>
      <c r="F74" s="272" t="s">
        <v>840</v>
      </c>
      <c r="G74" s="253"/>
      <c r="H74" s="254" t="s">
        <v>69</v>
      </c>
      <c r="I74" s="255"/>
      <c r="J74" s="261" t="s">
        <v>908</v>
      </c>
      <c r="K74" s="261"/>
      <c r="L74" s="264"/>
      <c r="M74" s="254" t="s">
        <v>65</v>
      </c>
      <c r="N74" s="262"/>
      <c r="O74" s="321" t="s">
        <v>1037</v>
      </c>
      <c r="P74" s="321"/>
      <c r="Q74" s="322"/>
      <c r="R74" s="254" t="s">
        <v>65</v>
      </c>
      <c r="S74" s="262"/>
      <c r="T74" s="325" t="s">
        <v>1117</v>
      </c>
      <c r="U74" s="326"/>
      <c r="V74" s="327" t="s">
        <v>56</v>
      </c>
      <c r="W74" s="287"/>
      <c r="X74" s="265">
        <v>3</v>
      </c>
      <c r="Y74" s="257" t="s">
        <v>28</v>
      </c>
      <c r="Z74" s="258" t="s">
        <v>733</v>
      </c>
      <c r="AA74" s="257" t="s">
        <v>522</v>
      </c>
      <c r="AB74" s="257" t="s">
        <v>245</v>
      </c>
      <c r="AC74" s="257" t="s">
        <v>245</v>
      </c>
      <c r="AD74" s="259" t="s">
        <v>536</v>
      </c>
      <c r="AE74" s="260" t="s">
        <v>666</v>
      </c>
    </row>
    <row r="75" spans="1:31" ht="98.1" customHeight="1" thickBot="1">
      <c r="A75" s="249" t="s">
        <v>734</v>
      </c>
      <c r="B75" s="250" t="s">
        <v>401</v>
      </c>
      <c r="C75" s="251" t="s">
        <v>399</v>
      </c>
      <c r="D75" s="252" t="s">
        <v>402</v>
      </c>
      <c r="E75" s="291">
        <v>44593</v>
      </c>
      <c r="F75" s="272" t="s">
        <v>749</v>
      </c>
      <c r="G75" s="253"/>
      <c r="H75" s="254" t="s">
        <v>65</v>
      </c>
      <c r="I75" s="255"/>
      <c r="J75" s="261" t="s">
        <v>909</v>
      </c>
      <c r="K75" s="261"/>
      <c r="L75" s="264"/>
      <c r="M75" s="254" t="s">
        <v>65</v>
      </c>
      <c r="N75" s="262"/>
      <c r="O75" s="321"/>
      <c r="P75" s="321"/>
      <c r="Q75" s="322"/>
      <c r="R75" s="254" t="s">
        <v>65</v>
      </c>
      <c r="S75" s="262"/>
      <c r="T75" s="325" t="s">
        <v>1119</v>
      </c>
      <c r="U75" s="326"/>
      <c r="V75" s="327" t="s">
        <v>56</v>
      </c>
      <c r="W75" s="287"/>
      <c r="X75" s="265">
        <v>4</v>
      </c>
      <c r="Y75" s="257" t="s">
        <v>28</v>
      </c>
      <c r="Z75" s="258" t="s">
        <v>733</v>
      </c>
      <c r="AA75" s="257" t="s">
        <v>522</v>
      </c>
      <c r="AB75" s="257" t="s">
        <v>245</v>
      </c>
      <c r="AC75" s="257" t="s">
        <v>245</v>
      </c>
      <c r="AD75" s="259" t="s">
        <v>537</v>
      </c>
      <c r="AE75" s="260" t="s">
        <v>667</v>
      </c>
    </row>
    <row r="76" spans="1:31" ht="98.1" customHeight="1" thickBot="1">
      <c r="A76" s="249" t="s">
        <v>734</v>
      </c>
      <c r="B76" s="250" t="s">
        <v>403</v>
      </c>
      <c r="C76" s="251" t="s">
        <v>399</v>
      </c>
      <c r="D76" s="252" t="s">
        <v>404</v>
      </c>
      <c r="E76" s="291">
        <v>44621</v>
      </c>
      <c r="F76" s="253" t="s">
        <v>750</v>
      </c>
      <c r="G76" s="253"/>
      <c r="H76" s="254" t="s">
        <v>65</v>
      </c>
      <c r="I76" s="255"/>
      <c r="J76" s="261" t="s">
        <v>909</v>
      </c>
      <c r="K76" s="229"/>
      <c r="L76" s="229"/>
      <c r="M76" s="254" t="s">
        <v>65</v>
      </c>
      <c r="N76" s="262"/>
      <c r="O76" s="321" t="s">
        <v>1038</v>
      </c>
      <c r="P76" s="321"/>
      <c r="Q76" s="322"/>
      <c r="R76" s="254" t="s">
        <v>65</v>
      </c>
      <c r="S76" s="262"/>
      <c r="T76" s="325" t="s">
        <v>1120</v>
      </c>
      <c r="U76" s="326"/>
      <c r="V76" s="327" t="s">
        <v>56</v>
      </c>
      <c r="W76" s="287"/>
      <c r="X76" s="265">
        <v>4</v>
      </c>
      <c r="Y76" s="257" t="s">
        <v>28</v>
      </c>
      <c r="Z76" s="258" t="s">
        <v>733</v>
      </c>
      <c r="AA76" s="257" t="s">
        <v>522</v>
      </c>
      <c r="AB76" s="257" t="s">
        <v>245</v>
      </c>
      <c r="AC76" s="257" t="s">
        <v>245</v>
      </c>
      <c r="AD76" s="259" t="s">
        <v>538</v>
      </c>
      <c r="AE76" s="260" t="s">
        <v>668</v>
      </c>
    </row>
    <row r="77" spans="1:31" ht="98.1" customHeight="1" thickBot="1">
      <c r="A77" s="249" t="s">
        <v>734</v>
      </c>
      <c r="B77" s="250" t="s">
        <v>405</v>
      </c>
      <c r="C77" s="251" t="s">
        <v>399</v>
      </c>
      <c r="D77" s="252" t="s">
        <v>406</v>
      </c>
      <c r="E77" s="291">
        <v>44621</v>
      </c>
      <c r="F77" s="253" t="s">
        <v>814</v>
      </c>
      <c r="G77" s="253"/>
      <c r="H77" s="254" t="s">
        <v>69</v>
      </c>
      <c r="I77" s="255"/>
      <c r="J77" s="230"/>
      <c r="K77" s="230"/>
      <c r="L77" s="229"/>
      <c r="M77" s="254" t="s">
        <v>65</v>
      </c>
      <c r="N77" s="255"/>
      <c r="O77" s="321" t="s">
        <v>1039</v>
      </c>
      <c r="P77" s="321"/>
      <c r="Q77" s="322"/>
      <c r="R77" s="254" t="s">
        <v>56</v>
      </c>
      <c r="S77" s="255"/>
      <c r="T77" s="328" t="s">
        <v>1121</v>
      </c>
      <c r="U77" s="329"/>
      <c r="V77" s="327" t="s">
        <v>56</v>
      </c>
      <c r="W77" s="332"/>
      <c r="X77" s="265">
        <v>4</v>
      </c>
      <c r="Y77" s="257" t="s">
        <v>28</v>
      </c>
      <c r="Z77" s="258" t="s">
        <v>733</v>
      </c>
      <c r="AA77" s="257" t="s">
        <v>522</v>
      </c>
      <c r="AB77" s="257" t="s">
        <v>245</v>
      </c>
      <c r="AC77" s="257" t="s">
        <v>245</v>
      </c>
      <c r="AD77" s="259" t="s">
        <v>539</v>
      </c>
      <c r="AE77" s="260" t="s">
        <v>669</v>
      </c>
    </row>
    <row r="78" spans="1:31" ht="98.1" customHeight="1" thickBot="1">
      <c r="A78" s="249" t="s">
        <v>734</v>
      </c>
      <c r="B78" s="250" t="s">
        <v>407</v>
      </c>
      <c r="C78" s="251" t="s">
        <v>399</v>
      </c>
      <c r="D78" s="252" t="s">
        <v>408</v>
      </c>
      <c r="E78" s="291">
        <v>44621</v>
      </c>
      <c r="F78" s="253" t="s">
        <v>751</v>
      </c>
      <c r="G78" s="253"/>
      <c r="H78" s="254" t="s">
        <v>65</v>
      </c>
      <c r="I78" s="255"/>
      <c r="J78" s="230" t="s">
        <v>910</v>
      </c>
      <c r="K78" s="230"/>
      <c r="L78" s="229"/>
      <c r="M78" s="254" t="s">
        <v>65</v>
      </c>
      <c r="N78" s="255"/>
      <c r="O78" s="321" t="s">
        <v>1040</v>
      </c>
      <c r="P78" s="321"/>
      <c r="Q78" s="322"/>
      <c r="R78" s="254" t="s">
        <v>65</v>
      </c>
      <c r="S78" s="255"/>
      <c r="T78" s="328" t="s">
        <v>1122</v>
      </c>
      <c r="U78" s="329"/>
      <c r="V78" s="327" t="s">
        <v>56</v>
      </c>
      <c r="W78" s="286"/>
      <c r="X78" s="265">
        <v>4</v>
      </c>
      <c r="Y78" s="257" t="s">
        <v>28</v>
      </c>
      <c r="Z78" s="258" t="s">
        <v>733</v>
      </c>
      <c r="AA78" s="257" t="s">
        <v>522</v>
      </c>
      <c r="AB78" s="257" t="s">
        <v>245</v>
      </c>
      <c r="AC78" s="257" t="s">
        <v>245</v>
      </c>
      <c r="AD78" s="259" t="s">
        <v>540</v>
      </c>
      <c r="AE78" s="260" t="s">
        <v>670</v>
      </c>
    </row>
    <row r="79" spans="1:31" ht="98.1" customHeight="1" thickBot="1">
      <c r="A79" s="249" t="s">
        <v>726</v>
      </c>
      <c r="B79" s="250" t="s">
        <v>409</v>
      </c>
      <c r="C79" s="251" t="s">
        <v>410</v>
      </c>
      <c r="D79" s="252" t="s">
        <v>411</v>
      </c>
      <c r="E79" s="291">
        <v>44409</v>
      </c>
      <c r="F79" s="253" t="s">
        <v>802</v>
      </c>
      <c r="G79" s="253"/>
      <c r="H79" s="254" t="s">
        <v>65</v>
      </c>
      <c r="I79" s="255"/>
      <c r="J79" s="230" t="s">
        <v>911</v>
      </c>
      <c r="K79" s="261"/>
      <c r="L79" s="264"/>
      <c r="M79" s="254" t="s">
        <v>56</v>
      </c>
      <c r="N79" s="262"/>
      <c r="O79" s="321"/>
      <c r="P79" s="321"/>
      <c r="Q79" s="322"/>
      <c r="R79" s="254" t="s">
        <v>56</v>
      </c>
      <c r="S79" s="262"/>
      <c r="T79" s="325"/>
      <c r="U79" s="325"/>
      <c r="V79" s="327" t="s">
        <v>56</v>
      </c>
      <c r="W79" s="287"/>
      <c r="X79" s="265">
        <v>2</v>
      </c>
      <c r="Y79" s="257" t="s">
        <v>28</v>
      </c>
      <c r="Z79" s="258" t="s">
        <v>732</v>
      </c>
      <c r="AA79" s="257" t="s">
        <v>522</v>
      </c>
      <c r="AB79" s="257" t="s">
        <v>245</v>
      </c>
      <c r="AC79" s="257" t="s">
        <v>245</v>
      </c>
      <c r="AD79" s="259" t="s">
        <v>541</v>
      </c>
      <c r="AE79" s="260" t="s">
        <v>671</v>
      </c>
    </row>
    <row r="80" spans="1:31" ht="98.1" hidden="1" customHeight="1" thickBot="1">
      <c r="A80" s="249" t="s">
        <v>726</v>
      </c>
      <c r="B80" s="250" t="s">
        <v>412</v>
      </c>
      <c r="C80" s="273" t="s">
        <v>137</v>
      </c>
      <c r="D80" s="274" t="s">
        <v>413</v>
      </c>
      <c r="E80" s="291">
        <v>44621</v>
      </c>
      <c r="F80" s="253" t="s">
        <v>824</v>
      </c>
      <c r="G80" s="253"/>
      <c r="H80" s="254" t="s">
        <v>65</v>
      </c>
      <c r="I80" s="255"/>
      <c r="J80" s="230" t="s">
        <v>866</v>
      </c>
      <c r="K80" s="261">
        <v>4</v>
      </c>
      <c r="L80" s="264"/>
      <c r="M80" s="254" t="s">
        <v>65</v>
      </c>
      <c r="N80" s="262"/>
      <c r="O80" s="321" t="s">
        <v>1041</v>
      </c>
      <c r="P80" s="321"/>
      <c r="Q80" s="322" t="s">
        <v>615</v>
      </c>
      <c r="R80" s="254" t="s">
        <v>56</v>
      </c>
      <c r="S80" s="262"/>
      <c r="T80" s="325"/>
      <c r="U80" s="325"/>
      <c r="V80" s="327" t="s">
        <v>56</v>
      </c>
      <c r="W80" s="287"/>
      <c r="X80" s="265">
        <v>4</v>
      </c>
      <c r="Y80" s="257" t="s">
        <v>28</v>
      </c>
      <c r="Z80" s="258" t="s">
        <v>735</v>
      </c>
      <c r="AA80" s="257" t="s">
        <v>29</v>
      </c>
      <c r="AB80" s="257" t="s">
        <v>244</v>
      </c>
      <c r="AC80" s="257" t="s">
        <v>244</v>
      </c>
      <c r="AD80" s="275" t="s">
        <v>542</v>
      </c>
      <c r="AE80" s="260" t="s">
        <v>672</v>
      </c>
    </row>
    <row r="81" spans="1:31" ht="98.1" hidden="1" customHeight="1" thickBot="1">
      <c r="A81" s="249" t="s">
        <v>726</v>
      </c>
      <c r="B81" s="250" t="s">
        <v>414</v>
      </c>
      <c r="C81" s="251" t="s">
        <v>137</v>
      </c>
      <c r="D81" s="252" t="s">
        <v>415</v>
      </c>
      <c r="E81" s="291">
        <v>44621</v>
      </c>
      <c r="F81" s="253"/>
      <c r="G81" s="253"/>
      <c r="H81" s="254" t="s">
        <v>69</v>
      </c>
      <c r="I81" s="255"/>
      <c r="J81" s="230"/>
      <c r="K81" s="261"/>
      <c r="L81" s="264"/>
      <c r="M81" s="254" t="s">
        <v>69</v>
      </c>
      <c r="N81" s="262"/>
      <c r="O81" s="321"/>
      <c r="P81" s="321"/>
      <c r="Q81" s="322"/>
      <c r="R81" s="254" t="s">
        <v>69</v>
      </c>
      <c r="S81" s="262"/>
      <c r="T81" s="330" t="s">
        <v>1149</v>
      </c>
      <c r="U81" s="325"/>
      <c r="V81" s="327" t="s">
        <v>56</v>
      </c>
      <c r="W81" s="287"/>
      <c r="X81" s="265">
        <v>4</v>
      </c>
      <c r="Y81" s="257" t="s">
        <v>28</v>
      </c>
      <c r="Z81" s="258" t="s">
        <v>735</v>
      </c>
      <c r="AA81" s="257" t="s">
        <v>29</v>
      </c>
      <c r="AB81" s="257" t="s">
        <v>244</v>
      </c>
      <c r="AC81" s="257" t="s">
        <v>244</v>
      </c>
      <c r="AD81" s="259" t="s">
        <v>543</v>
      </c>
      <c r="AE81" s="260" t="s">
        <v>673</v>
      </c>
    </row>
    <row r="82" spans="1:31" ht="98.1" hidden="1" customHeight="1" thickBot="1">
      <c r="A82" s="249" t="s">
        <v>726</v>
      </c>
      <c r="B82" s="250" t="s">
        <v>416</v>
      </c>
      <c r="C82" s="251" t="s">
        <v>137</v>
      </c>
      <c r="D82" s="252" t="s">
        <v>417</v>
      </c>
      <c r="E82" s="291">
        <v>44531</v>
      </c>
      <c r="F82" s="253"/>
      <c r="G82" s="253"/>
      <c r="H82" s="254" t="s">
        <v>69</v>
      </c>
      <c r="I82" s="255"/>
      <c r="J82" s="230" t="s">
        <v>912</v>
      </c>
      <c r="K82" s="230"/>
      <c r="L82" s="229"/>
      <c r="M82" s="254" t="s">
        <v>65</v>
      </c>
      <c r="N82" s="255"/>
      <c r="O82" s="321" t="s">
        <v>1042</v>
      </c>
      <c r="P82" s="321"/>
      <c r="Q82" s="322"/>
      <c r="R82" s="254" t="s">
        <v>56</v>
      </c>
      <c r="S82" s="255"/>
      <c r="T82" s="328"/>
      <c r="U82" s="328"/>
      <c r="V82" s="327" t="s">
        <v>56</v>
      </c>
      <c r="W82" s="286"/>
      <c r="X82" s="265">
        <v>3</v>
      </c>
      <c r="Y82" s="257" t="s">
        <v>28</v>
      </c>
      <c r="Z82" s="258" t="s">
        <v>735</v>
      </c>
      <c r="AA82" s="257" t="s">
        <v>29</v>
      </c>
      <c r="AB82" s="257" t="s">
        <v>244</v>
      </c>
      <c r="AC82" s="257" t="s">
        <v>244</v>
      </c>
      <c r="AD82" s="259" t="s">
        <v>544</v>
      </c>
      <c r="AE82" s="260" t="s">
        <v>674</v>
      </c>
    </row>
    <row r="83" spans="1:31" ht="98.1" hidden="1" customHeight="1" thickBot="1">
      <c r="A83" s="249" t="s">
        <v>726</v>
      </c>
      <c r="B83" s="250" t="s">
        <v>418</v>
      </c>
      <c r="C83" s="251" t="s">
        <v>137</v>
      </c>
      <c r="D83" s="252" t="s">
        <v>138</v>
      </c>
      <c r="E83" s="291">
        <v>44621</v>
      </c>
      <c r="F83" s="253"/>
      <c r="G83" s="253"/>
      <c r="H83" s="254" t="s">
        <v>69</v>
      </c>
      <c r="I83" s="255"/>
      <c r="J83" s="230" t="s">
        <v>867</v>
      </c>
      <c r="K83" s="230"/>
      <c r="L83" s="229"/>
      <c r="M83" s="254" t="s">
        <v>56</v>
      </c>
      <c r="N83" s="255"/>
      <c r="O83" s="321" t="s">
        <v>1043</v>
      </c>
      <c r="P83" s="321"/>
      <c r="Q83" s="322"/>
      <c r="R83" s="254" t="s">
        <v>56</v>
      </c>
      <c r="S83" s="255"/>
      <c r="T83" s="321" t="s">
        <v>1043</v>
      </c>
      <c r="U83" s="328"/>
      <c r="V83" s="327" t="s">
        <v>56</v>
      </c>
      <c r="W83" s="286"/>
      <c r="X83" s="265">
        <v>4</v>
      </c>
      <c r="Y83" s="257" t="s">
        <v>28</v>
      </c>
      <c r="Z83" s="258" t="s">
        <v>735</v>
      </c>
      <c r="AA83" s="257" t="s">
        <v>29</v>
      </c>
      <c r="AB83" s="257" t="s">
        <v>244</v>
      </c>
      <c r="AC83" s="257" t="s">
        <v>244</v>
      </c>
      <c r="AD83" s="259" t="s">
        <v>545</v>
      </c>
      <c r="AE83" s="260" t="s">
        <v>675</v>
      </c>
    </row>
    <row r="84" spans="1:31" ht="90" hidden="1" customHeight="1" thickBot="1">
      <c r="A84" s="249" t="s">
        <v>726</v>
      </c>
      <c r="B84" s="250" t="s">
        <v>419</v>
      </c>
      <c r="C84" s="251" t="s">
        <v>136</v>
      </c>
      <c r="D84" s="252" t="s">
        <v>420</v>
      </c>
      <c r="E84" s="291">
        <v>44621</v>
      </c>
      <c r="F84" s="253" t="s">
        <v>825</v>
      </c>
      <c r="G84" s="253"/>
      <c r="H84" s="254" t="s">
        <v>69</v>
      </c>
      <c r="I84" s="255"/>
      <c r="J84" s="230" t="s">
        <v>913</v>
      </c>
      <c r="K84" s="230"/>
      <c r="L84" s="229"/>
      <c r="M84" s="254" t="s">
        <v>65</v>
      </c>
      <c r="N84" s="255"/>
      <c r="O84" s="321" t="s">
        <v>984</v>
      </c>
      <c r="P84" s="321"/>
      <c r="Q84" s="322"/>
      <c r="R84" s="254" t="s">
        <v>65</v>
      </c>
      <c r="S84" s="255"/>
      <c r="T84" s="328" t="s">
        <v>1123</v>
      </c>
      <c r="U84" s="329"/>
      <c r="V84" s="327" t="s">
        <v>56</v>
      </c>
      <c r="W84" s="286"/>
      <c r="X84" s="265">
        <v>4</v>
      </c>
      <c r="Y84" s="257" t="s">
        <v>28</v>
      </c>
      <c r="Z84" s="258" t="s">
        <v>732</v>
      </c>
      <c r="AA84" s="257" t="s">
        <v>29</v>
      </c>
      <c r="AB84" s="257" t="s">
        <v>244</v>
      </c>
      <c r="AC84" s="257" t="s">
        <v>244</v>
      </c>
      <c r="AD84" s="259" t="s">
        <v>546</v>
      </c>
      <c r="AE84" s="260" t="s">
        <v>676</v>
      </c>
    </row>
    <row r="85" spans="1:31" ht="194.4" hidden="1" customHeight="1" thickBot="1">
      <c r="A85" s="249" t="s">
        <v>42</v>
      </c>
      <c r="B85" s="250" t="s">
        <v>421</v>
      </c>
      <c r="C85" s="251" t="s">
        <v>422</v>
      </c>
      <c r="D85" s="252" t="s">
        <v>423</v>
      </c>
      <c r="E85" s="291">
        <v>44621</v>
      </c>
      <c r="F85" s="253" t="s">
        <v>818</v>
      </c>
      <c r="G85" s="253"/>
      <c r="H85" s="254" t="s">
        <v>65</v>
      </c>
      <c r="I85" s="255"/>
      <c r="J85" s="267" t="s">
        <v>904</v>
      </c>
      <c r="K85" s="230"/>
      <c r="L85" s="229"/>
      <c r="M85" s="254" t="s">
        <v>65</v>
      </c>
      <c r="N85" s="255"/>
      <c r="O85" s="321" t="s">
        <v>969</v>
      </c>
      <c r="P85" s="321"/>
      <c r="Q85" s="322"/>
      <c r="R85" s="254" t="s">
        <v>65</v>
      </c>
      <c r="S85" s="255"/>
      <c r="T85" s="321" t="s">
        <v>1099</v>
      </c>
      <c r="U85" s="329"/>
      <c r="V85" s="327" t="s">
        <v>56</v>
      </c>
      <c r="W85" s="286"/>
      <c r="X85" s="256">
        <v>4</v>
      </c>
      <c r="Y85" s="257" t="s">
        <v>28</v>
      </c>
      <c r="Z85" s="258" t="s">
        <v>578</v>
      </c>
      <c r="AA85" s="257" t="s">
        <v>29</v>
      </c>
      <c r="AB85" s="257" t="s">
        <v>244</v>
      </c>
      <c r="AC85" s="257" t="s">
        <v>244</v>
      </c>
      <c r="AD85" s="259" t="s">
        <v>547</v>
      </c>
      <c r="AE85" s="260" t="s">
        <v>677</v>
      </c>
    </row>
    <row r="86" spans="1:31" ht="150" hidden="1" customHeight="1" thickBot="1">
      <c r="A86" s="249" t="s">
        <v>42</v>
      </c>
      <c r="B86" s="250" t="s">
        <v>424</v>
      </c>
      <c r="C86" s="251" t="s">
        <v>422</v>
      </c>
      <c r="D86" s="252" t="s">
        <v>425</v>
      </c>
      <c r="E86" s="291">
        <v>44621</v>
      </c>
      <c r="F86" s="253"/>
      <c r="G86" s="253"/>
      <c r="H86" s="254" t="s">
        <v>69</v>
      </c>
      <c r="I86" s="255"/>
      <c r="J86" s="230" t="s">
        <v>896</v>
      </c>
      <c r="K86" s="230"/>
      <c r="L86" s="229"/>
      <c r="M86" s="254" t="s">
        <v>65</v>
      </c>
      <c r="N86" s="255"/>
      <c r="O86" s="321" t="s">
        <v>982</v>
      </c>
      <c r="P86" s="321"/>
      <c r="Q86" s="322"/>
      <c r="R86" s="254" t="s">
        <v>65</v>
      </c>
      <c r="S86" s="255"/>
      <c r="T86" s="350" t="s">
        <v>1114</v>
      </c>
      <c r="U86" s="329"/>
      <c r="V86" s="327" t="s">
        <v>56</v>
      </c>
      <c r="W86" s="286"/>
      <c r="X86" s="256">
        <v>4</v>
      </c>
      <c r="Y86" s="257" t="s">
        <v>28</v>
      </c>
      <c r="Z86" s="258" t="s">
        <v>578</v>
      </c>
      <c r="AA86" s="257" t="s">
        <v>29</v>
      </c>
      <c r="AB86" s="257" t="s">
        <v>244</v>
      </c>
      <c r="AC86" s="257" t="s">
        <v>244</v>
      </c>
      <c r="AD86" s="259" t="s">
        <v>548</v>
      </c>
      <c r="AE86" s="260" t="s">
        <v>678</v>
      </c>
    </row>
    <row r="87" spans="1:31" ht="98.1" hidden="1" customHeight="1" thickBot="1">
      <c r="A87" s="249" t="s">
        <v>1068</v>
      </c>
      <c r="B87" s="250" t="s">
        <v>426</v>
      </c>
      <c r="C87" s="251" t="s">
        <v>16</v>
      </c>
      <c r="D87" s="252" t="s">
        <v>17</v>
      </c>
      <c r="E87" s="291"/>
      <c r="F87" s="253" t="s">
        <v>795</v>
      </c>
      <c r="G87" s="253"/>
      <c r="H87" s="254" t="s">
        <v>65</v>
      </c>
      <c r="I87" s="255"/>
      <c r="J87" s="230" t="s">
        <v>871</v>
      </c>
      <c r="K87" s="310">
        <v>1</v>
      </c>
      <c r="L87" s="229"/>
      <c r="M87" s="254" t="s">
        <v>65</v>
      </c>
      <c r="N87" s="255"/>
      <c r="O87" s="321" t="s">
        <v>956</v>
      </c>
      <c r="P87" s="321" t="s">
        <v>957</v>
      </c>
      <c r="Q87" s="322"/>
      <c r="R87" s="254" t="s">
        <v>65</v>
      </c>
      <c r="S87" s="255"/>
      <c r="T87" s="328" t="s">
        <v>1129</v>
      </c>
      <c r="U87" s="340">
        <v>1</v>
      </c>
      <c r="V87" s="327" t="s">
        <v>56</v>
      </c>
      <c r="W87" s="286"/>
      <c r="X87" s="256"/>
      <c r="Y87" s="257" t="s">
        <v>26</v>
      </c>
      <c r="Z87" s="258" t="s">
        <v>24</v>
      </c>
      <c r="AA87" s="257" t="s">
        <v>29</v>
      </c>
      <c r="AB87" s="257" t="s">
        <v>80</v>
      </c>
      <c r="AC87" s="257" t="s">
        <v>77</v>
      </c>
      <c r="AD87" s="259" t="s">
        <v>176</v>
      </c>
      <c r="AE87" s="260" t="s">
        <v>679</v>
      </c>
    </row>
    <row r="88" spans="1:31" ht="135" hidden="1" customHeight="1" thickBot="1">
      <c r="A88" s="249" t="s">
        <v>1068</v>
      </c>
      <c r="B88" s="250" t="s">
        <v>427</v>
      </c>
      <c r="C88" s="251" t="s">
        <v>18</v>
      </c>
      <c r="D88" s="252" t="s">
        <v>17</v>
      </c>
      <c r="E88" s="291"/>
      <c r="F88" s="253" t="s">
        <v>796</v>
      </c>
      <c r="G88" s="253"/>
      <c r="H88" s="254" t="s">
        <v>65</v>
      </c>
      <c r="I88" s="255"/>
      <c r="J88" s="230" t="s">
        <v>872</v>
      </c>
      <c r="K88" s="310">
        <v>0.93</v>
      </c>
      <c r="L88" s="229"/>
      <c r="M88" s="254" t="s">
        <v>65</v>
      </c>
      <c r="N88" s="255"/>
      <c r="O88" s="321" t="s">
        <v>959</v>
      </c>
      <c r="P88" s="321" t="s">
        <v>961</v>
      </c>
      <c r="Q88" s="322"/>
      <c r="R88" s="254" t="s">
        <v>65</v>
      </c>
      <c r="S88" s="255"/>
      <c r="T88" s="329" t="s">
        <v>1130</v>
      </c>
      <c r="U88" s="340">
        <v>0.95</v>
      </c>
      <c r="V88" s="327" t="s">
        <v>56</v>
      </c>
      <c r="W88" s="286"/>
      <c r="X88" s="256"/>
      <c r="Y88" s="257" t="s">
        <v>26</v>
      </c>
      <c r="Z88" s="258" t="s">
        <v>24</v>
      </c>
      <c r="AA88" s="257" t="s">
        <v>29</v>
      </c>
      <c r="AB88" s="257" t="s">
        <v>80</v>
      </c>
      <c r="AC88" s="257" t="s">
        <v>77</v>
      </c>
      <c r="AD88" s="259" t="s">
        <v>177</v>
      </c>
      <c r="AE88" s="260" t="s">
        <v>680</v>
      </c>
    </row>
    <row r="89" spans="1:31" ht="98.1" hidden="1" customHeight="1" thickBot="1">
      <c r="A89" s="249" t="s">
        <v>1068</v>
      </c>
      <c r="B89" s="250" t="s">
        <v>428</v>
      </c>
      <c r="C89" s="251" t="s">
        <v>19</v>
      </c>
      <c r="D89" s="252" t="s">
        <v>17</v>
      </c>
      <c r="E89" s="291"/>
      <c r="F89" s="253" t="s">
        <v>797</v>
      </c>
      <c r="G89" s="253"/>
      <c r="H89" s="254" t="s">
        <v>65</v>
      </c>
      <c r="I89" s="255"/>
      <c r="J89" s="261" t="s">
        <v>899</v>
      </c>
      <c r="K89" s="311">
        <v>0.97</v>
      </c>
      <c r="L89" s="229"/>
      <c r="M89" s="254" t="s">
        <v>65</v>
      </c>
      <c r="N89" s="262"/>
      <c r="O89" s="321" t="s">
        <v>960</v>
      </c>
      <c r="P89" s="321" t="s">
        <v>958</v>
      </c>
      <c r="Q89" s="322"/>
      <c r="R89" s="254" t="s">
        <v>65</v>
      </c>
      <c r="S89" s="262"/>
      <c r="T89" s="325" t="s">
        <v>1131</v>
      </c>
      <c r="U89" s="339">
        <v>0.97</v>
      </c>
      <c r="V89" s="327" t="s">
        <v>56</v>
      </c>
      <c r="W89" s="287"/>
      <c r="X89" s="265"/>
      <c r="Y89" s="257" t="s">
        <v>26</v>
      </c>
      <c r="Z89" s="258" t="s">
        <v>24</v>
      </c>
      <c r="AA89" s="257" t="s">
        <v>29</v>
      </c>
      <c r="AB89" s="257" t="s">
        <v>80</v>
      </c>
      <c r="AC89" s="257" t="s">
        <v>77</v>
      </c>
      <c r="AD89" s="259" t="s">
        <v>178</v>
      </c>
      <c r="AE89" s="260" t="s">
        <v>681</v>
      </c>
    </row>
    <row r="90" spans="1:31" ht="98.1" hidden="1" customHeight="1" thickBot="1">
      <c r="A90" s="249" t="s">
        <v>243</v>
      </c>
      <c r="B90" s="250" t="s">
        <v>429</v>
      </c>
      <c r="C90" s="251" t="s">
        <v>139</v>
      </c>
      <c r="D90" s="252" t="s">
        <v>140</v>
      </c>
      <c r="E90" s="291" t="s">
        <v>430</v>
      </c>
      <c r="F90" s="229" t="s">
        <v>839</v>
      </c>
      <c r="G90" s="253"/>
      <c r="H90" s="254" t="s">
        <v>56</v>
      </c>
      <c r="I90" s="255"/>
      <c r="J90" s="261"/>
      <c r="K90" s="261"/>
      <c r="L90" s="264"/>
      <c r="M90" s="254" t="s">
        <v>56</v>
      </c>
      <c r="N90" s="262"/>
      <c r="O90" s="321"/>
      <c r="P90" s="321"/>
      <c r="Q90" s="322"/>
      <c r="R90" s="254" t="s">
        <v>56</v>
      </c>
      <c r="S90" s="262"/>
      <c r="T90" s="325"/>
      <c r="U90" s="326"/>
      <c r="V90" s="327" t="s">
        <v>56</v>
      </c>
      <c r="W90" s="287"/>
      <c r="X90" s="265">
        <v>1</v>
      </c>
      <c r="Y90" s="276" t="s">
        <v>26</v>
      </c>
      <c r="Z90" s="258" t="s">
        <v>24</v>
      </c>
      <c r="AA90" s="257" t="s">
        <v>29</v>
      </c>
      <c r="AB90" s="257" t="s">
        <v>80</v>
      </c>
      <c r="AC90" s="257" t="s">
        <v>77</v>
      </c>
      <c r="AD90" s="259" t="s">
        <v>179</v>
      </c>
      <c r="AE90" s="260" t="s">
        <v>682</v>
      </c>
    </row>
    <row r="91" spans="1:31" ht="98.1" hidden="1" customHeight="1" thickBot="1">
      <c r="A91" s="249" t="s">
        <v>243</v>
      </c>
      <c r="B91" s="250" t="s">
        <v>431</v>
      </c>
      <c r="C91" s="251" t="s">
        <v>141</v>
      </c>
      <c r="D91" s="252" t="s">
        <v>432</v>
      </c>
      <c r="E91" s="291">
        <v>44531</v>
      </c>
      <c r="F91" s="253"/>
      <c r="G91" s="253"/>
      <c r="H91" s="254" t="s">
        <v>69</v>
      </c>
      <c r="I91" s="255"/>
      <c r="J91" s="230"/>
      <c r="K91" s="230"/>
      <c r="L91" s="229"/>
      <c r="M91" s="254" t="s">
        <v>65</v>
      </c>
      <c r="N91" s="262"/>
      <c r="O91" s="321" t="s">
        <v>1044</v>
      </c>
      <c r="P91" s="321"/>
      <c r="Q91" s="322"/>
      <c r="R91" s="254" t="s">
        <v>56</v>
      </c>
      <c r="S91" s="255"/>
      <c r="T91" s="328"/>
      <c r="U91" s="329"/>
      <c r="V91" s="327" t="s">
        <v>56</v>
      </c>
      <c r="W91" s="286"/>
      <c r="X91" s="256">
        <v>3</v>
      </c>
      <c r="Y91" s="276" t="s">
        <v>26</v>
      </c>
      <c r="Z91" s="258" t="s">
        <v>24</v>
      </c>
      <c r="AA91" s="257" t="s">
        <v>29</v>
      </c>
      <c r="AB91" s="257" t="s">
        <v>80</v>
      </c>
      <c r="AC91" s="257" t="s">
        <v>77</v>
      </c>
      <c r="AD91" s="259" t="s">
        <v>180</v>
      </c>
      <c r="AE91" s="260" t="s">
        <v>683</v>
      </c>
    </row>
    <row r="92" spans="1:31" ht="98.1" hidden="1" customHeight="1" thickBot="1">
      <c r="A92" s="249" t="s">
        <v>48</v>
      </c>
      <c r="B92" s="250" t="s">
        <v>433</v>
      </c>
      <c r="C92" s="251" t="s">
        <v>434</v>
      </c>
      <c r="D92" s="252" t="s">
        <v>435</v>
      </c>
      <c r="E92" s="291">
        <v>44287</v>
      </c>
      <c r="F92" s="253" t="s">
        <v>769</v>
      </c>
      <c r="G92" s="253"/>
      <c r="H92" s="254" t="s">
        <v>56</v>
      </c>
      <c r="I92" s="255"/>
      <c r="J92" s="230"/>
      <c r="K92" s="230"/>
      <c r="L92" s="229"/>
      <c r="M92" s="254" t="s">
        <v>56</v>
      </c>
      <c r="N92" s="255"/>
      <c r="O92" s="321"/>
      <c r="P92" s="321"/>
      <c r="Q92" s="322"/>
      <c r="R92" s="254" t="s">
        <v>56</v>
      </c>
      <c r="S92" s="255"/>
      <c r="T92" s="329"/>
      <c r="U92" s="329"/>
      <c r="V92" s="327" t="s">
        <v>56</v>
      </c>
      <c r="W92" s="286"/>
      <c r="X92" s="265">
        <v>1</v>
      </c>
      <c r="Y92" s="257" t="s">
        <v>27</v>
      </c>
      <c r="Z92" s="258" t="s">
        <v>47</v>
      </c>
      <c r="AA92" s="257" t="s">
        <v>29</v>
      </c>
      <c r="AB92" s="257" t="s">
        <v>80</v>
      </c>
      <c r="AC92" s="257" t="s">
        <v>77</v>
      </c>
      <c r="AD92" s="259" t="s">
        <v>549</v>
      </c>
      <c r="AE92" s="260" t="s">
        <v>684</v>
      </c>
    </row>
    <row r="93" spans="1:31" ht="131.4" hidden="1" customHeight="1" thickBot="1">
      <c r="A93" s="249" t="s">
        <v>48</v>
      </c>
      <c r="B93" s="250" t="s">
        <v>436</v>
      </c>
      <c r="C93" s="251" t="s">
        <v>434</v>
      </c>
      <c r="D93" s="252" t="s">
        <v>437</v>
      </c>
      <c r="E93" s="291">
        <v>44348</v>
      </c>
      <c r="F93" s="253" t="s">
        <v>768</v>
      </c>
      <c r="G93" s="253"/>
      <c r="H93" s="254" t="s">
        <v>56</v>
      </c>
      <c r="I93" s="255"/>
      <c r="J93" s="230"/>
      <c r="K93" s="230"/>
      <c r="L93" s="229"/>
      <c r="M93" s="254" t="s">
        <v>56</v>
      </c>
      <c r="N93" s="255"/>
      <c r="O93" s="321"/>
      <c r="P93" s="321"/>
      <c r="Q93" s="322"/>
      <c r="R93" s="254" t="s">
        <v>56</v>
      </c>
      <c r="S93" s="255"/>
      <c r="T93" s="328"/>
      <c r="U93" s="329"/>
      <c r="V93" s="327" t="s">
        <v>56</v>
      </c>
      <c r="W93" s="286"/>
      <c r="X93" s="256">
        <v>1</v>
      </c>
      <c r="Y93" s="257" t="s">
        <v>27</v>
      </c>
      <c r="Z93" s="258" t="s">
        <v>47</v>
      </c>
      <c r="AA93" s="257" t="s">
        <v>29</v>
      </c>
      <c r="AB93" s="257" t="s">
        <v>80</v>
      </c>
      <c r="AC93" s="257" t="s">
        <v>77</v>
      </c>
      <c r="AD93" s="259" t="s">
        <v>181</v>
      </c>
      <c r="AE93" s="260" t="s">
        <v>685</v>
      </c>
    </row>
    <row r="94" spans="1:31" ht="131.4" hidden="1" customHeight="1" thickBot="1">
      <c r="A94" s="249" t="s">
        <v>48</v>
      </c>
      <c r="B94" s="250" t="s">
        <v>438</v>
      </c>
      <c r="C94" s="251" t="s">
        <v>434</v>
      </c>
      <c r="D94" s="252" t="s">
        <v>439</v>
      </c>
      <c r="E94" s="291">
        <v>44531</v>
      </c>
      <c r="F94" s="253" t="s">
        <v>770</v>
      </c>
      <c r="G94" s="253"/>
      <c r="H94" s="254" t="s">
        <v>65</v>
      </c>
      <c r="I94" s="255"/>
      <c r="J94" s="230" t="s">
        <v>878</v>
      </c>
      <c r="K94" s="230"/>
      <c r="L94" s="229"/>
      <c r="M94" s="254" t="s">
        <v>65</v>
      </c>
      <c r="N94" s="255"/>
      <c r="O94" s="321" t="s">
        <v>1045</v>
      </c>
      <c r="P94" s="321"/>
      <c r="Q94" s="322"/>
      <c r="R94" s="254" t="s">
        <v>56</v>
      </c>
      <c r="S94" s="255"/>
      <c r="T94" s="328"/>
      <c r="U94" s="329"/>
      <c r="V94" s="327" t="s">
        <v>56</v>
      </c>
      <c r="W94" s="286"/>
      <c r="X94" s="256">
        <v>3</v>
      </c>
      <c r="Y94" s="257" t="s">
        <v>27</v>
      </c>
      <c r="Z94" s="258" t="s">
        <v>47</v>
      </c>
      <c r="AA94" s="257" t="s">
        <v>29</v>
      </c>
      <c r="AB94" s="257" t="s">
        <v>80</v>
      </c>
      <c r="AC94" s="257" t="s">
        <v>77</v>
      </c>
      <c r="AD94" s="259" t="s">
        <v>182</v>
      </c>
      <c r="AE94" s="260" t="s">
        <v>686</v>
      </c>
    </row>
    <row r="95" spans="1:31" ht="98.1" hidden="1" customHeight="1" thickBot="1">
      <c r="A95" s="249" t="s">
        <v>42</v>
      </c>
      <c r="B95" s="250" t="s">
        <v>440</v>
      </c>
      <c r="C95" s="251" t="s">
        <v>434</v>
      </c>
      <c r="D95" s="252" t="s">
        <v>441</v>
      </c>
      <c r="E95" s="291">
        <v>44621</v>
      </c>
      <c r="F95" s="253" t="s">
        <v>823</v>
      </c>
      <c r="G95" s="253"/>
      <c r="H95" s="254" t="s">
        <v>69</v>
      </c>
      <c r="I95" s="255"/>
      <c r="J95" s="253" t="s">
        <v>823</v>
      </c>
      <c r="K95" s="230"/>
      <c r="L95" s="229"/>
      <c r="M95" s="254" t="s">
        <v>69</v>
      </c>
      <c r="N95" s="255"/>
      <c r="O95" s="321"/>
      <c r="P95" s="321"/>
      <c r="Q95" s="322"/>
      <c r="R95" s="254" t="s">
        <v>69</v>
      </c>
      <c r="S95" s="255"/>
      <c r="T95" s="328" t="s">
        <v>1097</v>
      </c>
      <c r="U95" s="329"/>
      <c r="V95" s="327" t="s">
        <v>56</v>
      </c>
      <c r="W95" s="328"/>
      <c r="X95" s="256">
        <v>4</v>
      </c>
      <c r="Y95" s="257" t="s">
        <v>27</v>
      </c>
      <c r="Z95" s="258" t="s">
        <v>47</v>
      </c>
      <c r="AA95" s="257" t="s">
        <v>29</v>
      </c>
      <c r="AB95" s="257" t="s">
        <v>80</v>
      </c>
      <c r="AC95" s="257" t="s">
        <v>77</v>
      </c>
      <c r="AD95" s="259" t="s">
        <v>183</v>
      </c>
      <c r="AE95" s="260" t="s">
        <v>687</v>
      </c>
    </row>
    <row r="96" spans="1:31" ht="98.1" hidden="1" customHeight="1" thickBot="1">
      <c r="A96" s="249" t="s">
        <v>48</v>
      </c>
      <c r="B96" s="250" t="s">
        <v>442</v>
      </c>
      <c r="C96" s="251" t="s">
        <v>443</v>
      </c>
      <c r="D96" s="252" t="s">
        <v>444</v>
      </c>
      <c r="E96" s="291">
        <v>44470</v>
      </c>
      <c r="F96" s="266" t="s">
        <v>771</v>
      </c>
      <c r="G96" s="253"/>
      <c r="H96" s="254" t="s">
        <v>65</v>
      </c>
      <c r="I96" s="255"/>
      <c r="J96" s="344" t="s">
        <v>879</v>
      </c>
      <c r="K96" s="230"/>
      <c r="L96" s="229"/>
      <c r="M96" s="254" t="s">
        <v>65</v>
      </c>
      <c r="N96" s="255"/>
      <c r="O96" s="321" t="s">
        <v>1046</v>
      </c>
      <c r="P96" s="321"/>
      <c r="Q96" s="322"/>
      <c r="R96" s="254" t="s">
        <v>56</v>
      </c>
      <c r="S96" s="255"/>
      <c r="T96" s="328"/>
      <c r="U96" s="329"/>
      <c r="V96" s="327" t="s">
        <v>56</v>
      </c>
      <c r="W96" s="286"/>
      <c r="X96" s="256">
        <v>3</v>
      </c>
      <c r="Y96" s="257" t="s">
        <v>27</v>
      </c>
      <c r="Z96" s="258" t="s">
        <v>47</v>
      </c>
      <c r="AA96" s="257" t="s">
        <v>29</v>
      </c>
      <c r="AB96" s="257" t="s">
        <v>80</v>
      </c>
      <c r="AC96" s="257" t="s">
        <v>77</v>
      </c>
      <c r="AD96" s="259" t="s">
        <v>184</v>
      </c>
      <c r="AE96" s="260" t="s">
        <v>688</v>
      </c>
    </row>
    <row r="97" spans="1:31" ht="98.1" hidden="1" customHeight="1" thickBot="1">
      <c r="A97" s="249" t="s">
        <v>48</v>
      </c>
      <c r="B97" s="250" t="s">
        <v>445</v>
      </c>
      <c r="C97" s="251" t="s">
        <v>443</v>
      </c>
      <c r="D97" s="252" t="s">
        <v>446</v>
      </c>
      <c r="E97" s="291">
        <v>44621</v>
      </c>
      <c r="F97" s="253"/>
      <c r="G97" s="253"/>
      <c r="H97" s="254" t="s">
        <v>69</v>
      </c>
      <c r="I97" s="255"/>
      <c r="J97" s="230" t="s">
        <v>880</v>
      </c>
      <c r="K97" s="230"/>
      <c r="L97" s="229"/>
      <c r="M97" s="254" t="s">
        <v>65</v>
      </c>
      <c r="N97" s="255"/>
      <c r="O97" s="321" t="s">
        <v>947</v>
      </c>
      <c r="P97" s="321"/>
      <c r="Q97" s="322"/>
      <c r="R97" s="254" t="s">
        <v>60</v>
      </c>
      <c r="S97" s="255"/>
      <c r="T97" s="328" t="s">
        <v>1064</v>
      </c>
      <c r="U97" s="329"/>
      <c r="V97" s="327" t="s">
        <v>63</v>
      </c>
      <c r="W97" s="286"/>
      <c r="X97" s="256">
        <v>4</v>
      </c>
      <c r="Y97" s="257" t="s">
        <v>27</v>
      </c>
      <c r="Z97" s="258" t="s">
        <v>47</v>
      </c>
      <c r="AA97" s="257" t="s">
        <v>29</v>
      </c>
      <c r="AB97" s="257" t="s">
        <v>80</v>
      </c>
      <c r="AC97" s="257" t="s">
        <v>77</v>
      </c>
      <c r="AD97" s="259" t="s">
        <v>185</v>
      </c>
      <c r="AE97" s="260" t="s">
        <v>689</v>
      </c>
    </row>
    <row r="98" spans="1:31" ht="98.1" hidden="1" customHeight="1" thickBot="1">
      <c r="A98" s="249" t="s">
        <v>48</v>
      </c>
      <c r="B98" s="250" t="s">
        <v>447</v>
      </c>
      <c r="C98" s="251" t="s">
        <v>142</v>
      </c>
      <c r="D98" s="252" t="s">
        <v>448</v>
      </c>
      <c r="E98" s="291">
        <v>44621</v>
      </c>
      <c r="F98" s="253"/>
      <c r="G98" s="253"/>
      <c r="H98" s="254" t="s">
        <v>69</v>
      </c>
      <c r="I98" s="255"/>
      <c r="J98" s="263"/>
      <c r="K98" s="229"/>
      <c r="L98" s="229"/>
      <c r="M98" s="254" t="s">
        <v>69</v>
      </c>
      <c r="N98" s="255"/>
      <c r="O98" s="321" t="s">
        <v>1047</v>
      </c>
      <c r="P98" s="321"/>
      <c r="Q98" s="322"/>
      <c r="R98" s="254" t="s">
        <v>65</v>
      </c>
      <c r="S98" s="255"/>
      <c r="T98" s="325" t="s">
        <v>1085</v>
      </c>
      <c r="U98" s="331"/>
      <c r="V98" s="327" t="s">
        <v>56</v>
      </c>
      <c r="W98" s="286"/>
      <c r="X98" s="265">
        <v>4</v>
      </c>
      <c r="Y98" s="257" t="s">
        <v>27</v>
      </c>
      <c r="Z98" s="258" t="s">
        <v>47</v>
      </c>
      <c r="AA98" s="257" t="s">
        <v>29</v>
      </c>
      <c r="AB98" s="257" t="s">
        <v>80</v>
      </c>
      <c r="AC98" s="257" t="s">
        <v>77</v>
      </c>
      <c r="AD98" s="259" t="s">
        <v>186</v>
      </c>
      <c r="AE98" s="260" t="s">
        <v>690</v>
      </c>
    </row>
    <row r="99" spans="1:31" ht="98.1" hidden="1" customHeight="1" thickBot="1">
      <c r="A99" s="249" t="s">
        <v>48</v>
      </c>
      <c r="B99" s="250" t="s">
        <v>449</v>
      </c>
      <c r="C99" s="273" t="s">
        <v>450</v>
      </c>
      <c r="D99" s="274" t="s">
        <v>451</v>
      </c>
      <c r="E99" s="291">
        <v>44531</v>
      </c>
      <c r="F99" s="253" t="s">
        <v>834</v>
      </c>
      <c r="G99" s="253"/>
      <c r="H99" s="254" t="s">
        <v>65</v>
      </c>
      <c r="I99" s="255"/>
      <c r="J99" s="230" t="s">
        <v>881</v>
      </c>
      <c r="K99" s="230"/>
      <c r="L99" s="229"/>
      <c r="M99" s="254" t="s">
        <v>65</v>
      </c>
      <c r="N99" s="255"/>
      <c r="O99" s="321" t="s">
        <v>1048</v>
      </c>
      <c r="P99" s="321"/>
      <c r="Q99" s="322"/>
      <c r="R99" s="254" t="s">
        <v>56</v>
      </c>
      <c r="S99" s="255"/>
      <c r="T99" s="328"/>
      <c r="U99" s="329"/>
      <c r="V99" s="327" t="s">
        <v>56</v>
      </c>
      <c r="W99" s="286"/>
      <c r="X99" s="256">
        <v>3</v>
      </c>
      <c r="Y99" s="257" t="s">
        <v>27</v>
      </c>
      <c r="Z99" s="258" t="s">
        <v>47</v>
      </c>
      <c r="AA99" s="257" t="s">
        <v>29</v>
      </c>
      <c r="AB99" s="257" t="s">
        <v>80</v>
      </c>
      <c r="AC99" s="257" t="s">
        <v>77</v>
      </c>
      <c r="AD99" s="275" t="s">
        <v>550</v>
      </c>
      <c r="AE99" s="260" t="s">
        <v>691</v>
      </c>
    </row>
    <row r="100" spans="1:31" ht="121.2" hidden="1" customHeight="1" thickBot="1">
      <c r="A100" s="249" t="s">
        <v>48</v>
      </c>
      <c r="B100" s="250" t="s">
        <v>452</v>
      </c>
      <c r="C100" s="251" t="s">
        <v>450</v>
      </c>
      <c r="D100" s="252" t="s">
        <v>453</v>
      </c>
      <c r="E100" s="291">
        <v>44621</v>
      </c>
      <c r="F100" s="253" t="s">
        <v>835</v>
      </c>
      <c r="G100" s="253"/>
      <c r="H100" s="254" t="s">
        <v>66</v>
      </c>
      <c r="I100" s="255"/>
      <c r="J100" s="230" t="s">
        <v>882</v>
      </c>
      <c r="K100" s="230"/>
      <c r="L100" s="229"/>
      <c r="M100" s="254" t="s">
        <v>66</v>
      </c>
      <c r="N100" s="255"/>
      <c r="O100" s="321" t="s">
        <v>948</v>
      </c>
      <c r="P100" s="321"/>
      <c r="Q100" s="322"/>
      <c r="R100" s="254" t="s">
        <v>60</v>
      </c>
      <c r="S100" s="255"/>
      <c r="T100" s="328" t="s">
        <v>1065</v>
      </c>
      <c r="U100" s="329"/>
      <c r="V100" s="327" t="s">
        <v>63</v>
      </c>
      <c r="W100" s="286"/>
      <c r="X100" s="256">
        <v>4</v>
      </c>
      <c r="Y100" s="257" t="s">
        <v>27</v>
      </c>
      <c r="Z100" s="258" t="s">
        <v>47</v>
      </c>
      <c r="AA100" s="257" t="s">
        <v>29</v>
      </c>
      <c r="AB100" s="257" t="s">
        <v>80</v>
      </c>
      <c r="AC100" s="257" t="s">
        <v>77</v>
      </c>
      <c r="AD100" s="259" t="s">
        <v>187</v>
      </c>
      <c r="AE100" s="260" t="s">
        <v>692</v>
      </c>
    </row>
    <row r="101" spans="1:31" ht="98.1" hidden="1" customHeight="1" thickBot="1">
      <c r="A101" s="249" t="s">
        <v>48</v>
      </c>
      <c r="B101" s="250" t="s">
        <v>454</v>
      </c>
      <c r="C101" s="251" t="s">
        <v>455</v>
      </c>
      <c r="D101" s="252" t="s">
        <v>727</v>
      </c>
      <c r="E101" s="291">
        <v>44621</v>
      </c>
      <c r="F101" s="253" t="s">
        <v>772</v>
      </c>
      <c r="G101" s="253"/>
      <c r="H101" s="254" t="s">
        <v>65</v>
      </c>
      <c r="I101" s="255"/>
      <c r="J101" s="230" t="s">
        <v>883</v>
      </c>
      <c r="K101" s="230"/>
      <c r="L101" s="229"/>
      <c r="M101" s="254" t="s">
        <v>65</v>
      </c>
      <c r="N101" s="255"/>
      <c r="O101" s="321" t="s">
        <v>952</v>
      </c>
      <c r="P101" s="321"/>
      <c r="Q101" s="322"/>
      <c r="R101" s="254" t="s">
        <v>66</v>
      </c>
      <c r="S101" s="255"/>
      <c r="T101" s="328" t="s">
        <v>1086</v>
      </c>
      <c r="U101" s="329"/>
      <c r="V101" s="327" t="s">
        <v>56</v>
      </c>
      <c r="W101" s="286"/>
      <c r="X101" s="265">
        <v>4</v>
      </c>
      <c r="Y101" s="257" t="s">
        <v>27</v>
      </c>
      <c r="Z101" s="258" t="s">
        <v>47</v>
      </c>
      <c r="AA101" s="257" t="s">
        <v>29</v>
      </c>
      <c r="AB101" s="257" t="s">
        <v>80</v>
      </c>
      <c r="AC101" s="257" t="s">
        <v>77</v>
      </c>
      <c r="AD101" s="259" t="s">
        <v>551</v>
      </c>
      <c r="AE101" s="260" t="s">
        <v>693</v>
      </c>
    </row>
    <row r="102" spans="1:31" ht="98.1" hidden="1" customHeight="1" thickBot="1">
      <c r="A102" s="249" t="s">
        <v>48</v>
      </c>
      <c r="B102" s="250" t="s">
        <v>456</v>
      </c>
      <c r="C102" s="251" t="s">
        <v>455</v>
      </c>
      <c r="D102" s="252" t="s">
        <v>457</v>
      </c>
      <c r="E102" s="291">
        <v>44621</v>
      </c>
      <c r="F102" s="253" t="s">
        <v>792</v>
      </c>
      <c r="G102" s="253"/>
      <c r="H102" s="254" t="s">
        <v>65</v>
      </c>
      <c r="I102" s="255"/>
      <c r="J102" s="230" t="s">
        <v>884</v>
      </c>
      <c r="K102" s="230"/>
      <c r="L102" s="229"/>
      <c r="M102" s="254" t="s">
        <v>65</v>
      </c>
      <c r="N102" s="255"/>
      <c r="O102" s="321" t="s">
        <v>949</v>
      </c>
      <c r="P102" s="321"/>
      <c r="Q102" s="322"/>
      <c r="R102" s="254" t="s">
        <v>65</v>
      </c>
      <c r="S102" s="255"/>
      <c r="T102" s="328" t="s">
        <v>1087</v>
      </c>
      <c r="U102" s="329"/>
      <c r="V102" s="327" t="s">
        <v>56</v>
      </c>
      <c r="W102" s="286"/>
      <c r="X102" s="256">
        <v>4</v>
      </c>
      <c r="Y102" s="257" t="s">
        <v>27</v>
      </c>
      <c r="Z102" s="258" t="s">
        <v>47</v>
      </c>
      <c r="AA102" s="257" t="s">
        <v>29</v>
      </c>
      <c r="AB102" s="257" t="s">
        <v>80</v>
      </c>
      <c r="AC102" s="257" t="s">
        <v>77</v>
      </c>
      <c r="AD102" s="259" t="s">
        <v>552</v>
      </c>
      <c r="AE102" s="260" t="s">
        <v>694</v>
      </c>
    </row>
    <row r="103" spans="1:31" ht="98.1" hidden="1" customHeight="1" thickBot="1">
      <c r="A103" s="249" t="s">
        <v>48</v>
      </c>
      <c r="B103" s="250" t="s">
        <v>458</v>
      </c>
      <c r="C103" s="251" t="s">
        <v>455</v>
      </c>
      <c r="D103" s="252" t="s">
        <v>459</v>
      </c>
      <c r="E103" s="291">
        <v>44621</v>
      </c>
      <c r="F103" s="253"/>
      <c r="G103" s="253"/>
      <c r="H103" s="254" t="s">
        <v>69</v>
      </c>
      <c r="I103" s="255"/>
      <c r="J103" s="230"/>
      <c r="K103" s="230"/>
      <c r="L103" s="229"/>
      <c r="M103" s="254" t="s">
        <v>69</v>
      </c>
      <c r="N103" s="255"/>
      <c r="O103" s="321" t="s">
        <v>950</v>
      </c>
      <c r="P103" s="321"/>
      <c r="Q103" s="322"/>
      <c r="R103" s="254" t="s">
        <v>65</v>
      </c>
      <c r="S103" s="255"/>
      <c r="T103" s="328" t="s">
        <v>1088</v>
      </c>
      <c r="U103" s="329"/>
      <c r="V103" s="327" t="s">
        <v>56</v>
      </c>
      <c r="W103" s="286"/>
      <c r="X103" s="265">
        <v>4</v>
      </c>
      <c r="Y103" s="257" t="s">
        <v>27</v>
      </c>
      <c r="Z103" s="258" t="s">
        <v>47</v>
      </c>
      <c r="AA103" s="257" t="s">
        <v>29</v>
      </c>
      <c r="AB103" s="257" t="s">
        <v>80</v>
      </c>
      <c r="AC103" s="257" t="s">
        <v>77</v>
      </c>
      <c r="AD103" s="259" t="s">
        <v>553</v>
      </c>
      <c r="AE103" s="260" t="s">
        <v>695</v>
      </c>
    </row>
    <row r="104" spans="1:31" ht="98.1" hidden="1" customHeight="1" thickBot="1">
      <c r="A104" s="249" t="s">
        <v>48</v>
      </c>
      <c r="B104" s="250" t="s">
        <v>460</v>
      </c>
      <c r="C104" s="251" t="s">
        <v>455</v>
      </c>
      <c r="D104" s="252" t="s">
        <v>461</v>
      </c>
      <c r="E104" s="291">
        <v>44621</v>
      </c>
      <c r="F104" s="253"/>
      <c r="G104" s="253"/>
      <c r="H104" s="254" t="s">
        <v>69</v>
      </c>
      <c r="I104" s="255"/>
      <c r="J104" s="230"/>
      <c r="K104" s="230"/>
      <c r="L104" s="229"/>
      <c r="M104" s="254" t="s">
        <v>69</v>
      </c>
      <c r="N104" s="255"/>
      <c r="O104" s="321" t="s">
        <v>1049</v>
      </c>
      <c r="P104" s="321"/>
      <c r="Q104" s="322"/>
      <c r="R104" s="254" t="s">
        <v>65</v>
      </c>
      <c r="S104" s="255"/>
      <c r="T104" s="328" t="s">
        <v>1143</v>
      </c>
      <c r="U104" s="329"/>
      <c r="V104" s="327" t="s">
        <v>56</v>
      </c>
      <c r="W104" s="286"/>
      <c r="X104" s="265">
        <v>4</v>
      </c>
      <c r="Y104" s="257" t="s">
        <v>27</v>
      </c>
      <c r="Z104" s="258" t="s">
        <v>47</v>
      </c>
      <c r="AA104" s="257" t="s">
        <v>29</v>
      </c>
      <c r="AB104" s="257" t="s">
        <v>80</v>
      </c>
      <c r="AC104" s="257" t="s">
        <v>77</v>
      </c>
      <c r="AD104" s="259" t="s">
        <v>554</v>
      </c>
      <c r="AE104" s="260" t="s">
        <v>696</v>
      </c>
    </row>
    <row r="105" spans="1:31" ht="137.25" hidden="1" customHeight="1" thickBot="1">
      <c r="A105" s="249" t="s">
        <v>48</v>
      </c>
      <c r="B105" s="250" t="s">
        <v>462</v>
      </c>
      <c r="C105" s="251" t="s">
        <v>455</v>
      </c>
      <c r="D105" s="252" t="s">
        <v>463</v>
      </c>
      <c r="E105" s="291">
        <v>44470</v>
      </c>
      <c r="F105" s="253" t="s">
        <v>846</v>
      </c>
      <c r="G105" s="253"/>
      <c r="H105" s="254" t="s">
        <v>69</v>
      </c>
      <c r="I105" s="255"/>
      <c r="J105" s="230" t="s">
        <v>885</v>
      </c>
      <c r="K105" s="230"/>
      <c r="L105" s="229"/>
      <c r="M105" s="254" t="s">
        <v>65</v>
      </c>
      <c r="N105" s="255"/>
      <c r="O105" s="321" t="s">
        <v>951</v>
      </c>
      <c r="P105" s="321"/>
      <c r="Q105" s="322"/>
      <c r="R105" s="254" t="s">
        <v>56</v>
      </c>
      <c r="S105" s="255"/>
      <c r="T105" s="328"/>
      <c r="U105" s="329"/>
      <c r="V105" s="327" t="s">
        <v>56</v>
      </c>
      <c r="W105" s="286"/>
      <c r="X105" s="265">
        <v>2</v>
      </c>
      <c r="Y105" s="257" t="s">
        <v>27</v>
      </c>
      <c r="Z105" s="258" t="s">
        <v>47</v>
      </c>
      <c r="AA105" s="257" t="s">
        <v>29</v>
      </c>
      <c r="AB105" s="257" t="s">
        <v>80</v>
      </c>
      <c r="AC105" s="257" t="s">
        <v>77</v>
      </c>
      <c r="AD105" s="259" t="s">
        <v>555</v>
      </c>
      <c r="AE105" s="260" t="s">
        <v>697</v>
      </c>
    </row>
    <row r="106" spans="1:31" ht="98.1" hidden="1" customHeight="1" thickBot="1">
      <c r="A106" s="249" t="s">
        <v>243</v>
      </c>
      <c r="B106" s="250" t="s">
        <v>464</v>
      </c>
      <c r="C106" s="251" t="s">
        <v>141</v>
      </c>
      <c r="D106" s="252" t="s">
        <v>465</v>
      </c>
      <c r="E106" s="291">
        <v>44621</v>
      </c>
      <c r="F106" s="253"/>
      <c r="G106" s="253"/>
      <c r="H106" s="254" t="s">
        <v>69</v>
      </c>
      <c r="I106" s="255"/>
      <c r="J106" s="230"/>
      <c r="K106" s="230"/>
      <c r="L106" s="229"/>
      <c r="M106" s="254" t="s">
        <v>69</v>
      </c>
      <c r="N106" s="255"/>
      <c r="O106" s="321"/>
      <c r="P106" s="321"/>
      <c r="Q106" s="322"/>
      <c r="R106" s="254" t="s">
        <v>69</v>
      </c>
      <c r="S106" s="255"/>
      <c r="T106" s="328" t="s">
        <v>1076</v>
      </c>
      <c r="U106" s="328"/>
      <c r="V106" s="327" t="s">
        <v>56</v>
      </c>
      <c r="W106" s="286"/>
      <c r="X106" s="265">
        <v>4</v>
      </c>
      <c r="Y106" s="257" t="s">
        <v>26</v>
      </c>
      <c r="Z106" s="258" t="s">
        <v>24</v>
      </c>
      <c r="AA106" s="257" t="s">
        <v>29</v>
      </c>
      <c r="AB106" s="257" t="s">
        <v>80</v>
      </c>
      <c r="AC106" s="257" t="s">
        <v>77</v>
      </c>
      <c r="AD106" s="259" t="s">
        <v>556</v>
      </c>
      <c r="AE106" s="260" t="s">
        <v>698</v>
      </c>
    </row>
    <row r="107" spans="1:31" ht="98.1" hidden="1" customHeight="1" thickBot="1">
      <c r="A107" s="249" t="s">
        <v>243</v>
      </c>
      <c r="B107" s="250" t="s">
        <v>466</v>
      </c>
      <c r="C107" s="251" t="s">
        <v>141</v>
      </c>
      <c r="D107" s="252" t="s">
        <v>467</v>
      </c>
      <c r="E107" s="291">
        <v>44621</v>
      </c>
      <c r="F107" s="253"/>
      <c r="G107" s="253"/>
      <c r="H107" s="254" t="s">
        <v>69</v>
      </c>
      <c r="I107" s="255"/>
      <c r="J107" s="230"/>
      <c r="K107" s="230"/>
      <c r="L107" s="229"/>
      <c r="M107" s="254" t="s">
        <v>69</v>
      </c>
      <c r="N107" s="255"/>
      <c r="O107" s="321"/>
      <c r="P107" s="321"/>
      <c r="Q107" s="322"/>
      <c r="R107" s="254" t="s">
        <v>69</v>
      </c>
      <c r="S107" s="255"/>
      <c r="T107" s="328" t="s">
        <v>1077</v>
      </c>
      <c r="U107" s="328"/>
      <c r="V107" s="327" t="s">
        <v>56</v>
      </c>
      <c r="W107" s="286"/>
      <c r="X107" s="265">
        <v>4</v>
      </c>
      <c r="Y107" s="257" t="s">
        <v>26</v>
      </c>
      <c r="Z107" s="258" t="s">
        <v>24</v>
      </c>
      <c r="AA107" s="257" t="s">
        <v>29</v>
      </c>
      <c r="AB107" s="257" t="s">
        <v>80</v>
      </c>
      <c r="AC107" s="257" t="s">
        <v>77</v>
      </c>
      <c r="AD107" s="259" t="s">
        <v>557</v>
      </c>
      <c r="AE107" s="260" t="s">
        <v>699</v>
      </c>
    </row>
    <row r="108" spans="1:31" ht="98.1" hidden="1" customHeight="1" thickBot="1">
      <c r="A108" s="249" t="s">
        <v>726</v>
      </c>
      <c r="B108" s="250" t="s">
        <v>468</v>
      </c>
      <c r="C108" s="251" t="s">
        <v>469</v>
      </c>
      <c r="D108" s="252" t="s">
        <v>470</v>
      </c>
      <c r="E108" s="291">
        <v>44621</v>
      </c>
      <c r="F108" s="253"/>
      <c r="G108" s="253"/>
      <c r="H108" s="254" t="s">
        <v>69</v>
      </c>
      <c r="I108" s="255"/>
      <c r="J108" s="230"/>
      <c r="K108" s="230"/>
      <c r="L108" s="229"/>
      <c r="M108" s="254" t="s">
        <v>69</v>
      </c>
      <c r="N108" s="255"/>
      <c r="O108" s="321" t="s">
        <v>1050</v>
      </c>
      <c r="P108" s="321"/>
      <c r="Q108" s="322"/>
      <c r="R108" s="254" t="s">
        <v>56</v>
      </c>
      <c r="S108" s="255"/>
      <c r="T108" s="328" t="s">
        <v>1124</v>
      </c>
      <c r="U108" s="329"/>
      <c r="V108" s="327" t="s">
        <v>56</v>
      </c>
      <c r="W108" s="286"/>
      <c r="X108" s="265">
        <v>4</v>
      </c>
      <c r="Y108" s="257" t="s">
        <v>28</v>
      </c>
      <c r="Z108" s="258" t="s">
        <v>732</v>
      </c>
      <c r="AA108" s="257" t="s">
        <v>29</v>
      </c>
      <c r="AB108" s="257" t="s">
        <v>245</v>
      </c>
      <c r="AC108" s="257" t="s">
        <v>245</v>
      </c>
      <c r="AD108" s="259" t="s">
        <v>558</v>
      </c>
      <c r="AE108" s="260" t="s">
        <v>700</v>
      </c>
    </row>
    <row r="109" spans="1:31" ht="98.1" hidden="1" customHeight="1" thickBot="1">
      <c r="A109" s="249" t="s">
        <v>726</v>
      </c>
      <c r="B109" s="250" t="s">
        <v>471</v>
      </c>
      <c r="C109" s="251" t="s">
        <v>469</v>
      </c>
      <c r="D109" s="252" t="s">
        <v>472</v>
      </c>
      <c r="E109" s="291">
        <v>44378</v>
      </c>
      <c r="F109" s="253" t="s">
        <v>803</v>
      </c>
      <c r="G109" s="253"/>
      <c r="H109" s="254" t="s">
        <v>56</v>
      </c>
      <c r="I109" s="255"/>
      <c r="J109" s="229"/>
      <c r="K109" s="230"/>
      <c r="L109" s="229"/>
      <c r="M109" s="254" t="s">
        <v>56</v>
      </c>
      <c r="N109" s="255"/>
      <c r="O109" s="322" t="s">
        <v>1051</v>
      </c>
      <c r="P109" s="321"/>
      <c r="Q109" s="322"/>
      <c r="R109" s="254" t="s">
        <v>56</v>
      </c>
      <c r="S109" s="255"/>
      <c r="T109" s="328"/>
      <c r="U109" s="329"/>
      <c r="V109" s="327" t="s">
        <v>56</v>
      </c>
      <c r="W109" s="286"/>
      <c r="X109" s="265">
        <v>2</v>
      </c>
      <c r="Y109" s="257" t="s">
        <v>28</v>
      </c>
      <c r="Z109" s="258" t="s">
        <v>732</v>
      </c>
      <c r="AA109" s="257" t="s">
        <v>29</v>
      </c>
      <c r="AB109" s="257" t="s">
        <v>245</v>
      </c>
      <c r="AC109" s="257" t="s">
        <v>245</v>
      </c>
      <c r="AD109" s="259" t="s">
        <v>559</v>
      </c>
      <c r="AE109" s="260" t="s">
        <v>701</v>
      </c>
    </row>
    <row r="110" spans="1:31" ht="98.1" hidden="1" customHeight="1" thickBot="1">
      <c r="A110" s="249" t="s">
        <v>726</v>
      </c>
      <c r="B110" s="250" t="s">
        <v>473</v>
      </c>
      <c r="C110" s="251" t="s">
        <v>144</v>
      </c>
      <c r="D110" s="252" t="s">
        <v>474</v>
      </c>
      <c r="E110" s="291">
        <v>44440</v>
      </c>
      <c r="F110" s="253" t="s">
        <v>804</v>
      </c>
      <c r="G110" s="253"/>
      <c r="H110" s="254" t="s">
        <v>65</v>
      </c>
      <c r="I110" s="255"/>
      <c r="J110" s="229" t="s">
        <v>868</v>
      </c>
      <c r="K110" s="230"/>
      <c r="L110" s="229"/>
      <c r="M110" s="254" t="s">
        <v>56</v>
      </c>
      <c r="N110" s="255"/>
      <c r="O110" s="321" t="s">
        <v>1052</v>
      </c>
      <c r="P110" s="321"/>
      <c r="Q110" s="322"/>
      <c r="R110" s="254" t="s">
        <v>56</v>
      </c>
      <c r="S110" s="255"/>
      <c r="T110" s="328"/>
      <c r="U110" s="329"/>
      <c r="V110" s="327" t="s">
        <v>56</v>
      </c>
      <c r="W110" s="286"/>
      <c r="X110" s="256">
        <v>2</v>
      </c>
      <c r="Y110" s="257" t="s">
        <v>28</v>
      </c>
      <c r="Z110" s="258" t="s">
        <v>732</v>
      </c>
      <c r="AA110" s="257" t="s">
        <v>241</v>
      </c>
      <c r="AB110" s="257" t="s">
        <v>244</v>
      </c>
      <c r="AC110" s="257" t="s">
        <v>244</v>
      </c>
      <c r="AD110" s="259" t="s">
        <v>560</v>
      </c>
      <c r="AE110" s="260" t="s">
        <v>702</v>
      </c>
    </row>
    <row r="111" spans="1:31" ht="98.1" hidden="1" customHeight="1" thickBot="1">
      <c r="A111" s="249" t="s">
        <v>726</v>
      </c>
      <c r="B111" s="250" t="s">
        <v>475</v>
      </c>
      <c r="C111" s="251" t="s">
        <v>144</v>
      </c>
      <c r="D111" s="252" t="s">
        <v>476</v>
      </c>
      <c r="E111" s="291">
        <v>44531</v>
      </c>
      <c r="F111" s="253"/>
      <c r="G111" s="253"/>
      <c r="H111" s="254" t="s">
        <v>69</v>
      </c>
      <c r="I111" s="255"/>
      <c r="J111" s="229"/>
      <c r="K111" s="230"/>
      <c r="L111" s="229"/>
      <c r="M111" s="254" t="s">
        <v>69</v>
      </c>
      <c r="N111" s="255"/>
      <c r="O111" s="321" t="s">
        <v>995</v>
      </c>
      <c r="P111" s="321"/>
      <c r="Q111" s="322"/>
      <c r="R111" s="254" t="s">
        <v>56</v>
      </c>
      <c r="S111" s="255"/>
      <c r="T111" s="328"/>
      <c r="U111" s="329"/>
      <c r="V111" s="327" t="s">
        <v>56</v>
      </c>
      <c r="W111" s="286"/>
      <c r="X111" s="265">
        <v>3</v>
      </c>
      <c r="Y111" s="257" t="s">
        <v>28</v>
      </c>
      <c r="Z111" s="258" t="s">
        <v>732</v>
      </c>
      <c r="AA111" s="257" t="s">
        <v>241</v>
      </c>
      <c r="AB111" s="257" t="s">
        <v>244</v>
      </c>
      <c r="AC111" s="257" t="s">
        <v>244</v>
      </c>
      <c r="AD111" s="259" t="s">
        <v>561</v>
      </c>
      <c r="AE111" s="260" t="s">
        <v>703</v>
      </c>
    </row>
    <row r="112" spans="1:31" ht="98.1" hidden="1" customHeight="1" thickBot="1">
      <c r="A112" s="249" t="s">
        <v>726</v>
      </c>
      <c r="B112" s="250" t="s">
        <v>477</v>
      </c>
      <c r="C112" s="251" t="s">
        <v>144</v>
      </c>
      <c r="D112" s="252" t="s">
        <v>478</v>
      </c>
      <c r="E112" s="291">
        <v>44440</v>
      </c>
      <c r="F112" s="253" t="s">
        <v>805</v>
      </c>
      <c r="G112" s="253"/>
      <c r="H112" s="254" t="s">
        <v>69</v>
      </c>
      <c r="I112" s="255"/>
      <c r="J112" s="229" t="s">
        <v>869</v>
      </c>
      <c r="K112" s="230"/>
      <c r="L112" s="229"/>
      <c r="M112" s="254" t="s">
        <v>56</v>
      </c>
      <c r="N112" s="255"/>
      <c r="O112" s="321" t="s">
        <v>1052</v>
      </c>
      <c r="P112" s="321"/>
      <c r="Q112" s="322"/>
      <c r="R112" s="254" t="s">
        <v>56</v>
      </c>
      <c r="S112" s="255"/>
      <c r="T112" s="328"/>
      <c r="U112" s="329"/>
      <c r="V112" s="327" t="s">
        <v>56</v>
      </c>
      <c r="W112" s="286"/>
      <c r="X112" s="265">
        <v>2</v>
      </c>
      <c r="Y112" s="257" t="s">
        <v>28</v>
      </c>
      <c r="Z112" s="258" t="s">
        <v>732</v>
      </c>
      <c r="AA112" s="257" t="s">
        <v>241</v>
      </c>
      <c r="AB112" s="257" t="s">
        <v>244</v>
      </c>
      <c r="AC112" s="257" t="s">
        <v>244</v>
      </c>
      <c r="AD112" s="259" t="s">
        <v>562</v>
      </c>
      <c r="AE112" s="260" t="s">
        <v>704</v>
      </c>
    </row>
    <row r="113" spans="1:31" ht="98.1" hidden="1" customHeight="1" thickBot="1">
      <c r="A113" s="249" t="s">
        <v>42</v>
      </c>
      <c r="B113" s="250" t="s">
        <v>479</v>
      </c>
      <c r="C113" s="251" t="s">
        <v>422</v>
      </c>
      <c r="D113" s="252" t="s">
        <v>480</v>
      </c>
      <c r="E113" s="291">
        <v>44409</v>
      </c>
      <c r="F113" s="253" t="s">
        <v>777</v>
      </c>
      <c r="G113" s="253"/>
      <c r="H113" s="254" t="s">
        <v>63</v>
      </c>
      <c r="I113" s="255" t="s">
        <v>843</v>
      </c>
      <c r="J113" s="230" t="s">
        <v>845</v>
      </c>
      <c r="K113" s="230"/>
      <c r="L113" s="229"/>
      <c r="M113" s="254" t="s">
        <v>63</v>
      </c>
      <c r="N113" s="255"/>
      <c r="O113" s="230" t="s">
        <v>845</v>
      </c>
      <c r="P113" s="321"/>
      <c r="Q113" s="322"/>
      <c r="R113" s="254" t="s">
        <v>63</v>
      </c>
      <c r="S113" s="255"/>
      <c r="T113" s="328"/>
      <c r="U113" s="329"/>
      <c r="V113" s="327" t="s">
        <v>63</v>
      </c>
      <c r="W113" s="286"/>
      <c r="X113" s="265">
        <v>2</v>
      </c>
      <c r="Y113" s="257" t="s">
        <v>28</v>
      </c>
      <c r="Z113" s="258" t="s">
        <v>578</v>
      </c>
      <c r="AA113" s="257" t="s">
        <v>241</v>
      </c>
      <c r="AB113" s="257" t="s">
        <v>244</v>
      </c>
      <c r="AC113" s="257" t="s">
        <v>244</v>
      </c>
      <c r="AD113" s="259" t="s">
        <v>563</v>
      </c>
      <c r="AE113" s="260" t="s">
        <v>705</v>
      </c>
    </row>
    <row r="114" spans="1:31" ht="98.1" hidden="1" customHeight="1" thickBot="1">
      <c r="A114" s="249" t="s">
        <v>42</v>
      </c>
      <c r="B114" s="250" t="s">
        <v>481</v>
      </c>
      <c r="C114" s="251" t="s">
        <v>482</v>
      </c>
      <c r="D114" s="252" t="s">
        <v>483</v>
      </c>
      <c r="E114" s="291">
        <v>44562</v>
      </c>
      <c r="F114" s="253" t="s">
        <v>778</v>
      </c>
      <c r="G114" s="253"/>
      <c r="H114" s="254" t="s">
        <v>65</v>
      </c>
      <c r="I114" s="255"/>
      <c r="J114" s="267" t="s">
        <v>897</v>
      </c>
      <c r="K114" s="230"/>
      <c r="L114" s="229"/>
      <c r="M114" s="254" t="s">
        <v>65</v>
      </c>
      <c r="N114" s="255"/>
      <c r="O114" s="321" t="s">
        <v>970</v>
      </c>
      <c r="P114" s="321"/>
      <c r="Q114" s="322"/>
      <c r="R114" s="254" t="s">
        <v>56</v>
      </c>
      <c r="S114" s="255"/>
      <c r="T114" s="321" t="s">
        <v>970</v>
      </c>
      <c r="U114" s="329"/>
      <c r="V114" s="327" t="s">
        <v>56</v>
      </c>
      <c r="W114" s="286"/>
      <c r="X114" s="256">
        <v>4</v>
      </c>
      <c r="Y114" s="257" t="s">
        <v>28</v>
      </c>
      <c r="Z114" s="258" t="s">
        <v>578</v>
      </c>
      <c r="AA114" s="257" t="s">
        <v>241</v>
      </c>
      <c r="AB114" s="257" t="s">
        <v>244</v>
      </c>
      <c r="AC114" s="257" t="s">
        <v>244</v>
      </c>
      <c r="AD114" s="259" t="s">
        <v>564</v>
      </c>
      <c r="AE114" s="260" t="s">
        <v>706</v>
      </c>
    </row>
    <row r="115" spans="1:31" ht="98.1" hidden="1" customHeight="1" thickBot="1">
      <c r="A115" s="249" t="s">
        <v>43</v>
      </c>
      <c r="B115" s="250" t="s">
        <v>484</v>
      </c>
      <c r="C115" s="251" t="s">
        <v>485</v>
      </c>
      <c r="D115" s="252" t="s">
        <v>744</v>
      </c>
      <c r="E115" s="291"/>
      <c r="F115" s="253" t="s">
        <v>763</v>
      </c>
      <c r="G115" s="253"/>
      <c r="H115" s="254" t="s">
        <v>69</v>
      </c>
      <c r="I115" s="255"/>
      <c r="J115" s="230" t="s">
        <v>854</v>
      </c>
      <c r="K115" s="230"/>
      <c r="L115" s="229"/>
      <c r="M115" s="254" t="s">
        <v>65</v>
      </c>
      <c r="N115" s="255"/>
      <c r="O115" s="321" t="s">
        <v>954</v>
      </c>
      <c r="P115" s="321"/>
      <c r="Q115" s="322"/>
      <c r="R115" s="254" t="s">
        <v>65</v>
      </c>
      <c r="S115" s="255"/>
      <c r="T115" s="328" t="s">
        <v>1080</v>
      </c>
      <c r="U115" s="329" t="s">
        <v>1081</v>
      </c>
      <c r="V115" s="327" t="s">
        <v>56</v>
      </c>
      <c r="W115" s="286"/>
      <c r="X115" s="256"/>
      <c r="Y115" s="257" t="s">
        <v>26</v>
      </c>
      <c r="Z115" s="258" t="s">
        <v>23</v>
      </c>
      <c r="AA115" s="257" t="s">
        <v>241</v>
      </c>
      <c r="AB115" s="257" t="s">
        <v>79</v>
      </c>
      <c r="AC115" s="257" t="s">
        <v>79</v>
      </c>
      <c r="AD115" s="259" t="s">
        <v>197</v>
      </c>
      <c r="AE115" s="260" t="s">
        <v>707</v>
      </c>
    </row>
    <row r="116" spans="1:31" ht="128.4" hidden="1" customHeight="1" thickBot="1">
      <c r="A116" s="249" t="s">
        <v>43</v>
      </c>
      <c r="B116" s="250" t="s">
        <v>486</v>
      </c>
      <c r="C116" s="251" t="s">
        <v>487</v>
      </c>
      <c r="D116" s="252" t="s">
        <v>745</v>
      </c>
      <c r="E116" s="291"/>
      <c r="F116" s="253" t="s">
        <v>789</v>
      </c>
      <c r="G116" s="253">
        <v>44</v>
      </c>
      <c r="H116" s="254" t="s">
        <v>65</v>
      </c>
      <c r="I116" s="255"/>
      <c r="J116" s="230" t="s">
        <v>873</v>
      </c>
      <c r="K116" s="230" t="s">
        <v>876</v>
      </c>
      <c r="L116" s="311">
        <v>0.44</v>
      </c>
      <c r="M116" s="254" t="s">
        <v>65</v>
      </c>
      <c r="N116" s="255"/>
      <c r="O116" s="321" t="s">
        <v>962</v>
      </c>
      <c r="P116" s="321" t="s">
        <v>964</v>
      </c>
      <c r="Q116" s="322" t="s">
        <v>966</v>
      </c>
      <c r="R116" s="254" t="s">
        <v>65</v>
      </c>
      <c r="S116" s="255"/>
      <c r="T116" s="328" t="s">
        <v>1153</v>
      </c>
      <c r="U116" s="329" t="s">
        <v>1089</v>
      </c>
      <c r="V116" s="327" t="s">
        <v>60</v>
      </c>
      <c r="W116" s="286" t="s">
        <v>1127</v>
      </c>
      <c r="X116" s="256"/>
      <c r="Y116" s="257" t="s">
        <v>26</v>
      </c>
      <c r="Z116" s="258" t="s">
        <v>23</v>
      </c>
      <c r="AA116" s="257" t="s">
        <v>241</v>
      </c>
      <c r="AB116" s="257" t="s">
        <v>79</v>
      </c>
      <c r="AC116" s="257" t="s">
        <v>79</v>
      </c>
      <c r="AD116" s="259" t="s">
        <v>198</v>
      </c>
      <c r="AE116" s="260" t="s">
        <v>708</v>
      </c>
    </row>
    <row r="117" spans="1:31" ht="123.6" hidden="1" customHeight="1" thickBot="1">
      <c r="A117" s="249" t="s">
        <v>43</v>
      </c>
      <c r="B117" s="250" t="s">
        <v>488</v>
      </c>
      <c r="C117" s="251" t="s">
        <v>489</v>
      </c>
      <c r="D117" s="252" t="s">
        <v>746</v>
      </c>
      <c r="E117" s="291"/>
      <c r="F117" s="253" t="s">
        <v>790</v>
      </c>
      <c r="G117" s="253" t="s">
        <v>791</v>
      </c>
      <c r="H117" s="254" t="s">
        <v>65</v>
      </c>
      <c r="I117" s="255"/>
      <c r="J117" s="230" t="s">
        <v>874</v>
      </c>
      <c r="K117" s="230" t="s">
        <v>875</v>
      </c>
      <c r="L117" s="229" t="s">
        <v>791</v>
      </c>
      <c r="M117" s="254" t="s">
        <v>65</v>
      </c>
      <c r="N117" s="255"/>
      <c r="O117" s="321" t="s">
        <v>963</v>
      </c>
      <c r="P117" s="321" t="s">
        <v>965</v>
      </c>
      <c r="Q117" s="322" t="s">
        <v>967</v>
      </c>
      <c r="R117" s="254" t="s">
        <v>65</v>
      </c>
      <c r="S117" s="255"/>
      <c r="T117" s="328" t="s">
        <v>1154</v>
      </c>
      <c r="U117" s="328" t="s">
        <v>1084</v>
      </c>
      <c r="V117" s="327" t="s">
        <v>60</v>
      </c>
      <c r="W117" s="286" t="s">
        <v>1127</v>
      </c>
      <c r="X117" s="256"/>
      <c r="Y117" s="257" t="s">
        <v>26</v>
      </c>
      <c r="Z117" s="258" t="s">
        <v>23</v>
      </c>
      <c r="AA117" s="257" t="s">
        <v>241</v>
      </c>
      <c r="AB117" s="257" t="s">
        <v>79</v>
      </c>
      <c r="AC117" s="257" t="s">
        <v>79</v>
      </c>
      <c r="AD117" s="259" t="s">
        <v>199</v>
      </c>
      <c r="AE117" s="260" t="s">
        <v>709</v>
      </c>
    </row>
    <row r="118" spans="1:31" ht="98.1" hidden="1" customHeight="1" thickBot="1">
      <c r="A118" s="249" t="s">
        <v>43</v>
      </c>
      <c r="B118" s="250" t="s">
        <v>490</v>
      </c>
      <c r="C118" s="251" t="s">
        <v>9</v>
      </c>
      <c r="D118" s="252" t="s">
        <v>491</v>
      </c>
      <c r="E118" s="291">
        <v>44621</v>
      </c>
      <c r="F118" s="253">
        <v>0.99970000000000003</v>
      </c>
      <c r="G118" s="253"/>
      <c r="H118" s="254" t="s">
        <v>65</v>
      </c>
      <c r="I118" s="255"/>
      <c r="J118" s="346">
        <v>0.99970000000000003</v>
      </c>
      <c r="K118" s="230"/>
      <c r="L118" s="229"/>
      <c r="M118" s="254" t="s">
        <v>65</v>
      </c>
      <c r="N118" s="255"/>
      <c r="O118" s="321" t="s">
        <v>955</v>
      </c>
      <c r="P118" s="321"/>
      <c r="Q118" s="322"/>
      <c r="R118" s="254" t="s">
        <v>65</v>
      </c>
      <c r="S118" s="255"/>
      <c r="T118" s="333">
        <v>0.99973999999999996</v>
      </c>
      <c r="U118" s="328"/>
      <c r="V118" s="327" t="s">
        <v>56</v>
      </c>
      <c r="W118" s="328"/>
      <c r="X118" s="256">
        <v>4</v>
      </c>
      <c r="Y118" s="257" t="s">
        <v>26</v>
      </c>
      <c r="Z118" s="258" t="s">
        <v>23</v>
      </c>
      <c r="AA118" s="257" t="s">
        <v>241</v>
      </c>
      <c r="AB118" s="257" t="s">
        <v>79</v>
      </c>
      <c r="AC118" s="257" t="s">
        <v>79</v>
      </c>
      <c r="AD118" s="259" t="s">
        <v>200</v>
      </c>
      <c r="AE118" s="260" t="s">
        <v>710</v>
      </c>
    </row>
    <row r="119" spans="1:31" ht="98.1" hidden="1" customHeight="1" thickBot="1">
      <c r="A119" s="249" t="s">
        <v>725</v>
      </c>
      <c r="B119" s="250" t="s">
        <v>492</v>
      </c>
      <c r="C119" s="251" t="s">
        <v>493</v>
      </c>
      <c r="D119" s="252" t="s">
        <v>494</v>
      </c>
      <c r="E119" s="291">
        <v>44531</v>
      </c>
      <c r="F119" s="253" t="s">
        <v>798</v>
      </c>
      <c r="G119" s="253"/>
      <c r="H119" s="254" t="s">
        <v>69</v>
      </c>
      <c r="I119" s="255"/>
      <c r="J119" s="230" t="s">
        <v>859</v>
      </c>
      <c r="K119" s="230"/>
      <c r="L119" s="229"/>
      <c r="M119" s="254" t="s">
        <v>69</v>
      </c>
      <c r="N119" s="255"/>
      <c r="O119" s="321" t="s">
        <v>974</v>
      </c>
      <c r="P119" s="321"/>
      <c r="Q119" s="322"/>
      <c r="R119" s="254" t="s">
        <v>56</v>
      </c>
      <c r="S119" s="255"/>
      <c r="T119" s="328" t="s">
        <v>1091</v>
      </c>
      <c r="U119" s="329"/>
      <c r="V119" s="327" t="s">
        <v>56</v>
      </c>
      <c r="W119" s="286"/>
      <c r="X119" s="256">
        <v>3</v>
      </c>
      <c r="Y119" s="257" t="s">
        <v>26</v>
      </c>
      <c r="Z119" s="258" t="s">
        <v>724</v>
      </c>
      <c r="AA119" s="257" t="s">
        <v>241</v>
      </c>
      <c r="AB119" s="257" t="s">
        <v>79</v>
      </c>
      <c r="AC119" s="257" t="s">
        <v>79</v>
      </c>
      <c r="AD119" s="259" t="s">
        <v>565</v>
      </c>
      <c r="AE119" s="260" t="s">
        <v>711</v>
      </c>
    </row>
    <row r="120" spans="1:31" ht="98.1" hidden="1" customHeight="1" thickBot="1">
      <c r="A120" s="249" t="s">
        <v>725</v>
      </c>
      <c r="B120" s="250" t="s">
        <v>495</v>
      </c>
      <c r="C120" s="251" t="s">
        <v>496</v>
      </c>
      <c r="D120" s="252" t="s">
        <v>497</v>
      </c>
      <c r="E120" s="291">
        <v>44531</v>
      </c>
      <c r="F120" s="253" t="s">
        <v>799</v>
      </c>
      <c r="G120" s="253"/>
      <c r="H120" s="254" t="s">
        <v>65</v>
      </c>
      <c r="I120" s="255"/>
      <c r="J120" s="230" t="s">
        <v>860</v>
      </c>
      <c r="K120" s="230"/>
      <c r="L120" s="229"/>
      <c r="M120" s="254" t="s">
        <v>65</v>
      </c>
      <c r="N120" s="255"/>
      <c r="O120" s="321" t="s">
        <v>975</v>
      </c>
      <c r="P120" s="321"/>
      <c r="Q120" s="322"/>
      <c r="R120" s="254" t="s">
        <v>56</v>
      </c>
      <c r="S120" s="255"/>
      <c r="T120" s="328" t="s">
        <v>1091</v>
      </c>
      <c r="U120" s="329"/>
      <c r="V120" s="327" t="s">
        <v>56</v>
      </c>
      <c r="W120" s="286"/>
      <c r="X120" s="256">
        <v>3</v>
      </c>
      <c r="Y120" s="257" t="s">
        <v>26</v>
      </c>
      <c r="Z120" s="258" t="s">
        <v>724</v>
      </c>
      <c r="AA120" s="257" t="s">
        <v>241</v>
      </c>
      <c r="AB120" s="257" t="s">
        <v>79</v>
      </c>
      <c r="AC120" s="257" t="s">
        <v>79</v>
      </c>
      <c r="AD120" s="259" t="s">
        <v>566</v>
      </c>
      <c r="AE120" s="260" t="s">
        <v>712</v>
      </c>
    </row>
    <row r="121" spans="1:31" ht="98.1" hidden="1" customHeight="1" thickBot="1">
      <c r="A121" s="249" t="s">
        <v>725</v>
      </c>
      <c r="B121" s="250" t="s">
        <v>498</v>
      </c>
      <c r="C121" s="251" t="s">
        <v>499</v>
      </c>
      <c r="D121" s="252" t="s">
        <v>500</v>
      </c>
      <c r="E121" s="291">
        <v>44621</v>
      </c>
      <c r="F121" s="253" t="s">
        <v>921</v>
      </c>
      <c r="G121" s="253"/>
      <c r="H121" s="254" t="s">
        <v>65</v>
      </c>
      <c r="I121" s="255"/>
      <c r="J121" s="230" t="s">
        <v>861</v>
      </c>
      <c r="K121" s="230"/>
      <c r="L121" s="229"/>
      <c r="M121" s="254" t="s">
        <v>65</v>
      </c>
      <c r="N121" s="255"/>
      <c r="O121" s="321" t="s">
        <v>976</v>
      </c>
      <c r="P121" s="321"/>
      <c r="Q121" s="322"/>
      <c r="R121" s="254" t="s">
        <v>65</v>
      </c>
      <c r="S121" s="255"/>
      <c r="T121" s="328" t="s">
        <v>1111</v>
      </c>
      <c r="U121" s="329"/>
      <c r="V121" s="327" t="s">
        <v>56</v>
      </c>
      <c r="W121" s="286"/>
      <c r="X121" s="256">
        <v>4</v>
      </c>
      <c r="Y121" s="257" t="s">
        <v>26</v>
      </c>
      <c r="Z121" s="258" t="s">
        <v>724</v>
      </c>
      <c r="AA121" s="257" t="s">
        <v>241</v>
      </c>
      <c r="AB121" s="257" t="s">
        <v>79</v>
      </c>
      <c r="AC121" s="257" t="s">
        <v>79</v>
      </c>
      <c r="AD121" s="259" t="s">
        <v>567</v>
      </c>
      <c r="AE121" s="260" t="s">
        <v>713</v>
      </c>
    </row>
    <row r="122" spans="1:31" ht="98.1" hidden="1" customHeight="1" thickBot="1">
      <c r="A122" s="249" t="s">
        <v>725</v>
      </c>
      <c r="B122" s="250" t="s">
        <v>501</v>
      </c>
      <c r="C122" s="251" t="s">
        <v>20</v>
      </c>
      <c r="D122" s="252" t="s">
        <v>143</v>
      </c>
      <c r="E122" s="291"/>
      <c r="F122" s="253" t="s">
        <v>922</v>
      </c>
      <c r="G122" s="253" t="s">
        <v>807</v>
      </c>
      <c r="H122" s="254" t="s">
        <v>65</v>
      </c>
      <c r="I122" s="255"/>
      <c r="J122" s="230" t="s">
        <v>862</v>
      </c>
      <c r="K122" s="230" t="s">
        <v>863</v>
      </c>
      <c r="L122" s="229" t="s">
        <v>863</v>
      </c>
      <c r="M122" s="254" t="s">
        <v>65</v>
      </c>
      <c r="N122" s="255"/>
      <c r="O122" s="321" t="s">
        <v>977</v>
      </c>
      <c r="P122" s="321" t="s">
        <v>978</v>
      </c>
      <c r="Q122" s="322" t="s">
        <v>863</v>
      </c>
      <c r="R122" s="254" t="s">
        <v>65</v>
      </c>
      <c r="S122" s="255"/>
      <c r="T122" s="328" t="s">
        <v>1094</v>
      </c>
      <c r="U122" s="329" t="s">
        <v>1095</v>
      </c>
      <c r="V122" s="327" t="s">
        <v>56</v>
      </c>
      <c r="W122" s="286"/>
      <c r="X122" s="256"/>
      <c r="Y122" s="257" t="s">
        <v>26</v>
      </c>
      <c r="Z122" s="258" t="s">
        <v>724</v>
      </c>
      <c r="AA122" s="257" t="s">
        <v>241</v>
      </c>
      <c r="AB122" s="257" t="s">
        <v>79</v>
      </c>
      <c r="AC122" s="257" t="s">
        <v>79</v>
      </c>
      <c r="AD122" s="259" t="s">
        <v>568</v>
      </c>
      <c r="AE122" s="260" t="s">
        <v>714</v>
      </c>
    </row>
    <row r="123" spans="1:31" ht="98.1" hidden="1" customHeight="1" thickBot="1">
      <c r="A123" s="249" t="s">
        <v>725</v>
      </c>
      <c r="B123" s="250" t="s">
        <v>502</v>
      </c>
      <c r="C123" s="273" t="s">
        <v>21</v>
      </c>
      <c r="D123" s="274" t="s">
        <v>503</v>
      </c>
      <c r="E123" s="291"/>
      <c r="F123" s="253" t="s">
        <v>923</v>
      </c>
      <c r="G123" s="253" t="s">
        <v>800</v>
      </c>
      <c r="H123" s="254" t="s">
        <v>65</v>
      </c>
      <c r="I123" s="255"/>
      <c r="J123" s="230" t="s">
        <v>888</v>
      </c>
      <c r="K123" s="230" t="s">
        <v>886</v>
      </c>
      <c r="L123" s="229" t="s">
        <v>887</v>
      </c>
      <c r="M123" s="254" t="s">
        <v>65</v>
      </c>
      <c r="N123" s="255"/>
      <c r="O123" s="321" t="s">
        <v>979</v>
      </c>
      <c r="P123" s="321" t="s">
        <v>980</v>
      </c>
      <c r="Q123" s="322" t="s">
        <v>981</v>
      </c>
      <c r="R123" s="254" t="s">
        <v>65</v>
      </c>
      <c r="S123" s="255"/>
      <c r="T123" s="328" t="s">
        <v>1092</v>
      </c>
      <c r="U123" s="337" t="s">
        <v>1093</v>
      </c>
      <c r="V123" s="327" t="s">
        <v>56</v>
      </c>
      <c r="W123" s="286"/>
      <c r="X123" s="256"/>
      <c r="Y123" s="257" t="s">
        <v>26</v>
      </c>
      <c r="Z123" s="258" t="s">
        <v>724</v>
      </c>
      <c r="AA123" s="257" t="s">
        <v>241</v>
      </c>
      <c r="AB123" s="257" t="s">
        <v>79</v>
      </c>
      <c r="AC123" s="257" t="s">
        <v>79</v>
      </c>
      <c r="AD123" s="275" t="s">
        <v>569</v>
      </c>
      <c r="AE123" s="260" t="s">
        <v>715</v>
      </c>
    </row>
    <row r="124" spans="1:31" ht="98.1" hidden="1" customHeight="1" thickBot="1">
      <c r="A124" s="249" t="s">
        <v>728</v>
      </c>
      <c r="B124" s="250" t="s">
        <v>504</v>
      </c>
      <c r="C124" s="251" t="s">
        <v>505</v>
      </c>
      <c r="D124" s="252" t="s">
        <v>506</v>
      </c>
      <c r="E124" s="291">
        <v>44593</v>
      </c>
      <c r="F124" s="253" t="s">
        <v>755</v>
      </c>
      <c r="G124" s="253"/>
      <c r="H124" s="254" t="s">
        <v>65</v>
      </c>
      <c r="I124" s="255"/>
      <c r="J124" s="230" t="s">
        <v>853</v>
      </c>
      <c r="K124" s="230"/>
      <c r="L124" s="229"/>
      <c r="M124" s="254" t="s">
        <v>65</v>
      </c>
      <c r="N124" s="255"/>
      <c r="O124" s="321" t="s">
        <v>1053</v>
      </c>
      <c r="P124" s="321"/>
      <c r="Q124" s="322"/>
      <c r="R124" s="254" t="s">
        <v>65</v>
      </c>
      <c r="S124" s="255"/>
      <c r="T124" s="328" t="s">
        <v>1078</v>
      </c>
      <c r="U124" s="329"/>
      <c r="V124" s="327" t="s">
        <v>56</v>
      </c>
      <c r="W124" s="286"/>
      <c r="X124" s="256">
        <v>4</v>
      </c>
      <c r="Y124" s="257" t="s">
        <v>28</v>
      </c>
      <c r="Z124" s="258" t="s">
        <v>729</v>
      </c>
      <c r="AA124" s="257" t="s">
        <v>241</v>
      </c>
      <c r="AB124" s="257" t="s">
        <v>245</v>
      </c>
      <c r="AC124" s="257" t="s">
        <v>245</v>
      </c>
      <c r="AD124" s="259" t="s">
        <v>570</v>
      </c>
      <c r="AE124" s="260" t="s">
        <v>716</v>
      </c>
    </row>
    <row r="125" spans="1:31" ht="98.1" hidden="1" customHeight="1" thickBot="1">
      <c r="A125" s="249" t="s">
        <v>728</v>
      </c>
      <c r="B125" s="250" t="s">
        <v>507</v>
      </c>
      <c r="C125" s="251" t="s">
        <v>146</v>
      </c>
      <c r="D125" s="252" t="s">
        <v>147</v>
      </c>
      <c r="E125" s="291">
        <v>44531</v>
      </c>
      <c r="F125" s="253" t="s">
        <v>756</v>
      </c>
      <c r="G125" s="253"/>
      <c r="H125" s="254" t="s">
        <v>65</v>
      </c>
      <c r="I125" s="255"/>
      <c r="J125" s="230" t="s">
        <v>753</v>
      </c>
      <c r="K125" s="230"/>
      <c r="L125" s="229"/>
      <c r="M125" s="254" t="s">
        <v>65</v>
      </c>
      <c r="N125" s="255"/>
      <c r="O125" s="321" t="s">
        <v>953</v>
      </c>
      <c r="P125" s="321"/>
      <c r="Q125" s="322"/>
      <c r="R125" s="254" t="s">
        <v>56</v>
      </c>
      <c r="S125" s="255"/>
      <c r="T125" s="328" t="s">
        <v>1079</v>
      </c>
      <c r="U125" s="329"/>
      <c r="V125" s="327" t="s">
        <v>56</v>
      </c>
      <c r="W125" s="286"/>
      <c r="X125" s="256">
        <v>3</v>
      </c>
      <c r="Y125" s="257" t="s">
        <v>28</v>
      </c>
      <c r="Z125" s="258" t="s">
        <v>729</v>
      </c>
      <c r="AA125" s="257" t="s">
        <v>241</v>
      </c>
      <c r="AB125" s="257" t="s">
        <v>245</v>
      </c>
      <c r="AC125" s="257" t="s">
        <v>245</v>
      </c>
      <c r="AD125" s="259" t="s">
        <v>571</v>
      </c>
      <c r="AE125" s="260" t="s">
        <v>717</v>
      </c>
    </row>
    <row r="126" spans="1:31" ht="135.75" hidden="1" customHeight="1" thickBot="1">
      <c r="A126" s="249" t="s">
        <v>728</v>
      </c>
      <c r="B126" s="250" t="s">
        <v>508</v>
      </c>
      <c r="C126" s="251" t="s">
        <v>509</v>
      </c>
      <c r="D126" s="252" t="s">
        <v>510</v>
      </c>
      <c r="E126" s="291">
        <v>44621</v>
      </c>
      <c r="F126" s="253" t="s">
        <v>832</v>
      </c>
      <c r="G126" s="253"/>
      <c r="H126" s="254" t="s">
        <v>65</v>
      </c>
      <c r="I126" s="255"/>
      <c r="J126" s="230" t="s">
        <v>1144</v>
      </c>
      <c r="K126" s="230"/>
      <c r="L126" s="229"/>
      <c r="M126" s="254" t="s">
        <v>65</v>
      </c>
      <c r="N126" s="255"/>
      <c r="O126" s="321" t="s">
        <v>1145</v>
      </c>
      <c r="P126" s="321"/>
      <c r="Q126" s="322"/>
      <c r="R126" s="254" t="s">
        <v>65</v>
      </c>
      <c r="S126" s="255"/>
      <c r="T126" s="328" t="s">
        <v>1146</v>
      </c>
      <c r="U126" s="329"/>
      <c r="V126" s="327" t="s">
        <v>56</v>
      </c>
      <c r="W126" s="286"/>
      <c r="X126" s="256">
        <v>4</v>
      </c>
      <c r="Y126" s="257" t="s">
        <v>28</v>
      </c>
      <c r="Z126" s="258" t="s">
        <v>729</v>
      </c>
      <c r="AA126" s="257" t="s">
        <v>241</v>
      </c>
      <c r="AB126" s="257" t="s">
        <v>245</v>
      </c>
      <c r="AC126" s="257" t="s">
        <v>245</v>
      </c>
      <c r="AD126" s="259" t="s">
        <v>572</v>
      </c>
      <c r="AE126" s="260" t="s">
        <v>718</v>
      </c>
    </row>
    <row r="127" spans="1:31" ht="98.1" hidden="1" customHeight="1" thickBot="1">
      <c r="A127" s="249" t="s">
        <v>726</v>
      </c>
      <c r="B127" s="250" t="s">
        <v>511</v>
      </c>
      <c r="C127" s="251" t="s">
        <v>410</v>
      </c>
      <c r="D127" s="252" t="s">
        <v>512</v>
      </c>
      <c r="E127" s="291">
        <v>44440</v>
      </c>
      <c r="F127" s="253" t="s">
        <v>806</v>
      </c>
      <c r="G127" s="253"/>
      <c r="H127" s="254" t="s">
        <v>65</v>
      </c>
      <c r="I127" s="255"/>
      <c r="J127" s="230" t="s">
        <v>870</v>
      </c>
      <c r="K127" s="230"/>
      <c r="L127" s="229"/>
      <c r="M127" s="254" t="s">
        <v>56</v>
      </c>
      <c r="N127" s="255"/>
      <c r="O127" s="321"/>
      <c r="P127" s="321"/>
      <c r="Q127" s="322"/>
      <c r="R127" s="254" t="s">
        <v>56</v>
      </c>
      <c r="S127" s="255"/>
      <c r="T127" s="328"/>
      <c r="U127" s="329"/>
      <c r="V127" s="327" t="s">
        <v>56</v>
      </c>
      <c r="W127" s="286"/>
      <c r="X127" s="256">
        <v>2</v>
      </c>
      <c r="Y127" s="257" t="s">
        <v>28</v>
      </c>
      <c r="Z127" s="258" t="s">
        <v>732</v>
      </c>
      <c r="AA127" s="257" t="s">
        <v>241</v>
      </c>
      <c r="AB127" s="257" t="s">
        <v>245</v>
      </c>
      <c r="AC127" s="257" t="s">
        <v>245</v>
      </c>
      <c r="AD127" s="259" t="s">
        <v>573</v>
      </c>
      <c r="AE127" s="260" t="s">
        <v>719</v>
      </c>
    </row>
    <row r="128" spans="1:31" ht="98.1" hidden="1" customHeight="1" thickBot="1">
      <c r="A128" s="249" t="s">
        <v>730</v>
      </c>
      <c r="B128" s="250" t="s">
        <v>513</v>
      </c>
      <c r="C128" s="251" t="s">
        <v>514</v>
      </c>
      <c r="D128" s="252" t="s">
        <v>515</v>
      </c>
      <c r="E128" s="291" t="s">
        <v>393</v>
      </c>
      <c r="F128" s="253" t="s">
        <v>819</v>
      </c>
      <c r="G128" s="253">
        <v>8</v>
      </c>
      <c r="H128" s="254" t="s">
        <v>65</v>
      </c>
      <c r="I128" s="255"/>
      <c r="J128" s="230" t="s">
        <v>924</v>
      </c>
      <c r="K128" s="230">
        <v>5</v>
      </c>
      <c r="L128" s="229">
        <v>8</v>
      </c>
      <c r="M128" s="254" t="s">
        <v>65</v>
      </c>
      <c r="N128" s="255"/>
      <c r="O128" s="321" t="s">
        <v>940</v>
      </c>
      <c r="P128" s="321" t="s">
        <v>941</v>
      </c>
      <c r="Q128" s="322" t="s">
        <v>942</v>
      </c>
      <c r="R128" s="254" t="s">
        <v>65</v>
      </c>
      <c r="S128" s="255"/>
      <c r="T128" s="328" t="s">
        <v>1147</v>
      </c>
      <c r="U128" s="337">
        <v>8</v>
      </c>
      <c r="V128" s="327" t="s">
        <v>56</v>
      </c>
      <c r="W128" s="286"/>
      <c r="X128" s="256">
        <v>4</v>
      </c>
      <c r="Y128" s="257" t="s">
        <v>28</v>
      </c>
      <c r="Z128" s="258" t="s">
        <v>731</v>
      </c>
      <c r="AA128" s="257" t="s">
        <v>241</v>
      </c>
      <c r="AB128" s="257" t="s">
        <v>245</v>
      </c>
      <c r="AC128" s="257" t="s">
        <v>245</v>
      </c>
      <c r="AD128" s="259" t="s">
        <v>574</v>
      </c>
      <c r="AE128" s="260" t="s">
        <v>720</v>
      </c>
    </row>
    <row r="129" spans="1:31" ht="98.1" hidden="1" customHeight="1" thickBot="1">
      <c r="A129" s="249" t="s">
        <v>730</v>
      </c>
      <c r="B129" s="250" t="s">
        <v>516</v>
      </c>
      <c r="C129" s="251" t="s">
        <v>514</v>
      </c>
      <c r="D129" s="252" t="s">
        <v>517</v>
      </c>
      <c r="E129" s="291" t="s">
        <v>393</v>
      </c>
      <c r="F129" s="253" t="s">
        <v>759</v>
      </c>
      <c r="G129" s="253"/>
      <c r="H129" s="254" t="s">
        <v>65</v>
      </c>
      <c r="I129" s="255"/>
      <c r="J129" s="230" t="s">
        <v>925</v>
      </c>
      <c r="K129" s="230"/>
      <c r="L129" s="229"/>
      <c r="M129" s="254" t="s">
        <v>65</v>
      </c>
      <c r="N129" s="255"/>
      <c r="O129" s="321" t="s">
        <v>1004</v>
      </c>
      <c r="P129" s="321"/>
      <c r="Q129" s="322"/>
      <c r="R129" s="254" t="s">
        <v>65</v>
      </c>
      <c r="S129" s="255"/>
      <c r="T129" s="328" t="s">
        <v>1148</v>
      </c>
      <c r="U129" s="329"/>
      <c r="V129" s="327" t="s">
        <v>56</v>
      </c>
      <c r="W129" s="286"/>
      <c r="X129" s="256">
        <v>4</v>
      </c>
      <c r="Y129" s="257" t="s">
        <v>28</v>
      </c>
      <c r="Z129" s="258" t="s">
        <v>731</v>
      </c>
      <c r="AA129" s="257" t="s">
        <v>241</v>
      </c>
      <c r="AB129" s="257" t="s">
        <v>245</v>
      </c>
      <c r="AC129" s="257" t="s">
        <v>245</v>
      </c>
      <c r="AD129" s="259" t="s">
        <v>575</v>
      </c>
      <c r="AE129" s="260" t="s">
        <v>721</v>
      </c>
    </row>
    <row r="130" spans="1:31" ht="98.1" hidden="1" customHeight="1" thickBot="1">
      <c r="A130" s="249" t="s">
        <v>730</v>
      </c>
      <c r="B130" s="250" t="s">
        <v>518</v>
      </c>
      <c r="C130" s="251" t="s">
        <v>514</v>
      </c>
      <c r="D130" s="252" t="s">
        <v>519</v>
      </c>
      <c r="E130" s="291">
        <v>44621</v>
      </c>
      <c r="F130" s="253" t="s">
        <v>820</v>
      </c>
      <c r="G130" s="253">
        <v>6</v>
      </c>
      <c r="H130" s="254" t="s">
        <v>65</v>
      </c>
      <c r="I130" s="255"/>
      <c r="J130" s="230" t="s">
        <v>900</v>
      </c>
      <c r="K130" s="230">
        <v>5</v>
      </c>
      <c r="L130" s="229">
        <v>6</v>
      </c>
      <c r="M130" s="254" t="s">
        <v>65</v>
      </c>
      <c r="N130" s="255"/>
      <c r="O130" s="321" t="s">
        <v>1005</v>
      </c>
      <c r="P130" s="321" t="s">
        <v>943</v>
      </c>
      <c r="Q130" s="322" t="s">
        <v>944</v>
      </c>
      <c r="R130" s="254" t="s">
        <v>65</v>
      </c>
      <c r="S130" s="255"/>
      <c r="T130" s="328" t="s">
        <v>1112</v>
      </c>
      <c r="U130" s="337">
        <v>6</v>
      </c>
      <c r="V130" s="327" t="s">
        <v>56</v>
      </c>
      <c r="W130" s="286"/>
      <c r="X130" s="256">
        <v>4</v>
      </c>
      <c r="Y130" s="257" t="s">
        <v>28</v>
      </c>
      <c r="Z130" s="258" t="s">
        <v>731</v>
      </c>
      <c r="AA130" s="257" t="s">
        <v>241</v>
      </c>
      <c r="AB130" s="257" t="s">
        <v>245</v>
      </c>
      <c r="AC130" s="257" t="s">
        <v>245</v>
      </c>
      <c r="AD130" s="259" t="s">
        <v>576</v>
      </c>
      <c r="AE130" s="260" t="s">
        <v>722</v>
      </c>
    </row>
    <row r="131" spans="1:31" ht="142.19999999999999" hidden="1" customHeight="1" thickBot="1">
      <c r="A131" s="249" t="s">
        <v>730</v>
      </c>
      <c r="B131" s="250" t="s">
        <v>520</v>
      </c>
      <c r="C131" s="251" t="s">
        <v>514</v>
      </c>
      <c r="D131" s="252" t="s">
        <v>521</v>
      </c>
      <c r="E131" s="291">
        <v>44621</v>
      </c>
      <c r="F131" s="253" t="s">
        <v>816</v>
      </c>
      <c r="G131" s="253"/>
      <c r="H131" s="254" t="s">
        <v>65</v>
      </c>
      <c r="I131" s="255"/>
      <c r="J131" s="230" t="s">
        <v>894</v>
      </c>
      <c r="K131" s="230"/>
      <c r="L131" s="229"/>
      <c r="M131" s="254" t="s">
        <v>65</v>
      </c>
      <c r="N131" s="255"/>
      <c r="O131" s="321" t="s">
        <v>1059</v>
      </c>
      <c r="P131" s="321"/>
      <c r="Q131" s="322"/>
      <c r="R131" s="254" t="s">
        <v>60</v>
      </c>
      <c r="S131" s="255"/>
      <c r="T131" s="328" t="s">
        <v>1067</v>
      </c>
      <c r="U131" s="329"/>
      <c r="V131" s="327" t="s">
        <v>64</v>
      </c>
      <c r="W131" s="286"/>
      <c r="X131" s="256">
        <v>4</v>
      </c>
      <c r="Y131" s="257" t="s">
        <v>28</v>
      </c>
      <c r="Z131" s="258" t="s">
        <v>731</v>
      </c>
      <c r="AA131" s="257" t="s">
        <v>241</v>
      </c>
      <c r="AB131" s="257" t="s">
        <v>245</v>
      </c>
      <c r="AC131" s="257" t="s">
        <v>245</v>
      </c>
      <c r="AD131" s="259" t="s">
        <v>577</v>
      </c>
      <c r="AE131" s="260" t="s">
        <v>723</v>
      </c>
    </row>
    <row r="150" spans="1:1">
      <c r="A150" s="278" t="s">
        <v>55</v>
      </c>
    </row>
    <row r="151" spans="1:1">
      <c r="A151" s="278" t="s">
        <v>56</v>
      </c>
    </row>
    <row r="152" spans="1:1">
      <c r="A152" s="278" t="s">
        <v>57</v>
      </c>
    </row>
    <row r="153" spans="1:1">
      <c r="A153" s="278" t="s">
        <v>58</v>
      </c>
    </row>
    <row r="154" spans="1:1">
      <c r="A154" s="278" t="s">
        <v>59</v>
      </c>
    </row>
    <row r="155" spans="1:1">
      <c r="A155" s="278" t="s">
        <v>60</v>
      </c>
    </row>
    <row r="156" spans="1:1">
      <c r="A156" s="278" t="s">
        <v>61</v>
      </c>
    </row>
    <row r="157" spans="1:1">
      <c r="A157" s="278" t="s">
        <v>62</v>
      </c>
    </row>
    <row r="158" spans="1:1">
      <c r="A158" s="278" t="s">
        <v>63</v>
      </c>
    </row>
    <row r="159" spans="1:1">
      <c r="A159" s="278" t="s">
        <v>64</v>
      </c>
    </row>
    <row r="160" spans="1:1">
      <c r="A160" s="280"/>
    </row>
    <row r="161" spans="1:1">
      <c r="A161" s="280"/>
    </row>
    <row r="162" spans="1:1">
      <c r="A162" s="280"/>
    </row>
    <row r="163" spans="1:1">
      <c r="A163" s="281"/>
    </row>
    <row r="164" spans="1:1">
      <c r="A164" s="281"/>
    </row>
    <row r="165" spans="1:1">
      <c r="A165" s="280"/>
    </row>
    <row r="166" spans="1:1">
      <c r="A166" s="280"/>
    </row>
    <row r="167" spans="1:1">
      <c r="A167" s="280"/>
    </row>
    <row r="168" spans="1:1">
      <c r="A168" s="282" t="s">
        <v>56</v>
      </c>
    </row>
    <row r="169" spans="1:1">
      <c r="A169" s="282" t="s">
        <v>65</v>
      </c>
    </row>
    <row r="170" spans="1:1">
      <c r="A170" s="282" t="s">
        <v>66</v>
      </c>
    </row>
    <row r="171" spans="1:1">
      <c r="A171" s="282" t="s">
        <v>60</v>
      </c>
    </row>
    <row r="172" spans="1:1">
      <c r="A172" s="282" t="s">
        <v>67</v>
      </c>
    </row>
    <row r="173" spans="1:1">
      <c r="A173" s="283" t="s">
        <v>64</v>
      </c>
    </row>
    <row r="174" spans="1:1">
      <c r="A174" s="282" t="s">
        <v>69</v>
      </c>
    </row>
    <row r="175" spans="1:1">
      <c r="A175" s="282" t="s">
        <v>68</v>
      </c>
    </row>
    <row r="176" spans="1:1">
      <c r="A176" s="284" t="s">
        <v>63</v>
      </c>
    </row>
  </sheetData>
  <sheetProtection selectLockedCells="1" autoFilter="0" pivotTables="0"/>
  <autoFilter ref="A2:AF131">
    <filterColumn colId="26">
      <filters>
        <filter val="Value for Money"/>
      </filters>
    </filterColumn>
  </autoFilter>
  <sortState ref="A3:AE131">
    <sortCondition ref="AE3:AE131"/>
  </sortState>
  <mergeCells count="4">
    <mergeCell ref="F1:I1"/>
    <mergeCell ref="J1:N1"/>
    <mergeCell ref="O1:S1"/>
    <mergeCell ref="T1:W1"/>
  </mergeCells>
  <conditionalFormatting sqref="H3:H131 M3:M131 R3:R103 R106:R131">
    <cfRule type="containsText" dxfId="4047" priority="1245" operator="containsText" text="Deferred">
      <formula>NOT(ISERROR(SEARCH("Deferred",H3)))</formula>
    </cfRule>
    <cfRule type="containsText" dxfId="4046" priority="1247" operator="containsText" text="Update Not Provided">
      <formula>NOT(ISERROR(SEARCH("Update Not Provided",H3)))</formula>
    </cfRule>
    <cfRule type="containsText" dxfId="4045" priority="1248" operator="containsText" text="Not Yet Due">
      <formula>NOT(ISERROR(SEARCH("Not Yet Due",H3)))</formula>
    </cfRule>
    <cfRule type="containsText" dxfId="4044" priority="1249" operator="containsText" text="Deleted">
      <formula>NOT(ISERROR(SEARCH("Deleted",H3)))</formula>
    </cfRule>
    <cfRule type="containsText" dxfId="4043" priority="1250" operator="containsText" text="Completed Behind Schedule">
      <formula>NOT(ISERROR(SEARCH("Completed Behind Schedule",H3)))</formula>
    </cfRule>
    <cfRule type="containsText" dxfId="4042" priority="1251" operator="containsText" text="Off Target">
      <formula>NOT(ISERROR(SEARCH("Off Target",H3)))</formula>
    </cfRule>
    <cfRule type="containsText" dxfId="4041" priority="1252" operator="containsText" text="In Danger of Falling Behind Target">
      <formula>NOT(ISERROR(SEARCH("In Danger of Falling Behind Target",H3)))</formula>
    </cfRule>
    <cfRule type="containsText" dxfId="4040" priority="1253" operator="containsText" text="Fully Achieved">
      <formula>NOT(ISERROR(SEARCH("Fully Achieved",H3)))</formula>
    </cfRule>
    <cfRule type="containsText" dxfId="4039" priority="1254" operator="containsText" text="On track to be achieved">
      <formula>NOT(ISERROR(SEARCH("On track to be achieved",H3)))</formula>
    </cfRule>
  </conditionalFormatting>
  <conditionalFormatting sqref="V3:V52 V55:V59 V62:V131">
    <cfRule type="containsText" dxfId="4038" priority="179" operator="containsText" text="Deleted">
      <formula>NOT(ISERROR(SEARCH("Deleted",V3)))</formula>
    </cfRule>
    <cfRule type="containsText" dxfId="4037" priority="180" operator="containsText" text="Deferred">
      <formula>NOT(ISERROR(SEARCH("Deferred",V3)))</formula>
    </cfRule>
    <cfRule type="containsText" dxfId="4036" priority="181" operator="containsText" text="Completion date within reasonable tolerance">
      <formula>NOT(ISERROR(SEARCH("Completion date within reasonable tolerance",V3)))</formula>
    </cfRule>
    <cfRule type="containsText" dxfId="4035" priority="182" operator="containsText" text="completed significantly after target deadline">
      <formula>NOT(ISERROR(SEARCH("completed significantly after target deadline",V3)))</formula>
    </cfRule>
    <cfRule type="containsText" dxfId="4034" priority="183" operator="containsText" text="Off target">
      <formula>NOT(ISERROR(SEARCH("Off target",V3)))</formula>
    </cfRule>
    <cfRule type="containsText" dxfId="4033" priority="184" operator="containsText" text="Target partially met">
      <formula>NOT(ISERROR(SEARCH("Target partially met",V3)))</formula>
    </cfRule>
    <cfRule type="containsText" dxfId="4032" priority="185" operator="containsText" text="Numerical outturn within 10% tolerance">
      <formula>NOT(ISERROR(SEARCH("Numerical outturn within 10% tolerance",V3)))</formula>
    </cfRule>
    <cfRule type="containsText" dxfId="4031" priority="186" operator="containsText" text="Numerical outturn within 5% Tolerance">
      <formula>NOT(ISERROR(SEARCH("Numerical outturn within 5% Tolerance",V3)))</formula>
    </cfRule>
    <cfRule type="containsText" dxfId="4030" priority="187" operator="containsText" text="Fully Achieved">
      <formula>NOT(ISERROR(SEARCH("Fully Achieved",V3)))</formula>
    </cfRule>
    <cfRule type="containsText" dxfId="4029" priority="188" operator="containsText" text="Update Not Provided">
      <formula>NOT(ISERROR(SEARCH("Update Not Provided",V3)))</formula>
    </cfRule>
    <cfRule type="containsText" dxfId="4028" priority="189" operator="containsText" text="Deferred">
      <formula>NOT(ISERROR(SEARCH("Deferred",V3)))</formula>
    </cfRule>
    <cfRule type="containsText" dxfId="4027" priority="190" operator="containsText" text="Update Not Provided">
      <formula>NOT(ISERROR(SEARCH("Update Not Provided",V3)))</formula>
    </cfRule>
    <cfRule type="containsText" dxfId="4026" priority="191" operator="containsText" text="Not Yet Due">
      <formula>NOT(ISERROR(SEARCH("Not Yet Due",V3)))</formula>
    </cfRule>
    <cfRule type="containsText" dxfId="4025" priority="192" operator="containsText" text="Deleted">
      <formula>NOT(ISERROR(SEARCH("Deleted",V3)))</formula>
    </cfRule>
    <cfRule type="containsText" dxfId="4024" priority="193" operator="containsText" text="Completed Behind Schedule">
      <formula>NOT(ISERROR(SEARCH("Completed Behind Schedule",V3)))</formula>
    </cfRule>
    <cfRule type="containsText" dxfId="4023" priority="194" operator="containsText" text="Off Target">
      <formula>NOT(ISERROR(SEARCH("Off Target",V3)))</formula>
    </cfRule>
    <cfRule type="containsText" dxfId="4022" priority="195" operator="containsText" text="In Danger of Falling Behind Target">
      <formula>NOT(ISERROR(SEARCH("In Danger of Falling Behind Target",V3)))</formula>
    </cfRule>
    <cfRule type="containsText" dxfId="4021" priority="196" operator="containsText" text="Fully Achieved">
      <formula>NOT(ISERROR(SEARCH("Fully Achieved",V3)))</formula>
    </cfRule>
    <cfRule type="containsText" dxfId="4020" priority="197" operator="containsText" text="On track to be achieved">
      <formula>NOT(ISERROR(SEARCH("On track to be achieved",V3)))</formula>
    </cfRule>
  </conditionalFormatting>
  <conditionalFormatting sqref="V60">
    <cfRule type="containsText" dxfId="4019" priority="151" operator="containsText" text="Deleted">
      <formula>NOT(ISERROR(SEARCH("Deleted",V60)))</formula>
    </cfRule>
    <cfRule type="containsText" dxfId="4018" priority="152" operator="containsText" text="Deferred">
      <formula>NOT(ISERROR(SEARCH("Deferred",V60)))</formula>
    </cfRule>
    <cfRule type="containsText" dxfId="4017" priority="153" operator="containsText" text="Completion date within reasonable tolerance">
      <formula>NOT(ISERROR(SEARCH("Completion date within reasonable tolerance",V60)))</formula>
    </cfRule>
    <cfRule type="containsText" dxfId="4016" priority="154" operator="containsText" text="completed significantly after target deadline">
      <formula>NOT(ISERROR(SEARCH("completed significantly after target deadline",V60)))</formula>
    </cfRule>
    <cfRule type="containsText" dxfId="4015" priority="155" operator="containsText" text="Off target">
      <formula>NOT(ISERROR(SEARCH("Off target",V60)))</formula>
    </cfRule>
    <cfRule type="containsText" dxfId="4014" priority="156" operator="containsText" text="Target partially met">
      <formula>NOT(ISERROR(SEARCH("Target partially met",V60)))</formula>
    </cfRule>
    <cfRule type="containsText" dxfId="4013" priority="157" operator="containsText" text="Numerical outturn within 10% tolerance">
      <formula>NOT(ISERROR(SEARCH("Numerical outturn within 10% tolerance",V60)))</formula>
    </cfRule>
    <cfRule type="containsText" dxfId="4012" priority="158" operator="containsText" text="Numerical outturn within 5% Tolerance">
      <formula>NOT(ISERROR(SEARCH("Numerical outturn within 5% Tolerance",V60)))</formula>
    </cfRule>
    <cfRule type="containsText" dxfId="4011" priority="159" operator="containsText" text="Fully Achieved">
      <formula>NOT(ISERROR(SEARCH("Fully Achieved",V60)))</formula>
    </cfRule>
    <cfRule type="containsText" dxfId="4010" priority="160" operator="containsText" text="Update Not Provided">
      <formula>NOT(ISERROR(SEARCH("Update Not Provided",V60)))</formula>
    </cfRule>
    <cfRule type="containsText" dxfId="4009" priority="161" operator="containsText" text="Deferred">
      <formula>NOT(ISERROR(SEARCH("Deferred",V60)))</formula>
    </cfRule>
    <cfRule type="containsText" dxfId="4008" priority="162" operator="containsText" text="Update Not Provided">
      <formula>NOT(ISERROR(SEARCH("Update Not Provided",V60)))</formula>
    </cfRule>
    <cfRule type="containsText" dxfId="4007" priority="163" operator="containsText" text="Not Yet Due">
      <formula>NOT(ISERROR(SEARCH("Not Yet Due",V60)))</formula>
    </cfRule>
    <cfRule type="containsText" dxfId="4006" priority="164" operator="containsText" text="Deleted">
      <formula>NOT(ISERROR(SEARCH("Deleted",V60)))</formula>
    </cfRule>
    <cfRule type="containsText" dxfId="4005" priority="165" operator="containsText" text="Completed Behind Schedule">
      <formula>NOT(ISERROR(SEARCH("Completed Behind Schedule",V60)))</formula>
    </cfRule>
    <cfRule type="containsText" dxfId="4004" priority="166" operator="containsText" text="Off Target">
      <formula>NOT(ISERROR(SEARCH("Off Target",V60)))</formula>
    </cfRule>
    <cfRule type="containsText" dxfId="4003" priority="167" operator="containsText" text="In Danger of Falling Behind Target">
      <formula>NOT(ISERROR(SEARCH("In Danger of Falling Behind Target",V60)))</formula>
    </cfRule>
    <cfRule type="containsText" dxfId="4002" priority="168" operator="containsText" text="Fully Achieved">
      <formula>NOT(ISERROR(SEARCH("Fully Achieved",V60)))</formula>
    </cfRule>
    <cfRule type="containsText" dxfId="4001" priority="169" operator="containsText" text="On track to be achieved">
      <formula>NOT(ISERROR(SEARCH("On track to be achieved",V60)))</formula>
    </cfRule>
  </conditionalFormatting>
  <conditionalFormatting sqref="R104:R105">
    <cfRule type="containsText" dxfId="4000" priority="58" operator="containsText" text="Deferred">
      <formula>NOT(ISERROR(SEARCH("Deferred",R104)))</formula>
    </cfRule>
    <cfRule type="containsText" dxfId="3999" priority="59" operator="containsText" text="Update Not Provided">
      <formula>NOT(ISERROR(SEARCH("Update Not Provided",R104)))</formula>
    </cfRule>
    <cfRule type="containsText" dxfId="3998" priority="60" operator="containsText" text="Not Yet Due">
      <formula>NOT(ISERROR(SEARCH("Not Yet Due",R104)))</formula>
    </cfRule>
    <cfRule type="containsText" dxfId="3997" priority="61" operator="containsText" text="Deleted">
      <formula>NOT(ISERROR(SEARCH("Deleted",R104)))</formula>
    </cfRule>
    <cfRule type="containsText" dxfId="3996" priority="62" operator="containsText" text="Completed Behind Schedule">
      <formula>NOT(ISERROR(SEARCH("Completed Behind Schedule",R104)))</formula>
    </cfRule>
    <cfRule type="containsText" dxfId="3995" priority="63" operator="containsText" text="Off Target">
      <formula>NOT(ISERROR(SEARCH("Off Target",R104)))</formula>
    </cfRule>
    <cfRule type="containsText" dxfId="3994" priority="64" operator="containsText" text="In Danger of Falling Behind Target">
      <formula>NOT(ISERROR(SEARCH("In Danger of Falling Behind Target",R104)))</formula>
    </cfRule>
    <cfRule type="containsText" dxfId="3993" priority="65" operator="containsText" text="Fully Achieved">
      <formula>NOT(ISERROR(SEARCH("Fully Achieved",R104)))</formula>
    </cfRule>
    <cfRule type="containsText" dxfId="3992" priority="66" operator="containsText" text="On track to be achieved">
      <formula>NOT(ISERROR(SEARCH("On track to be achieved",R104)))</formula>
    </cfRule>
  </conditionalFormatting>
  <conditionalFormatting sqref="V53">
    <cfRule type="containsText" dxfId="3991" priority="39" operator="containsText" text="Deleted">
      <formula>NOT(ISERROR(SEARCH("Deleted",V53)))</formula>
    </cfRule>
    <cfRule type="containsText" dxfId="3990" priority="40" operator="containsText" text="Deferred">
      <formula>NOT(ISERROR(SEARCH("Deferred",V53)))</formula>
    </cfRule>
    <cfRule type="containsText" dxfId="3989" priority="41" operator="containsText" text="Completion date within reasonable tolerance">
      <formula>NOT(ISERROR(SEARCH("Completion date within reasonable tolerance",V53)))</formula>
    </cfRule>
    <cfRule type="containsText" dxfId="3988" priority="42" operator="containsText" text="completed significantly after target deadline">
      <formula>NOT(ISERROR(SEARCH("completed significantly after target deadline",V53)))</formula>
    </cfRule>
    <cfRule type="containsText" dxfId="3987" priority="43" operator="containsText" text="Off target">
      <formula>NOT(ISERROR(SEARCH("Off target",V53)))</formula>
    </cfRule>
    <cfRule type="containsText" dxfId="3986" priority="44" operator="containsText" text="Target partially met">
      <formula>NOT(ISERROR(SEARCH("Target partially met",V53)))</formula>
    </cfRule>
    <cfRule type="containsText" dxfId="3985" priority="45" operator="containsText" text="Numerical outturn within 10% tolerance">
      <formula>NOT(ISERROR(SEARCH("Numerical outturn within 10% tolerance",V53)))</formula>
    </cfRule>
    <cfRule type="containsText" dxfId="3984" priority="46" operator="containsText" text="Numerical outturn within 5% Tolerance">
      <formula>NOT(ISERROR(SEARCH("Numerical outturn within 5% Tolerance",V53)))</formula>
    </cfRule>
    <cfRule type="containsText" dxfId="3983" priority="47" operator="containsText" text="Fully Achieved">
      <formula>NOT(ISERROR(SEARCH("Fully Achieved",V53)))</formula>
    </cfRule>
    <cfRule type="containsText" dxfId="3982" priority="48" operator="containsText" text="Update Not Provided">
      <formula>NOT(ISERROR(SEARCH("Update Not Provided",V53)))</formula>
    </cfRule>
    <cfRule type="containsText" dxfId="3981" priority="49" operator="containsText" text="Deferred">
      <formula>NOT(ISERROR(SEARCH("Deferred",V53)))</formula>
    </cfRule>
    <cfRule type="containsText" dxfId="3980" priority="50" operator="containsText" text="Update Not Provided">
      <formula>NOT(ISERROR(SEARCH("Update Not Provided",V53)))</formula>
    </cfRule>
    <cfRule type="containsText" dxfId="3979" priority="51" operator="containsText" text="Not Yet Due">
      <formula>NOT(ISERROR(SEARCH("Not Yet Due",V53)))</formula>
    </cfRule>
    <cfRule type="containsText" dxfId="3978" priority="52" operator="containsText" text="Deleted">
      <formula>NOT(ISERROR(SEARCH("Deleted",V53)))</formula>
    </cfRule>
    <cfRule type="containsText" dxfId="3977" priority="53" operator="containsText" text="Completed Behind Schedule">
      <formula>NOT(ISERROR(SEARCH("Completed Behind Schedule",V53)))</formula>
    </cfRule>
    <cfRule type="containsText" dxfId="3976" priority="54" operator="containsText" text="Off Target">
      <formula>NOT(ISERROR(SEARCH("Off Target",V53)))</formula>
    </cfRule>
    <cfRule type="containsText" dxfId="3975" priority="55" operator="containsText" text="In Danger of Falling Behind Target">
      <formula>NOT(ISERROR(SEARCH("In Danger of Falling Behind Target",V53)))</formula>
    </cfRule>
    <cfRule type="containsText" dxfId="3974" priority="56" operator="containsText" text="Fully Achieved">
      <formula>NOT(ISERROR(SEARCH("Fully Achieved",V53)))</formula>
    </cfRule>
    <cfRule type="containsText" dxfId="3973" priority="57" operator="containsText" text="On track to be achieved">
      <formula>NOT(ISERROR(SEARCH("On track to be achieved",V53)))</formula>
    </cfRule>
  </conditionalFormatting>
  <conditionalFormatting sqref="V54">
    <cfRule type="containsText" dxfId="3972" priority="20" operator="containsText" text="Deleted">
      <formula>NOT(ISERROR(SEARCH("Deleted",V54)))</formula>
    </cfRule>
    <cfRule type="containsText" dxfId="3971" priority="21" operator="containsText" text="Deferred">
      <formula>NOT(ISERROR(SEARCH("Deferred",V54)))</formula>
    </cfRule>
    <cfRule type="containsText" dxfId="3970" priority="22" operator="containsText" text="Completion date within reasonable tolerance">
      <formula>NOT(ISERROR(SEARCH("Completion date within reasonable tolerance",V54)))</formula>
    </cfRule>
    <cfRule type="containsText" dxfId="3969" priority="23" operator="containsText" text="completed significantly after target deadline">
      <formula>NOT(ISERROR(SEARCH("completed significantly after target deadline",V54)))</formula>
    </cfRule>
    <cfRule type="containsText" dxfId="3968" priority="24" operator="containsText" text="Off target">
      <formula>NOT(ISERROR(SEARCH("Off target",V54)))</formula>
    </cfRule>
    <cfRule type="containsText" dxfId="3967" priority="25" operator="containsText" text="Target partially met">
      <formula>NOT(ISERROR(SEARCH("Target partially met",V54)))</formula>
    </cfRule>
    <cfRule type="containsText" dxfId="3966" priority="26" operator="containsText" text="Numerical outturn within 10% tolerance">
      <formula>NOT(ISERROR(SEARCH("Numerical outturn within 10% tolerance",V54)))</formula>
    </cfRule>
    <cfRule type="containsText" dxfId="3965" priority="27" operator="containsText" text="Numerical outturn within 5% Tolerance">
      <formula>NOT(ISERROR(SEARCH("Numerical outturn within 5% Tolerance",V54)))</formula>
    </cfRule>
    <cfRule type="containsText" dxfId="3964" priority="28" operator="containsText" text="Fully Achieved">
      <formula>NOT(ISERROR(SEARCH("Fully Achieved",V54)))</formula>
    </cfRule>
    <cfRule type="containsText" dxfId="3963" priority="29" operator="containsText" text="Update Not Provided">
      <formula>NOT(ISERROR(SEARCH("Update Not Provided",V54)))</formula>
    </cfRule>
    <cfRule type="containsText" dxfId="3962" priority="30" operator="containsText" text="Deferred">
      <formula>NOT(ISERROR(SEARCH("Deferred",V54)))</formula>
    </cfRule>
    <cfRule type="containsText" dxfId="3961" priority="31" operator="containsText" text="Update Not Provided">
      <formula>NOT(ISERROR(SEARCH("Update Not Provided",V54)))</formula>
    </cfRule>
    <cfRule type="containsText" dxfId="3960" priority="32" operator="containsText" text="Not Yet Due">
      <formula>NOT(ISERROR(SEARCH("Not Yet Due",V54)))</formula>
    </cfRule>
    <cfRule type="containsText" dxfId="3959" priority="33" operator="containsText" text="Deleted">
      <formula>NOT(ISERROR(SEARCH("Deleted",V54)))</formula>
    </cfRule>
    <cfRule type="containsText" dxfId="3958" priority="34" operator="containsText" text="Completed Behind Schedule">
      <formula>NOT(ISERROR(SEARCH("Completed Behind Schedule",V54)))</formula>
    </cfRule>
    <cfRule type="containsText" dxfId="3957" priority="35" operator="containsText" text="Off Target">
      <formula>NOT(ISERROR(SEARCH("Off Target",V54)))</formula>
    </cfRule>
    <cfRule type="containsText" dxfId="3956" priority="36" operator="containsText" text="In Danger of Falling Behind Target">
      <formula>NOT(ISERROR(SEARCH("In Danger of Falling Behind Target",V54)))</formula>
    </cfRule>
    <cfRule type="containsText" dxfId="3955" priority="37" operator="containsText" text="Fully Achieved">
      <formula>NOT(ISERROR(SEARCH("Fully Achieved",V54)))</formula>
    </cfRule>
    <cfRule type="containsText" dxfId="3954" priority="38" operator="containsText" text="On track to be achieved">
      <formula>NOT(ISERROR(SEARCH("On track to be achieved",V54)))</formula>
    </cfRule>
  </conditionalFormatting>
  <conditionalFormatting sqref="V61">
    <cfRule type="containsText" dxfId="3953" priority="1" operator="containsText" text="Deleted">
      <formula>NOT(ISERROR(SEARCH("Deleted",V61)))</formula>
    </cfRule>
    <cfRule type="containsText" dxfId="3952" priority="2" operator="containsText" text="Deferred">
      <formula>NOT(ISERROR(SEARCH("Deferred",V61)))</formula>
    </cfRule>
    <cfRule type="containsText" dxfId="3951" priority="3" operator="containsText" text="Completion date within reasonable tolerance">
      <formula>NOT(ISERROR(SEARCH("Completion date within reasonable tolerance",V61)))</formula>
    </cfRule>
    <cfRule type="containsText" dxfId="3950" priority="4" operator="containsText" text="completed significantly after target deadline">
      <formula>NOT(ISERROR(SEARCH("completed significantly after target deadline",V61)))</formula>
    </cfRule>
    <cfRule type="containsText" dxfId="3949" priority="5" operator="containsText" text="Off target">
      <formula>NOT(ISERROR(SEARCH("Off target",V61)))</formula>
    </cfRule>
    <cfRule type="containsText" dxfId="3948" priority="6" operator="containsText" text="Target partially met">
      <formula>NOT(ISERROR(SEARCH("Target partially met",V61)))</formula>
    </cfRule>
    <cfRule type="containsText" dxfId="3947" priority="7" operator="containsText" text="Numerical outturn within 10% tolerance">
      <formula>NOT(ISERROR(SEARCH("Numerical outturn within 10% tolerance",V61)))</formula>
    </cfRule>
    <cfRule type="containsText" dxfId="3946" priority="8" operator="containsText" text="Numerical outturn within 5% Tolerance">
      <formula>NOT(ISERROR(SEARCH("Numerical outturn within 5% Tolerance",V61)))</formula>
    </cfRule>
    <cfRule type="containsText" dxfId="3945" priority="9" operator="containsText" text="Fully Achieved">
      <formula>NOT(ISERROR(SEARCH("Fully Achieved",V61)))</formula>
    </cfRule>
    <cfRule type="containsText" dxfId="3944" priority="10" operator="containsText" text="Update Not Provided">
      <formula>NOT(ISERROR(SEARCH("Update Not Provided",V61)))</formula>
    </cfRule>
    <cfRule type="containsText" dxfId="3943" priority="11" operator="containsText" text="Deferred">
      <formula>NOT(ISERROR(SEARCH("Deferred",V61)))</formula>
    </cfRule>
    <cfRule type="containsText" dxfId="3942" priority="12" operator="containsText" text="Update Not Provided">
      <formula>NOT(ISERROR(SEARCH("Update Not Provided",V61)))</formula>
    </cfRule>
    <cfRule type="containsText" dxfId="3941" priority="13" operator="containsText" text="Not Yet Due">
      <formula>NOT(ISERROR(SEARCH("Not Yet Due",V61)))</formula>
    </cfRule>
    <cfRule type="containsText" dxfId="3940" priority="14" operator="containsText" text="Deleted">
      <formula>NOT(ISERROR(SEARCH("Deleted",V61)))</formula>
    </cfRule>
    <cfRule type="containsText" dxfId="3939" priority="15" operator="containsText" text="Completed Behind Schedule">
      <formula>NOT(ISERROR(SEARCH("Completed Behind Schedule",V61)))</formula>
    </cfRule>
    <cfRule type="containsText" dxfId="3938" priority="16" operator="containsText" text="Off Target">
      <formula>NOT(ISERROR(SEARCH("Off Target",V61)))</formula>
    </cfRule>
    <cfRule type="containsText" dxfId="3937" priority="17" operator="containsText" text="In Danger of Falling Behind Target">
      <formula>NOT(ISERROR(SEARCH("In Danger of Falling Behind Target",V61)))</formula>
    </cfRule>
    <cfRule type="containsText" dxfId="3936" priority="18" operator="containsText" text="Fully Achieved">
      <formula>NOT(ISERROR(SEARCH("Fully Achieved",V61)))</formula>
    </cfRule>
    <cfRule type="containsText" dxfId="3935" priority="19" operator="containsText" text="On track to be achieved">
      <formula>NOT(ISERROR(SEARCH("On track to be achieved",V61)))</formula>
    </cfRule>
  </conditionalFormatting>
  <dataValidations xWindow="1719" yWindow="617"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 ref="T35" r:id="rId2"/>
  </hyperlinks>
  <pageMargins left="0.23622047244094491" right="0.23622047244094491" top="0.74803149606299213" bottom="0.74803149606299213" header="0.31496062992125984" footer="0.31496062992125984"/>
  <pageSetup paperSize="8" scale="5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t="str">
        <f>'1. All Data'!V3</f>
        <v>Fully Achieved</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t="str">
        <f>'1. All Data'!V4</f>
        <v>Fully Achieved</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t="str">
        <f>'1. All Data'!V5</f>
        <v>Fully Achieved</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t="str">
        <f>'1. All Data'!V6</f>
        <v>Fully Achieved</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t="str">
        <f>'1. All Data'!V7</f>
        <v>Fully Achieved</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t="str">
        <f>'1. All Data'!V8</f>
        <v>Fully Achieved</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t="str">
        <f>'1. All Data'!V9</f>
        <v>Fully Achieved</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t="str">
        <f>'1. All Data'!V10</f>
        <v>Fully Achieved</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t="str">
        <f>'1. All Data'!V11</f>
        <v>Fully Achieved</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t="str">
        <f>'1. All Data'!V12</f>
        <v>Fully Achieved</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t="str">
        <f>'1. All Data'!V13</f>
        <v>Fully Achieved</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t="str">
        <f>'1. All Data'!V14</f>
        <v>Fully Achieved</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t="str">
        <f>'1. All Data'!V15</f>
        <v>Fully Achieved</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t="str">
        <f>'1. All Data'!V16</f>
        <v>Fully Achieved</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t="str">
        <f>'1. All Data'!V17</f>
        <v>Fully Achieved</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t="str">
        <f>'1. All Data'!V18</f>
        <v>Fully Achieved</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t="str">
        <f>'1. All Data'!V19</f>
        <v>Fully Achieved</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t="str">
        <f>'1. All Data'!V20</f>
        <v>Fully Achieved</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t="str">
        <f>'1. All Data'!V21</f>
        <v>Fully Achieved</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t="str">
        <f>'1. All Data'!V22</f>
        <v>Fully Achieved</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t="str">
        <f>'1. All Data'!V23</f>
        <v>Deleted</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t="str">
        <f>'1. All Data'!V24</f>
        <v>Deleted</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t="str">
        <f>'1. All Data'!V25</f>
        <v>Off Target</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t="str">
        <f>'1. All Data'!V27</f>
        <v>Fully Achieved</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t="str">
        <f>'1. All Data'!V28</f>
        <v>Completion Date Within Reasonable Tolerance</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t="str">
        <f>'1. All Data'!V29</f>
        <v>Fully Achieved</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t="str">
        <f>'1. All Data'!V32</f>
        <v>Fully Achieved</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t="str">
        <f>'1. All Data'!V33</f>
        <v>Fully Achieved</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t="str">
        <f>'1. All Data'!V34</f>
        <v>Fully Achieved</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t="str">
        <f>'1. All Data'!V35</f>
        <v>Fully Achieved</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t="str">
        <f>'1. All Data'!V37</f>
        <v>Fully Achieved</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t="str">
        <f>'1. All Data'!V38</f>
        <v>Fully Achieved</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t="str">
        <f>'1. All Data'!V39</f>
        <v>Fully Achieved</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t="str">
        <f>'1. All Data'!V40</f>
        <v>Fully Achieved</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t="str">
        <f>'1. All Data'!V41</f>
        <v>Fully Achieved</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t="str">
        <f>'1. All Data'!V42</f>
        <v>Fully Achieved</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t="str">
        <f>'1. All Data'!V43</f>
        <v>Fully Achieved</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t="str">
        <f>'1. All Data'!V44</f>
        <v>Numerical Outturn Within 5% Tolerance</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t="str">
        <f>'1. All Data'!V49</f>
        <v>Numerical Outturn Within 5% Tolerance</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t="str">
        <f>'1. All Data'!V55</f>
        <v>Fully Achieved</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t="str">
        <f>'1. All Data'!V56</f>
        <v>Fully Achieved</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t="str">
        <f>'1. All Data'!V57</f>
        <v>Completed Significantly After Target Deadline</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t="str">
        <f>'1. All Data'!V58</f>
        <v>Fully Achieved</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t="str">
        <f>'1. All Data'!V63</f>
        <v>Fully Achieved</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t="str">
        <f>'1. All Data'!V64</f>
        <v>Fully Achieved</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t="str">
        <f>'1. All Data'!V66</f>
        <v>Fully Achieved</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t="str">
        <f>'1. All Data'!V67</f>
        <v>Target Partially Met</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t="str">
        <f>'1. All Data'!V69</f>
        <v>Fully Achieved</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t="str">
        <f>'1. All Data'!V71</f>
        <v>Deferred</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t="str">
        <f>'1. All Data'!V72</f>
        <v>Fully Achieved</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t="str">
        <f>'1. All Data'!V73</f>
        <v>Fully Achieved</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t="str">
        <f>'1. All Data'!V74</f>
        <v>Fully Achieved</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t="str">
        <f>'1. All Data'!V75</f>
        <v>Fully Achieved</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t="str">
        <f>'1. All Data'!V77</f>
        <v>Fully Achieved</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t="str">
        <f>'1. All Data'!V79</f>
        <v>Fully Achieved</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t="str">
        <f>'1. All Data'!V82</f>
        <v>Fully Achieved</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t="str">
        <f>'1. All Data'!V84</f>
        <v>Fully Achieved</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t="str">
        <f>'1. All Data'!V85</f>
        <v>Fully Achieved</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t="str">
        <f>'1. All Data'!V90</f>
        <v>Fully Achieved</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t="str">
        <f>'1. All Data'!V91</f>
        <v>Fully Achieved</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t="str">
        <f>'1. All Data'!V93</f>
        <v>Fully Achieved</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t="str">
        <f>'1. All Data'!V94</f>
        <v>Fully Achieved</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t="str">
        <f>'1. All Data'!V95</f>
        <v>Fully Achieved</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t="str">
        <f>'1. All Data'!V96</f>
        <v>Fully Achieved</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t="str">
        <f>'1. All Data'!V97</f>
        <v>Deferred</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t="str">
        <f>'1. All Data'!V98</f>
        <v>Fully Achieved</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t="str">
        <f>'1. All Data'!V99</f>
        <v>Fully Achieved</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t="str">
        <f>'1. All Data'!V101</f>
        <v>Fully Achieved</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t="str">
        <f>'1. All Data'!V103</f>
        <v>Fully Achieved</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t="str">
        <f>'1. All Data'!V104</f>
        <v>Fully Achieved</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t="str">
        <f>'1. All Data'!V106</f>
        <v>Fully Achieved</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t="str">
        <f>'1. All Data'!V107</f>
        <v>Fully Achieved</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t="str">
        <f>'1. All Data'!V108</f>
        <v>Fully Achieved</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t="str">
        <f>'1. All Data'!V109</f>
        <v>Fully Achieved</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t="str">
        <f>'1. All Data'!V110</f>
        <v>Fully Achieved</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t="str">
        <f>'1. All Data'!V111</f>
        <v>Fully Achieved</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t="str">
        <f>'1. All Data'!V112</f>
        <v>Fully Achieved</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t="str">
        <f>'1. All Data'!V113</f>
        <v>Deferred</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t="str">
        <f>'1. All Data'!V114</f>
        <v>Fully Achieved</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841</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8"/>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8"/>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8"/>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8"/>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28</v>
      </c>
      <c r="D11" s="62">
        <f>'3a. % by Portfolio'!G5</f>
        <v>0.96551724137931028</v>
      </c>
      <c r="E11" s="63">
        <f>'3a. % by Portfolio'!C7</f>
        <v>1</v>
      </c>
      <c r="F11" s="64">
        <f>'3a. % by Portfolio'!G7</f>
        <v>3.4482758620689655E-2</v>
      </c>
      <c r="G11" s="65">
        <f>'3a. % by Portfolio'!C10+'3a. % by Portfolio'!C11</f>
        <v>0</v>
      </c>
      <c r="H11" s="66">
        <f>'3a. % by Portfolio'!G10</f>
        <v>0</v>
      </c>
      <c r="I11" s="43"/>
      <c r="J11" s="22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8"/>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0</v>
      </c>
      <c r="D14" s="62" t="e">
        <f>'3a. % by Portfolio'!G60</f>
        <v>#DIV/0!</v>
      </c>
      <c r="E14" s="67">
        <f>'3a. % by Portfolio'!C62</f>
        <v>0</v>
      </c>
      <c r="F14" s="64" t="e">
        <f>'3a. % by Portfolio'!G62</f>
        <v>#DIV/0!</v>
      </c>
      <c r="G14" s="65">
        <f>'3a. % by Portfolio'!C65+'3a. % by Portfolio'!C66</f>
        <v>0</v>
      </c>
      <c r="H14" s="66" t="e">
        <f>'3a. % by Portfolio'!G65</f>
        <v>#DIV/0!</v>
      </c>
      <c r="I14" s="43"/>
      <c r="J14" s="228"/>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842</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8"/>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935</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32</v>
      </c>
      <c r="D11" s="62">
        <f>'3a. % by Portfolio'!N5</f>
        <v>0.96969696969696972</v>
      </c>
      <c r="E11" s="63">
        <f>'3a. % by Portfolio'!J7</f>
        <v>1</v>
      </c>
      <c r="F11" s="64">
        <f>'3a. % by Portfolio'!N7</f>
        <v>3.0303030303030304E-2</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1058</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32</v>
      </c>
      <c r="D11" s="62">
        <f>'3a. % by Portfolio'!U5</f>
        <v>0.88888888888888895</v>
      </c>
      <c r="E11" s="63">
        <f>'3a. % by Portfolio'!Q7</f>
        <v>1</v>
      </c>
      <c r="F11" s="64">
        <f>'3a. % by Portfolio'!U7</f>
        <v>2.7777777777777776E-2</v>
      </c>
      <c r="G11" s="65">
        <f>'3a. % by Portfolio'!Q10+'3a. % by Portfolio'!Q11</f>
        <v>3</v>
      </c>
      <c r="H11" s="66">
        <f>'3a. % by Portfolio'!U10</f>
        <v>8.3333333333333329E-2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245</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zoomScale="70" zoomScaleNormal="70" workbookViewId="0">
      <selection activeCell="B14" sqref="B14"/>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1152</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115</v>
      </c>
      <c r="D5" s="46">
        <f>'2a. % By Priority'!AB5</f>
        <v>0.94262295081967218</v>
      </c>
      <c r="E5" s="47">
        <f>'2a. % By Priority'!X7+'2a. % By Priority'!X8+'2a. % By Priority'!X9</f>
        <v>2</v>
      </c>
      <c r="F5" s="37">
        <f>'2a. % By Priority'!AB7</f>
        <v>1.6393442622950821E-2</v>
      </c>
      <c r="G5" s="57">
        <f>'2a. % By Priority'!X10+'2a. % By Priority'!X11</f>
        <v>5</v>
      </c>
      <c r="H5" s="58">
        <f>'2a. % By Priority'!AB10</f>
        <v>4.0983606557377053E-2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69</v>
      </c>
      <c r="D7" s="46">
        <f>'2a. % By Priority'!AB23</f>
        <v>0.93243243243243246</v>
      </c>
      <c r="E7" s="53">
        <f>'2a. % By Priority'!X25+'2a. % By Priority'!X26+'2a. % By Priority'!X27</f>
        <v>2</v>
      </c>
      <c r="F7" s="37">
        <f>'2a. % By Priority'!AB25</f>
        <v>2.7027027027027029E-2</v>
      </c>
      <c r="G7" s="57">
        <f>'2a. % By Priority'!X28+'2a. % By Priority'!X29</f>
        <v>3</v>
      </c>
      <c r="H7" s="58">
        <f>'2a. % By Priority'!AB28</f>
        <v>4.0540540540540543E-2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18</v>
      </c>
      <c r="D8" s="46">
        <f>SUM('2a. % By Priority'!AB41:AB42)</f>
        <v>0.9</v>
      </c>
      <c r="E8" s="53">
        <f>'2a. % By Priority'!X43+'2a. % By Priority'!X44+'2a. % By Priority'!X45</f>
        <v>0</v>
      </c>
      <c r="F8" s="37">
        <f>'2a. % By Priority'!AB43</f>
        <v>0</v>
      </c>
      <c r="G8" s="57">
        <f>'2a. % By Priority'!X46+'2a. % By Priority'!X47</f>
        <v>2</v>
      </c>
      <c r="H8" s="58">
        <f>'2a. % By Priority'!AB46</f>
        <v>0.1</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28</v>
      </c>
      <c r="D9" s="46">
        <f>'2a. % By Priority'!AB59</f>
        <v>1</v>
      </c>
      <c r="E9" s="53">
        <f>'2a. % By Priority'!X61+'2a. % By Priority'!X62+'2a. % By Priority'!X63</f>
        <v>0</v>
      </c>
      <c r="F9" s="37">
        <f>'2a. % By Priority'!AB61</f>
        <v>0</v>
      </c>
      <c r="G9" s="57">
        <f>'2a. % By Priority'!X64+'2a. % By Priority'!X65</f>
        <v>0</v>
      </c>
      <c r="H9" s="58">
        <f>'2a. % By Priority'!AB64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31" customFormat="1" ht="15" thickTop="1">
      <c r="D10" s="33"/>
    </row>
    <row r="11" spans="1:40" s="31" customFormat="1">
      <c r="D11" s="33"/>
    </row>
    <row r="12" spans="1:40" s="31" customFormat="1">
      <c r="D12" s="33"/>
    </row>
    <row r="13" spans="1:40" s="31" customFormat="1">
      <c r="D13" s="33"/>
    </row>
    <row r="14" spans="1:40" s="31" customFormat="1">
      <c r="D14" s="33"/>
    </row>
    <row r="15" spans="1:40" s="31" customFormat="1">
      <c r="D15" s="33"/>
    </row>
    <row r="16" spans="1:40" s="31" customFormat="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A8" zoomScale="80" zoomScaleNormal="80" workbookViewId="0">
      <selection activeCell="AE22" sqref="AE22"/>
    </sheetView>
  </sheetViews>
  <sheetFormatPr defaultColWidth="9.33203125" defaultRowHeight="13.8"/>
  <cols>
    <col min="1" max="1" width="2.33203125" style="158"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5" hidden="1" customWidth="1"/>
    <col min="7" max="7" width="17.33203125" style="155" hidden="1" customWidth="1"/>
    <col min="8" max="8" width="4.5546875" style="155"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5" hidden="1" customWidth="1"/>
    <col min="14" max="14" width="17.33203125" style="155" hidden="1" customWidth="1"/>
    <col min="15" max="15" width="4.5546875" style="155"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5" hidden="1" customWidth="1"/>
    <col min="21" max="21" width="17.33203125" style="155" hidden="1" customWidth="1"/>
    <col min="22" max="22" width="4.5546875" style="155" customWidth="1"/>
    <col min="23" max="23" width="55.44140625" style="155" customWidth="1"/>
    <col min="24" max="24" width="14.5546875" style="155" customWidth="1"/>
    <col min="25" max="27" width="17.33203125" style="155" customWidth="1"/>
    <col min="28" max="28" width="17.33203125" style="182" customWidth="1"/>
    <col min="29" max="29" width="1.6640625" style="158" customWidth="1"/>
    <col min="30" max="30" width="12" style="158" customWidth="1"/>
    <col min="31" max="32" width="9.33203125" style="158" customWidth="1"/>
    <col min="33" max="16384" width="9.33203125" style="158"/>
  </cols>
  <sheetData>
    <row r="1" spans="2:31" s="152" customFormat="1" ht="21">
      <c r="B1" s="144" t="s">
        <v>258</v>
      </c>
      <c r="C1" s="145"/>
      <c r="D1" s="146"/>
      <c r="E1" s="146"/>
      <c r="F1" s="146"/>
      <c r="G1" s="146"/>
      <c r="H1" s="147"/>
      <c r="I1" s="144" t="s">
        <v>259</v>
      </c>
      <c r="J1" s="145"/>
      <c r="K1" s="146"/>
      <c r="L1" s="146"/>
      <c r="M1" s="146"/>
      <c r="N1" s="146"/>
      <c r="O1" s="147"/>
      <c r="P1" s="148" t="s">
        <v>260</v>
      </c>
      <c r="Q1" s="145"/>
      <c r="R1" s="146"/>
      <c r="S1" s="146"/>
      <c r="T1" s="146"/>
      <c r="U1" s="146"/>
      <c r="V1" s="147"/>
      <c r="W1" s="149" t="s">
        <v>261</v>
      </c>
      <c r="X1" s="150"/>
      <c r="Y1" s="150"/>
      <c r="Z1" s="150"/>
      <c r="AA1" s="150"/>
      <c r="AB1" s="151"/>
    </row>
    <row r="2" spans="2:31" ht="15.6">
      <c r="B2" s="153"/>
      <c r="C2" s="154"/>
      <c r="D2" s="154"/>
      <c r="E2" s="154"/>
      <c r="F2" s="154"/>
      <c r="G2" s="154"/>
      <c r="I2" s="153"/>
      <c r="J2" s="154"/>
      <c r="K2" s="154"/>
      <c r="L2" s="154"/>
      <c r="M2" s="154"/>
      <c r="N2" s="154"/>
      <c r="P2" s="153"/>
      <c r="Q2" s="154"/>
      <c r="R2" s="154"/>
      <c r="S2" s="154"/>
      <c r="T2" s="154"/>
      <c r="U2" s="154"/>
      <c r="W2" s="156"/>
      <c r="X2" s="156"/>
      <c r="Y2" s="156"/>
      <c r="Z2" s="156"/>
      <c r="AA2" s="156"/>
      <c r="AB2" s="157"/>
    </row>
    <row r="3" spans="2:31" ht="15.6">
      <c r="B3" s="159" t="s">
        <v>81</v>
      </c>
      <c r="C3" s="160"/>
      <c r="D3" s="160"/>
      <c r="E3" s="160"/>
      <c r="F3" s="160"/>
      <c r="G3" s="161"/>
      <c r="I3" s="159" t="s">
        <v>81</v>
      </c>
      <c r="J3" s="160"/>
      <c r="K3" s="160"/>
      <c r="L3" s="160"/>
      <c r="M3" s="160"/>
      <c r="N3" s="161"/>
      <c r="P3" s="159" t="s">
        <v>81</v>
      </c>
      <c r="Q3" s="160"/>
      <c r="R3" s="160"/>
      <c r="S3" s="160"/>
      <c r="T3" s="160"/>
      <c r="U3" s="161"/>
      <c r="W3" s="162" t="s">
        <v>81</v>
      </c>
      <c r="X3" s="163"/>
      <c r="Y3" s="163"/>
      <c r="Z3" s="163"/>
      <c r="AA3" s="163"/>
      <c r="AB3" s="164"/>
    </row>
    <row r="4" spans="2:31" s="155" customFormat="1" ht="39" customHeight="1">
      <c r="B4" s="165" t="s">
        <v>82</v>
      </c>
      <c r="C4" s="165" t="s">
        <v>83</v>
      </c>
      <c r="D4" s="165" t="s">
        <v>84</v>
      </c>
      <c r="E4" s="165" t="s">
        <v>85</v>
      </c>
      <c r="F4" s="165" t="s">
        <v>86</v>
      </c>
      <c r="G4" s="165" t="s">
        <v>87</v>
      </c>
      <c r="I4" s="165" t="s">
        <v>82</v>
      </c>
      <c r="J4" s="165" t="s">
        <v>83</v>
      </c>
      <c r="K4" s="165" t="s">
        <v>84</v>
      </c>
      <c r="L4" s="165" t="s">
        <v>85</v>
      </c>
      <c r="M4" s="165" t="s">
        <v>86</v>
      </c>
      <c r="N4" s="165" t="s">
        <v>87</v>
      </c>
      <c r="P4" s="165" t="s">
        <v>82</v>
      </c>
      <c r="Q4" s="165" t="s">
        <v>83</v>
      </c>
      <c r="R4" s="165" t="s">
        <v>84</v>
      </c>
      <c r="S4" s="165" t="s">
        <v>85</v>
      </c>
      <c r="T4" s="165" t="s">
        <v>86</v>
      </c>
      <c r="U4" s="165" t="s">
        <v>87</v>
      </c>
      <c r="W4" s="165" t="s">
        <v>82</v>
      </c>
      <c r="X4" s="165" t="s">
        <v>83</v>
      </c>
      <c r="Y4" s="165" t="s">
        <v>84</v>
      </c>
      <c r="Z4" s="165" t="s">
        <v>85</v>
      </c>
      <c r="AA4" s="165" t="s">
        <v>86</v>
      </c>
      <c r="AB4" s="165" t="s">
        <v>87</v>
      </c>
    </row>
    <row r="5" spans="2:31" ht="30.75" customHeight="1">
      <c r="B5" s="231" t="s">
        <v>88</v>
      </c>
      <c r="C5" s="168">
        <f>COUNTIF('1. All Data'!$H$3:$H$131,"Fully Achieved")</f>
        <v>14</v>
      </c>
      <c r="D5" s="169">
        <f>C5/C16</f>
        <v>0.10852713178294573</v>
      </c>
      <c r="E5" s="362">
        <f>D5+D6</f>
        <v>0.68217054263565891</v>
      </c>
      <c r="F5" s="169">
        <f>C5/C17</f>
        <v>0.15384615384615385</v>
      </c>
      <c r="G5" s="377">
        <f>F5+F6</f>
        <v>0.96703296703296704</v>
      </c>
      <c r="I5" s="231" t="s">
        <v>88</v>
      </c>
      <c r="J5" s="168">
        <f>COUNTIF('1. All Data'!$M$3:$M$133,"Fully Achieved")</f>
        <v>28</v>
      </c>
      <c r="K5" s="169">
        <f>J5/J16</f>
        <v>0.21705426356589147</v>
      </c>
      <c r="L5" s="362">
        <f>K5+K6</f>
        <v>0.79069767441860472</v>
      </c>
      <c r="M5" s="169">
        <f>J5/J17</f>
        <v>0.26168224299065418</v>
      </c>
      <c r="N5" s="377">
        <f>M5+M6</f>
        <v>0.95327102803738306</v>
      </c>
      <c r="P5" s="231" t="s">
        <v>88</v>
      </c>
      <c r="Q5" s="168">
        <f>COUNTIF('1. All Data'!$R$3:$R$131,"Fully Achieved")</f>
        <v>55</v>
      </c>
      <c r="R5" s="169">
        <f>Q5/Q16</f>
        <v>0.4263565891472868</v>
      </c>
      <c r="S5" s="362">
        <f>R5+R6</f>
        <v>0.86821705426356588</v>
      </c>
      <c r="T5" s="169">
        <f>Q5/Q17</f>
        <v>0.45081967213114754</v>
      </c>
      <c r="U5" s="377">
        <f>T5+T6</f>
        <v>0.91803278688524592</v>
      </c>
      <c r="W5" s="231" t="s">
        <v>88</v>
      </c>
      <c r="X5" s="168">
        <f>COUNTIF('1. All Data'!$V$3:$V$131,"Fully Achieved")</f>
        <v>111</v>
      </c>
      <c r="Y5" s="169">
        <f t="shared" ref="Y5:Y15" si="0">X5/$X$16</f>
        <v>0.86046511627906974</v>
      </c>
      <c r="Z5" s="362">
        <f>SUM(Y5:Y6)</f>
        <v>0.89147286821705429</v>
      </c>
      <c r="AA5" s="169">
        <f t="shared" ref="AA5:AA11" si="1">X5/$X$17</f>
        <v>0.9098360655737705</v>
      </c>
      <c r="AB5" s="377">
        <f>AA5+AA6</f>
        <v>0.94262295081967218</v>
      </c>
      <c r="AD5" s="377">
        <f>AB5</f>
        <v>0.94262295081967218</v>
      </c>
    </row>
    <row r="6" spans="2:31" ht="30.75" customHeight="1">
      <c r="B6" s="231" t="s">
        <v>65</v>
      </c>
      <c r="C6" s="168">
        <f>COUNTIF('1. All Data'!$H$3:$H$131,"On Track to be Achieved")</f>
        <v>74</v>
      </c>
      <c r="D6" s="169">
        <f>C6/C16</f>
        <v>0.5736434108527132</v>
      </c>
      <c r="E6" s="362"/>
      <c r="F6" s="169">
        <f>C6/C17</f>
        <v>0.81318681318681318</v>
      </c>
      <c r="G6" s="377"/>
      <c r="I6" s="231" t="s">
        <v>65</v>
      </c>
      <c r="J6" s="168">
        <f>COUNTIF('1. All Data'!$M$3:$M$133,"On Track to be Achieved")</f>
        <v>74</v>
      </c>
      <c r="K6" s="169">
        <f>J6/J16</f>
        <v>0.5736434108527132</v>
      </c>
      <c r="L6" s="362"/>
      <c r="M6" s="169">
        <f>J6/J17</f>
        <v>0.69158878504672894</v>
      </c>
      <c r="N6" s="377"/>
      <c r="P6" s="231" t="s">
        <v>65</v>
      </c>
      <c r="Q6" s="168">
        <f>COUNTIF('1. All Data'!$R$3:$R$131,"On Track to be Achieved")</f>
        <v>57</v>
      </c>
      <c r="R6" s="169">
        <f>Q6/Q16</f>
        <v>0.44186046511627908</v>
      </c>
      <c r="S6" s="362"/>
      <c r="T6" s="169">
        <f>Q6/Q17</f>
        <v>0.46721311475409838</v>
      </c>
      <c r="U6" s="377"/>
      <c r="W6" s="231" t="s">
        <v>57</v>
      </c>
      <c r="X6" s="168">
        <f>COUNTIF('1. All Data'!$V$3:$V$131,"Numerical Outturn Within 5% Tolerance")</f>
        <v>4</v>
      </c>
      <c r="Y6" s="169">
        <f t="shared" si="0"/>
        <v>3.1007751937984496E-2</v>
      </c>
      <c r="Z6" s="362"/>
      <c r="AA6" s="169">
        <f t="shared" si="1"/>
        <v>3.2786885245901641E-2</v>
      </c>
      <c r="AB6" s="377"/>
      <c r="AD6" s="377"/>
    </row>
    <row r="7" spans="2:31" ht="18.75" customHeight="1">
      <c r="B7" s="365" t="s">
        <v>66</v>
      </c>
      <c r="C7" s="368">
        <f>COUNTIF('1. All Data'!$H$3:$H$131,"In Danger of Falling Behind Target")</f>
        <v>3</v>
      </c>
      <c r="D7" s="371">
        <f>C7/C16</f>
        <v>2.3255813953488372E-2</v>
      </c>
      <c r="E7" s="371">
        <f>D7</f>
        <v>2.3255813953488372E-2</v>
      </c>
      <c r="F7" s="371">
        <f>C7/C17</f>
        <v>3.2967032967032968E-2</v>
      </c>
      <c r="G7" s="374">
        <f>F7</f>
        <v>3.2967032967032968E-2</v>
      </c>
      <c r="I7" s="365" t="s">
        <v>66</v>
      </c>
      <c r="J7" s="368">
        <f>COUNTIF('1. All Data'!$M$3:$M$133,"In Danger of Falling Behind Target")</f>
        <v>4</v>
      </c>
      <c r="K7" s="371">
        <f>J7/J16</f>
        <v>3.1007751937984496E-2</v>
      </c>
      <c r="L7" s="371">
        <f>K7</f>
        <v>3.1007751937984496E-2</v>
      </c>
      <c r="M7" s="371">
        <f>J7/J17</f>
        <v>3.7383177570093455E-2</v>
      </c>
      <c r="N7" s="374">
        <f>M7</f>
        <v>3.7383177570093455E-2</v>
      </c>
      <c r="P7" s="365" t="s">
        <v>66</v>
      </c>
      <c r="Q7" s="368">
        <f>COUNTIF('1. All Data'!$R$3:$R$131,"In Danger of Falling Behind Target")</f>
        <v>1</v>
      </c>
      <c r="R7" s="371">
        <f>Q7/Q16</f>
        <v>7.7519379844961239E-3</v>
      </c>
      <c r="S7" s="371">
        <f>R7</f>
        <v>7.7519379844961239E-3</v>
      </c>
      <c r="T7" s="371">
        <f>Q7/Q17</f>
        <v>8.1967213114754103E-3</v>
      </c>
      <c r="U7" s="374">
        <f>T7</f>
        <v>8.1967213114754103E-3</v>
      </c>
      <c r="W7" s="170" t="s">
        <v>58</v>
      </c>
      <c r="X7" s="171">
        <f>COUNTIF('1. All Data'!$V$3:$V$131,"Numerical Outturn Within 10% Tolerance")</f>
        <v>0</v>
      </c>
      <c r="Y7" s="169">
        <f t="shared" si="0"/>
        <v>0</v>
      </c>
      <c r="Z7" s="362">
        <f>SUM(Y7:Y9)</f>
        <v>1.5503875968992248E-2</v>
      </c>
      <c r="AA7" s="169">
        <f t="shared" si="1"/>
        <v>0</v>
      </c>
      <c r="AB7" s="363">
        <f>SUM(AA7:AA9)</f>
        <v>1.6393442622950821E-2</v>
      </c>
      <c r="AD7" s="380">
        <f>SUM(AB7:AB11)</f>
        <v>5.7377049180327877E-2</v>
      </c>
    </row>
    <row r="8" spans="2:31" ht="19.5" customHeight="1">
      <c r="B8" s="366"/>
      <c r="C8" s="369"/>
      <c r="D8" s="372"/>
      <c r="E8" s="372"/>
      <c r="F8" s="372"/>
      <c r="G8" s="375"/>
      <c r="I8" s="366"/>
      <c r="J8" s="369"/>
      <c r="K8" s="372"/>
      <c r="L8" s="372"/>
      <c r="M8" s="372"/>
      <c r="N8" s="375"/>
      <c r="P8" s="366"/>
      <c r="Q8" s="369"/>
      <c r="R8" s="372"/>
      <c r="S8" s="372"/>
      <c r="T8" s="372"/>
      <c r="U8" s="375"/>
      <c r="W8" s="170" t="s">
        <v>59</v>
      </c>
      <c r="X8" s="171">
        <f>COUNTIF('1. All Data'!$V$3:$V$131,"Target Partially Met")</f>
        <v>1</v>
      </c>
      <c r="Y8" s="169">
        <f t="shared" si="0"/>
        <v>7.7519379844961239E-3</v>
      </c>
      <c r="Z8" s="362"/>
      <c r="AA8" s="169">
        <f t="shared" si="1"/>
        <v>8.1967213114754103E-3</v>
      </c>
      <c r="AB8" s="363"/>
      <c r="AD8" s="381"/>
    </row>
    <row r="9" spans="2:31" ht="19.5" customHeight="1">
      <c r="B9" s="367"/>
      <c r="C9" s="370"/>
      <c r="D9" s="373"/>
      <c r="E9" s="373"/>
      <c r="F9" s="373"/>
      <c r="G9" s="376"/>
      <c r="I9" s="367"/>
      <c r="J9" s="370"/>
      <c r="K9" s="373"/>
      <c r="L9" s="373"/>
      <c r="M9" s="373"/>
      <c r="N9" s="376"/>
      <c r="P9" s="367"/>
      <c r="Q9" s="370"/>
      <c r="R9" s="373"/>
      <c r="S9" s="373"/>
      <c r="T9" s="373"/>
      <c r="U9" s="376"/>
      <c r="W9" s="170" t="s">
        <v>62</v>
      </c>
      <c r="X9" s="171">
        <f>COUNTIF('1. All Data'!$V$3:$V$131,"Completion Date Within Reasonable Tolerance")</f>
        <v>1</v>
      </c>
      <c r="Y9" s="169">
        <f t="shared" si="0"/>
        <v>7.7519379844961239E-3</v>
      </c>
      <c r="Z9" s="362"/>
      <c r="AA9" s="169">
        <f t="shared" si="1"/>
        <v>8.1967213114754103E-3</v>
      </c>
      <c r="AB9" s="363"/>
      <c r="AD9" s="381"/>
    </row>
    <row r="10" spans="2:31" ht="29.25" customHeight="1">
      <c r="B10" s="172" t="s">
        <v>67</v>
      </c>
      <c r="C10" s="168">
        <f>COUNTIF('1. All Data'!H3:H131,"completed behind schedule")</f>
        <v>0</v>
      </c>
      <c r="D10" s="169">
        <f>C10/C16</f>
        <v>0</v>
      </c>
      <c r="E10" s="362">
        <f>D10+D11</f>
        <v>0</v>
      </c>
      <c r="F10" s="169">
        <f>C10/C17</f>
        <v>0</v>
      </c>
      <c r="G10" s="364">
        <f>F10+F11</f>
        <v>0</v>
      </c>
      <c r="I10" s="172" t="s">
        <v>67</v>
      </c>
      <c r="J10" s="168">
        <f>COUNTIF('1. All Data'!M3:M133,"Completed Behind Schedule")</f>
        <v>1</v>
      </c>
      <c r="K10" s="169">
        <f>J10/J16</f>
        <v>7.7519379844961239E-3</v>
      </c>
      <c r="L10" s="362">
        <f>K10+K11</f>
        <v>7.7519379844961239E-3</v>
      </c>
      <c r="M10" s="169">
        <f>J10/J17</f>
        <v>9.3457943925233638E-3</v>
      </c>
      <c r="N10" s="364">
        <f>M10+M11</f>
        <v>9.3457943925233638E-3</v>
      </c>
      <c r="P10" s="172" t="s">
        <v>67</v>
      </c>
      <c r="Q10" s="168">
        <f>COUNTIF('1. All Data'!R3:R131,"completed behind schedule")</f>
        <v>1</v>
      </c>
      <c r="R10" s="169">
        <f>Q10/Q16</f>
        <v>7.7519379844961239E-3</v>
      </c>
      <c r="S10" s="362">
        <f>R10+R11</f>
        <v>6.9767441860465115E-2</v>
      </c>
      <c r="T10" s="169">
        <f>Q10/Q17</f>
        <v>8.1967213114754103E-3</v>
      </c>
      <c r="U10" s="364">
        <f>T10+T11</f>
        <v>7.3770491803278687E-2</v>
      </c>
      <c r="W10" s="172" t="s">
        <v>61</v>
      </c>
      <c r="X10" s="168">
        <f>COUNTIF('1. All Data'!V3:V131,"Completed Significantly After Target Deadline")</f>
        <v>1</v>
      </c>
      <c r="Y10" s="169">
        <f t="shared" si="0"/>
        <v>7.7519379844961239E-3</v>
      </c>
      <c r="Z10" s="362">
        <f>SUM(Y10:Y11)</f>
        <v>3.875968992248062E-2</v>
      </c>
      <c r="AA10" s="169">
        <f t="shared" si="1"/>
        <v>8.1967213114754103E-3</v>
      </c>
      <c r="AB10" s="364">
        <f>SUM(AA10:AA11)</f>
        <v>4.0983606557377053E-2</v>
      </c>
      <c r="AD10" s="381"/>
    </row>
    <row r="11" spans="2:31" ht="29.25" customHeight="1">
      <c r="B11" s="172" t="s">
        <v>60</v>
      </c>
      <c r="C11" s="168">
        <f>COUNTIF('1. All Data'!H3:H131,"off target")</f>
        <v>0</v>
      </c>
      <c r="D11" s="169">
        <f>C11/C16</f>
        <v>0</v>
      </c>
      <c r="E11" s="362"/>
      <c r="F11" s="169">
        <f>C11/C17</f>
        <v>0</v>
      </c>
      <c r="G11" s="364"/>
      <c r="I11" s="172" t="s">
        <v>60</v>
      </c>
      <c r="J11" s="168">
        <f>COUNTIF('1. All Data'!M3:M133,"Off Target")</f>
        <v>0</v>
      </c>
      <c r="K11" s="169">
        <f>J11/J16</f>
        <v>0</v>
      </c>
      <c r="L11" s="362"/>
      <c r="M11" s="169">
        <f>J11/J17</f>
        <v>0</v>
      </c>
      <c r="N11" s="364"/>
      <c r="P11" s="172" t="s">
        <v>60</v>
      </c>
      <c r="Q11" s="168">
        <f>COUNTIF('1. All Data'!R3:R131,"off target")</f>
        <v>8</v>
      </c>
      <c r="R11" s="169">
        <f>Q11/Q16</f>
        <v>6.2015503875968991E-2</v>
      </c>
      <c r="S11" s="362"/>
      <c r="T11" s="169">
        <f>Q11/Q17</f>
        <v>6.5573770491803282E-2</v>
      </c>
      <c r="U11" s="364"/>
      <c r="W11" s="172" t="s">
        <v>60</v>
      </c>
      <c r="X11" s="168">
        <f>COUNTIF('1. All Data'!V3:V131,"off target")</f>
        <v>4</v>
      </c>
      <c r="Y11" s="169">
        <f t="shared" si="0"/>
        <v>3.1007751937984496E-2</v>
      </c>
      <c r="Z11" s="362"/>
      <c r="AA11" s="169">
        <f t="shared" si="1"/>
        <v>3.2786885245901641E-2</v>
      </c>
      <c r="AB11" s="364"/>
      <c r="AD11" s="381"/>
    </row>
    <row r="12" spans="2:31" ht="20.25" customHeight="1">
      <c r="B12" s="173" t="s">
        <v>89</v>
      </c>
      <c r="C12" s="168">
        <f>COUNTIF('1. All Data'!H3:H131,"not yet due")</f>
        <v>37</v>
      </c>
      <c r="D12" s="174">
        <f>C12/C16</f>
        <v>0.2868217054263566</v>
      </c>
      <c r="E12" s="174">
        <f>D12</f>
        <v>0.2868217054263566</v>
      </c>
      <c r="F12" s="175"/>
      <c r="G12" s="59"/>
      <c r="I12" s="173" t="s">
        <v>89</v>
      </c>
      <c r="J12" s="168">
        <f>COUNTIF('1. All Data'!M3:M133,"not yet due")</f>
        <v>21</v>
      </c>
      <c r="K12" s="174">
        <f>J12/J16</f>
        <v>0.16279069767441862</v>
      </c>
      <c r="L12" s="174">
        <f>K12</f>
        <v>0.16279069767441862</v>
      </c>
      <c r="M12" s="175"/>
      <c r="N12" s="59"/>
      <c r="P12" s="173" t="s">
        <v>89</v>
      </c>
      <c r="Q12" s="168">
        <f>COUNTIF('1. All Data'!R3:R115,"not yet due")</f>
        <v>5</v>
      </c>
      <c r="R12" s="174">
        <f>Q12/Q16</f>
        <v>3.875968992248062E-2</v>
      </c>
      <c r="S12" s="174">
        <f>R12</f>
        <v>3.875968992248062E-2</v>
      </c>
      <c r="T12" s="175"/>
      <c r="U12" s="59"/>
      <c r="W12" s="173" t="s">
        <v>89</v>
      </c>
      <c r="X12" s="168">
        <f>COUNTIF('1. All Data'!V3:V131,"not yet due")</f>
        <v>0</v>
      </c>
      <c r="Y12" s="169">
        <f t="shared" si="0"/>
        <v>0</v>
      </c>
      <c r="Z12" s="174">
        <f>Y12</f>
        <v>0</v>
      </c>
      <c r="AA12" s="175"/>
      <c r="AB12" s="59"/>
    </row>
    <row r="13" spans="2:31" ht="20.25" customHeight="1">
      <c r="B13" s="173" t="s">
        <v>55</v>
      </c>
      <c r="C13" s="168">
        <f>COUNTIF('1. All Data'!H3:H131,"update not provided")</f>
        <v>0</v>
      </c>
      <c r="D13" s="174">
        <f>C13/C16</f>
        <v>0</v>
      </c>
      <c r="E13" s="174">
        <f>D13</f>
        <v>0</v>
      </c>
      <c r="F13" s="175"/>
      <c r="G13" s="2"/>
      <c r="I13" s="173" t="s">
        <v>55</v>
      </c>
      <c r="J13" s="168">
        <f>COUNTIF('1. All Data'!M3:M133,"update not provided")</f>
        <v>0</v>
      </c>
      <c r="K13" s="174">
        <f>J13/J16</f>
        <v>0</v>
      </c>
      <c r="L13" s="174">
        <f>K13</f>
        <v>0</v>
      </c>
      <c r="M13" s="175"/>
      <c r="N13" s="2"/>
      <c r="P13" s="173" t="s">
        <v>55</v>
      </c>
      <c r="Q13" s="168">
        <f>COUNTIF('1. All Data'!R3:R115,"update not provided")</f>
        <v>0</v>
      </c>
      <c r="R13" s="174">
        <f>Q13/Q16</f>
        <v>0</v>
      </c>
      <c r="S13" s="174">
        <f>R13</f>
        <v>0</v>
      </c>
      <c r="T13" s="175"/>
      <c r="U13" s="2"/>
      <c r="W13" s="173" t="s">
        <v>55</v>
      </c>
      <c r="X13" s="168">
        <f>COUNTIF('1. All Data'!V3:V131,"update not provided")</f>
        <v>0</v>
      </c>
      <c r="Y13" s="169">
        <f t="shared" si="0"/>
        <v>0</v>
      </c>
      <c r="Z13" s="174">
        <f>Y13</f>
        <v>0</v>
      </c>
      <c r="AA13" s="175"/>
      <c r="AB13" s="2"/>
    </row>
    <row r="14" spans="2:31" ht="15.75" customHeight="1">
      <c r="B14" s="176" t="s">
        <v>63</v>
      </c>
      <c r="C14" s="168">
        <f>COUNTIF('1. All Data'!H3:H131,"deferred")</f>
        <v>1</v>
      </c>
      <c r="D14" s="177">
        <f>C14/C16</f>
        <v>7.7519379844961239E-3</v>
      </c>
      <c r="E14" s="177">
        <f>D14</f>
        <v>7.7519379844961239E-3</v>
      </c>
      <c r="F14" s="178"/>
      <c r="G14" s="59"/>
      <c r="I14" s="176" t="s">
        <v>63</v>
      </c>
      <c r="J14" s="168">
        <f>COUNTIF('1. All Data'!M3:M133,"deferred")</f>
        <v>1</v>
      </c>
      <c r="K14" s="177">
        <f>J14/J16</f>
        <v>7.7519379844961239E-3</v>
      </c>
      <c r="L14" s="177">
        <f>K14</f>
        <v>7.7519379844961239E-3</v>
      </c>
      <c r="M14" s="178"/>
      <c r="N14" s="59"/>
      <c r="P14" s="176" t="s">
        <v>63</v>
      </c>
      <c r="Q14" s="168">
        <f>COUNTIF('1. All Data'!R3:R115,"deferred")</f>
        <v>2</v>
      </c>
      <c r="R14" s="177">
        <f>Q14/Q16</f>
        <v>1.5503875968992248E-2</v>
      </c>
      <c r="S14" s="177">
        <f>R14</f>
        <v>1.5503875968992248E-2</v>
      </c>
      <c r="T14" s="178"/>
      <c r="U14" s="59"/>
      <c r="W14" s="176" t="s">
        <v>63</v>
      </c>
      <c r="X14" s="168">
        <f>COUNTIF('1. All Data'!V3:V131,"deferred")</f>
        <v>4</v>
      </c>
      <c r="Y14" s="169">
        <f t="shared" si="0"/>
        <v>3.1007751937984496E-2</v>
      </c>
      <c r="Z14" s="174">
        <f>Y14</f>
        <v>3.1007751937984496E-2</v>
      </c>
      <c r="AA14" s="178"/>
      <c r="AB14" s="59"/>
    </row>
    <row r="15" spans="2:31" ht="15.75" customHeight="1">
      <c r="B15" s="176" t="s">
        <v>64</v>
      </c>
      <c r="C15" s="168">
        <f>COUNTIF('1. All Data'!H3:H131,"deleted")</f>
        <v>0</v>
      </c>
      <c r="D15" s="177">
        <f>C15/C16</f>
        <v>0</v>
      </c>
      <c r="E15" s="177">
        <f>D15</f>
        <v>0</v>
      </c>
      <c r="F15" s="178"/>
      <c r="G15" s="3"/>
      <c r="I15" s="176" t="s">
        <v>64</v>
      </c>
      <c r="J15" s="168">
        <f>COUNTIF('1. All Data'!M3:M133,"deleted")</f>
        <v>0</v>
      </c>
      <c r="K15" s="177">
        <f>J15/J16</f>
        <v>0</v>
      </c>
      <c r="L15" s="177">
        <f>K15</f>
        <v>0</v>
      </c>
      <c r="M15" s="178"/>
      <c r="P15" s="176" t="s">
        <v>64</v>
      </c>
      <c r="Q15" s="168">
        <f>COUNTIF('1. All Data'!R3:R115,"deleted")</f>
        <v>0</v>
      </c>
      <c r="R15" s="177">
        <f>Q15/Q16</f>
        <v>0</v>
      </c>
      <c r="S15" s="177">
        <f>R15</f>
        <v>0</v>
      </c>
      <c r="T15" s="178"/>
      <c r="U15" s="3"/>
      <c r="W15" s="176" t="s">
        <v>64</v>
      </c>
      <c r="X15" s="168">
        <f>COUNTIF('1. All Data'!V3:V131,"deleted")</f>
        <v>3</v>
      </c>
      <c r="Y15" s="169">
        <f t="shared" si="0"/>
        <v>2.3255813953488372E-2</v>
      </c>
      <c r="Z15" s="174">
        <f t="shared" ref="Z15" si="2">Y15</f>
        <v>2.3255813953488372E-2</v>
      </c>
      <c r="AA15" s="178"/>
      <c r="AB15" s="3"/>
      <c r="AE15" s="3"/>
    </row>
    <row r="16" spans="2:31" ht="15.75" customHeight="1">
      <c r="B16" s="179" t="s">
        <v>91</v>
      </c>
      <c r="C16" s="180">
        <f>SUM(C5:C15)</f>
        <v>129</v>
      </c>
      <c r="D16" s="178"/>
      <c r="E16" s="178"/>
      <c r="F16" s="59"/>
      <c r="G16" s="59"/>
      <c r="I16" s="179" t="s">
        <v>91</v>
      </c>
      <c r="J16" s="180">
        <f>SUM(J5:J15)</f>
        <v>129</v>
      </c>
      <c r="K16" s="178"/>
      <c r="L16" s="178"/>
      <c r="M16" s="59"/>
      <c r="N16" s="59"/>
      <c r="P16" s="179" t="s">
        <v>91</v>
      </c>
      <c r="Q16" s="180">
        <f>SUM(Q5:Q15)</f>
        <v>129</v>
      </c>
      <c r="R16" s="178"/>
      <c r="S16" s="178"/>
      <c r="T16" s="59"/>
      <c r="U16" s="59"/>
      <c r="W16" s="179" t="s">
        <v>91</v>
      </c>
      <c r="X16" s="180">
        <f>SUM(X5:X15)</f>
        <v>129</v>
      </c>
      <c r="Y16" s="178"/>
      <c r="Z16" s="178"/>
      <c r="AA16" s="59"/>
      <c r="AB16" s="59"/>
    </row>
    <row r="17" spans="2:28" ht="15.75" customHeight="1">
      <c r="B17" s="179" t="s">
        <v>92</v>
      </c>
      <c r="C17" s="180">
        <f>C16-C15-C14-C13-C12</f>
        <v>91</v>
      </c>
      <c r="D17" s="59"/>
      <c r="E17" s="59"/>
      <c r="F17" s="59"/>
      <c r="G17" s="59"/>
      <c r="I17" s="179" t="s">
        <v>92</v>
      </c>
      <c r="J17" s="180">
        <f>J16-J15-J14-J13-J12</f>
        <v>107</v>
      </c>
      <c r="K17" s="59"/>
      <c r="L17" s="59"/>
      <c r="M17" s="59"/>
      <c r="N17" s="59"/>
      <c r="P17" s="179" t="s">
        <v>92</v>
      </c>
      <c r="Q17" s="180">
        <f>Q16-Q15-Q14-Q13-Q12</f>
        <v>122</v>
      </c>
      <c r="R17" s="59"/>
      <c r="S17" s="59"/>
      <c r="T17" s="59"/>
      <c r="U17" s="59"/>
      <c r="W17" s="179" t="s">
        <v>92</v>
      </c>
      <c r="X17" s="180">
        <f>X16-X15-X14-X13-X12</f>
        <v>122</v>
      </c>
      <c r="Y17" s="59"/>
      <c r="Z17" s="59"/>
      <c r="AA17" s="59"/>
      <c r="AB17" s="59"/>
    </row>
    <row r="18" spans="2:28" ht="15.75" customHeight="1">
      <c r="W18" s="181"/>
      <c r="AA18" s="2"/>
    </row>
    <row r="19" spans="2:28" ht="15.75" customHeight="1">
      <c r="AA19" s="2"/>
    </row>
    <row r="20" spans="2:28" ht="15" customHeight="1">
      <c r="AA20" s="2"/>
    </row>
    <row r="21" spans="2:28" ht="19.5" customHeight="1">
      <c r="B21" s="183" t="s">
        <v>240</v>
      </c>
      <c r="C21" s="184"/>
      <c r="D21" s="184"/>
      <c r="E21" s="184"/>
      <c r="F21" s="160"/>
      <c r="G21" s="185"/>
      <c r="I21" s="183" t="s">
        <v>240</v>
      </c>
      <c r="J21" s="184"/>
      <c r="K21" s="184"/>
      <c r="L21" s="184"/>
      <c r="M21" s="160"/>
      <c r="N21" s="185"/>
      <c r="P21" s="183" t="s">
        <v>240</v>
      </c>
      <c r="Q21" s="184"/>
      <c r="R21" s="184"/>
      <c r="S21" s="184"/>
      <c r="T21" s="160"/>
      <c r="U21" s="185"/>
      <c r="W21" s="186" t="s">
        <v>135</v>
      </c>
      <c r="X21" s="163"/>
      <c r="Y21" s="163"/>
      <c r="Z21" s="163"/>
      <c r="AA21" s="163"/>
      <c r="AB21" s="164"/>
    </row>
    <row r="22" spans="2:28" ht="42" customHeight="1">
      <c r="B22" s="165" t="s">
        <v>82</v>
      </c>
      <c r="C22" s="165" t="s">
        <v>83</v>
      </c>
      <c r="D22" s="165" t="s">
        <v>84</v>
      </c>
      <c r="E22" s="165" t="s">
        <v>85</v>
      </c>
      <c r="F22" s="165" t="s">
        <v>86</v>
      </c>
      <c r="G22" s="165" t="s">
        <v>87</v>
      </c>
      <c r="I22" s="165" t="s">
        <v>82</v>
      </c>
      <c r="J22" s="165" t="s">
        <v>83</v>
      </c>
      <c r="K22" s="165" t="s">
        <v>84</v>
      </c>
      <c r="L22" s="165" t="s">
        <v>85</v>
      </c>
      <c r="M22" s="165" t="s">
        <v>86</v>
      </c>
      <c r="N22" s="165" t="s">
        <v>87</v>
      </c>
      <c r="P22" s="165" t="s">
        <v>82</v>
      </c>
      <c r="Q22" s="165" t="s">
        <v>83</v>
      </c>
      <c r="R22" s="165" t="s">
        <v>84</v>
      </c>
      <c r="S22" s="165" t="s">
        <v>85</v>
      </c>
      <c r="T22" s="165" t="s">
        <v>86</v>
      </c>
      <c r="U22" s="165" t="s">
        <v>87</v>
      </c>
      <c r="W22" s="165" t="s">
        <v>82</v>
      </c>
      <c r="X22" s="165" t="s">
        <v>83</v>
      </c>
      <c r="Y22" s="165" t="s">
        <v>84</v>
      </c>
      <c r="Z22" s="165" t="s">
        <v>85</v>
      </c>
      <c r="AA22" s="165" t="s">
        <v>86</v>
      </c>
      <c r="AB22" s="165" t="s">
        <v>87</v>
      </c>
    </row>
    <row r="23" spans="2:28" ht="21.75" customHeight="1">
      <c r="B23" s="231" t="s">
        <v>88</v>
      </c>
      <c r="C23" s="168">
        <f>COUNTIFS('1. All Data'!$AA$3:$AA$131,"Value for Money",'1. All Data'!$H$3:$H$131,"Fully Achieved")</f>
        <v>10</v>
      </c>
      <c r="D23" s="169">
        <f>C23/C34</f>
        <v>0.12987012987012986</v>
      </c>
      <c r="E23" s="362">
        <f>D23+D24</f>
        <v>0.74025974025974017</v>
      </c>
      <c r="F23" s="169">
        <f>C23/C35</f>
        <v>0.16949152542372881</v>
      </c>
      <c r="G23" s="378">
        <f>F23+F24</f>
        <v>0.96610169491525422</v>
      </c>
      <c r="I23" s="231" t="s">
        <v>88</v>
      </c>
      <c r="J23" s="168">
        <f>COUNTIFS('1. All Data'!$AA$3:$AA$131,"Value for Money",'1. All Data'!$M$3:$M$131,"Fully Achieved")</f>
        <v>20</v>
      </c>
      <c r="K23" s="169">
        <f>J23/J34</f>
        <v>0.25974025974025972</v>
      </c>
      <c r="L23" s="362">
        <f>K23+K24</f>
        <v>0.80519480519480513</v>
      </c>
      <c r="M23" s="169">
        <f>J23/J35</f>
        <v>0.30303030303030304</v>
      </c>
      <c r="N23" s="377">
        <f>M23+M24</f>
        <v>0.93939393939393945</v>
      </c>
      <c r="P23" s="231" t="s">
        <v>88</v>
      </c>
      <c r="Q23" s="168">
        <f>COUNTIFS('1. All Data'!$AA$3:$AA$131,"Value for Money",'1. All Data'!$R$3:$R$131,"Fully Achieved")</f>
        <v>34</v>
      </c>
      <c r="R23" s="169">
        <f>Q23/Q34</f>
        <v>0.44155844155844154</v>
      </c>
      <c r="S23" s="362">
        <f>R23+R24</f>
        <v>0.89610389610389607</v>
      </c>
      <c r="T23" s="169">
        <f>Q23/Q35</f>
        <v>0.45333333333333331</v>
      </c>
      <c r="U23" s="377">
        <f>T23+T24</f>
        <v>0.91999999999999993</v>
      </c>
      <c r="W23" s="231" t="s">
        <v>88</v>
      </c>
      <c r="X23" s="168">
        <f>COUNTIFS('1. All Data'!$AA$3:$AA$131,"Value for Money",'1. All Data'!$V$3:$V$131,"Fully Achieved")</f>
        <v>65</v>
      </c>
      <c r="Y23" s="169">
        <f>X23/X34</f>
        <v>0.8441558441558441</v>
      </c>
      <c r="Z23" s="362">
        <f>Y23+Y24</f>
        <v>0.89610389610389607</v>
      </c>
      <c r="AA23" s="169">
        <f>X23/X35</f>
        <v>0.8783783783783784</v>
      </c>
      <c r="AB23" s="377">
        <f>AA23+AA24</f>
        <v>0.93243243243243246</v>
      </c>
    </row>
    <row r="24" spans="2:28" ht="18.75" customHeight="1">
      <c r="B24" s="231" t="s">
        <v>65</v>
      </c>
      <c r="C24" s="168">
        <f>COUNTIFS('1. All Data'!$AA$3:$AA$131,"Value for Money",'1. All Data'!$H$3:$H$131,"On Track to be achieved")</f>
        <v>47</v>
      </c>
      <c r="D24" s="169">
        <f>C24/C34</f>
        <v>0.61038961038961037</v>
      </c>
      <c r="E24" s="362"/>
      <c r="F24" s="169">
        <f>C24/C35</f>
        <v>0.79661016949152541</v>
      </c>
      <c r="G24" s="379"/>
      <c r="I24" s="231" t="s">
        <v>65</v>
      </c>
      <c r="J24" s="168">
        <f>COUNTIFS('1. All Data'!$AA$3:$AA$131,"Value for Money",'1. All Data'!$M$3:$M$131,"On Track to be achieved")</f>
        <v>42</v>
      </c>
      <c r="K24" s="169">
        <f>J24/J34</f>
        <v>0.54545454545454541</v>
      </c>
      <c r="L24" s="362"/>
      <c r="M24" s="169">
        <f>J24/J35</f>
        <v>0.63636363636363635</v>
      </c>
      <c r="N24" s="377"/>
      <c r="P24" s="231" t="s">
        <v>65</v>
      </c>
      <c r="Q24" s="168">
        <f>COUNTIFS('1. All Data'!$AA$3:$AA$131,"Value for Money",'1. All Data'!$R$3:$R$131,"On Track to be achieved")</f>
        <v>35</v>
      </c>
      <c r="R24" s="169">
        <f>Q24/Q34</f>
        <v>0.45454545454545453</v>
      </c>
      <c r="S24" s="362"/>
      <c r="T24" s="169">
        <f>Q24/Q35</f>
        <v>0.46666666666666667</v>
      </c>
      <c r="U24" s="377"/>
      <c r="W24" s="231" t="s">
        <v>57</v>
      </c>
      <c r="X24" s="168">
        <f>COUNTIFS('1. All Data'!$AA$3:$AA$131,"Value for Money",'1. All Data'!$V$3:$V$131,"Numerical Outturn Within 5% Tolerance")</f>
        <v>4</v>
      </c>
      <c r="Y24" s="169">
        <f>X24/X34</f>
        <v>5.1948051948051951E-2</v>
      </c>
      <c r="Z24" s="362"/>
      <c r="AA24" s="169">
        <f t="shared" ref="AA24:AA29" si="3">X24/$X$35</f>
        <v>5.4054054054054057E-2</v>
      </c>
      <c r="AB24" s="377"/>
    </row>
    <row r="25" spans="2:28" ht="21" customHeight="1">
      <c r="B25" s="365" t="s">
        <v>66</v>
      </c>
      <c r="C25" s="368">
        <f>COUNTIFS('1. All Data'!$AA$3:$AA$131,"Value for Money",'1. All Data'!$H$3:$H$131,"In Danger of Falling Behind Target")</f>
        <v>2</v>
      </c>
      <c r="D25" s="371">
        <f>C25/C34</f>
        <v>2.5974025974025976E-2</v>
      </c>
      <c r="E25" s="371">
        <f>D25</f>
        <v>2.5974025974025976E-2</v>
      </c>
      <c r="F25" s="371">
        <f>C25/C35</f>
        <v>3.3898305084745763E-2</v>
      </c>
      <c r="G25" s="374">
        <f>F25</f>
        <v>3.3898305084745763E-2</v>
      </c>
      <c r="I25" s="365" t="s">
        <v>66</v>
      </c>
      <c r="J25" s="368">
        <f>COUNTIFS('1. All Data'!$AA$3:$AA$131,"Value for Money",'1. All Data'!$M$3:$M$131,"In Danger of Falling Behind Target")</f>
        <v>3</v>
      </c>
      <c r="K25" s="371">
        <f>J25/J34</f>
        <v>3.896103896103896E-2</v>
      </c>
      <c r="L25" s="371">
        <f>K25</f>
        <v>3.896103896103896E-2</v>
      </c>
      <c r="M25" s="371">
        <f>J25/J35</f>
        <v>4.5454545454545456E-2</v>
      </c>
      <c r="N25" s="374">
        <f>M25</f>
        <v>4.5454545454545456E-2</v>
      </c>
      <c r="P25" s="365" t="s">
        <v>66</v>
      </c>
      <c r="Q25" s="368">
        <f>COUNTIFS('1. All Data'!$AA$3:$AA$131,"Value for Money",'1. All Data'!$R$3:$R$131,"In Danger of Falling Behind Target")</f>
        <v>0</v>
      </c>
      <c r="R25" s="371">
        <f>Q25/Q34</f>
        <v>0</v>
      </c>
      <c r="S25" s="371">
        <f>R25</f>
        <v>0</v>
      </c>
      <c r="T25" s="371">
        <f>Q25/Q35</f>
        <v>0</v>
      </c>
      <c r="U25" s="374">
        <f>T25</f>
        <v>0</v>
      </c>
      <c r="W25" s="170" t="s">
        <v>58</v>
      </c>
      <c r="X25" s="171">
        <f>COUNTIFS('1. All Data'!$AA$3:$AA$131,"Value for Money",'1. All Data'!$V$3:$V$131,"Numerical Outturn Within 10% Tolerance")</f>
        <v>0</v>
      </c>
      <c r="Y25" s="169">
        <f>X25/$X$34</f>
        <v>0</v>
      </c>
      <c r="Z25" s="362">
        <f>SUM(Y25:Y27)</f>
        <v>2.5974025974025976E-2</v>
      </c>
      <c r="AA25" s="169">
        <f t="shared" si="3"/>
        <v>0</v>
      </c>
      <c r="AB25" s="363">
        <f>SUM(AA25:AA27)</f>
        <v>2.7027027027027029E-2</v>
      </c>
    </row>
    <row r="26" spans="2:28" ht="20.25" customHeight="1">
      <c r="B26" s="366"/>
      <c r="C26" s="369"/>
      <c r="D26" s="372"/>
      <c r="E26" s="372"/>
      <c r="F26" s="372"/>
      <c r="G26" s="375"/>
      <c r="I26" s="366"/>
      <c r="J26" s="369"/>
      <c r="K26" s="372"/>
      <c r="L26" s="372"/>
      <c r="M26" s="372"/>
      <c r="N26" s="375"/>
      <c r="P26" s="366"/>
      <c r="Q26" s="369"/>
      <c r="R26" s="372"/>
      <c r="S26" s="372"/>
      <c r="T26" s="372"/>
      <c r="U26" s="375"/>
      <c r="W26" s="170" t="s">
        <v>59</v>
      </c>
      <c r="X26" s="171">
        <f>COUNTIFS('1. All Data'!$AA$3:$AA$131,"Value for Money",'1. All Data'!$V$3:$V$131,"Target Partially Met")</f>
        <v>1</v>
      </c>
      <c r="Y26" s="169">
        <f>X26/$X$34</f>
        <v>1.2987012987012988E-2</v>
      </c>
      <c r="Z26" s="362"/>
      <c r="AA26" s="169">
        <f t="shared" si="3"/>
        <v>1.3513513513513514E-2</v>
      </c>
      <c r="AB26" s="363"/>
    </row>
    <row r="27" spans="2:28" ht="18.75" customHeight="1">
      <c r="B27" s="367"/>
      <c r="C27" s="370"/>
      <c r="D27" s="373"/>
      <c r="E27" s="373"/>
      <c r="F27" s="373"/>
      <c r="G27" s="376"/>
      <c r="I27" s="367"/>
      <c r="J27" s="370"/>
      <c r="K27" s="373"/>
      <c r="L27" s="373"/>
      <c r="M27" s="373"/>
      <c r="N27" s="376"/>
      <c r="P27" s="367"/>
      <c r="Q27" s="370"/>
      <c r="R27" s="373"/>
      <c r="S27" s="373"/>
      <c r="T27" s="373"/>
      <c r="U27" s="376"/>
      <c r="W27" s="170" t="s">
        <v>62</v>
      </c>
      <c r="X27" s="171">
        <f>COUNTIFS('1. All Data'!$AA$3:$AA$131,"Value for Money",'1. All Data'!$V$3:$V$131,"Completion Date Within Reasonable Tolerance")</f>
        <v>1</v>
      </c>
      <c r="Y27" s="169">
        <f>X27/$X$34</f>
        <v>1.2987012987012988E-2</v>
      </c>
      <c r="Z27" s="362"/>
      <c r="AA27" s="169">
        <f t="shared" si="3"/>
        <v>1.3513513513513514E-2</v>
      </c>
      <c r="AB27" s="363"/>
    </row>
    <row r="28" spans="2:28" ht="20.25" customHeight="1">
      <c r="B28" s="172" t="s">
        <v>67</v>
      </c>
      <c r="C28" s="168">
        <f>COUNTIFS('1. All Data'!$AA$3:$AA$131,"Value for Money",'1. All Data'!$H$3:$H$131,"Completed Behind Schedule")</f>
        <v>0</v>
      </c>
      <c r="D28" s="169">
        <f>C28/C34</f>
        <v>0</v>
      </c>
      <c r="E28" s="362">
        <f>D28+D29</f>
        <v>0</v>
      </c>
      <c r="F28" s="169">
        <f>C28/C35</f>
        <v>0</v>
      </c>
      <c r="G28" s="364">
        <f>F28+F29</f>
        <v>0</v>
      </c>
      <c r="I28" s="172" t="s">
        <v>67</v>
      </c>
      <c r="J28" s="168">
        <f>COUNTIFS('1. All Data'!$AA$3:$AA$131,"Value for Money",'1. All Data'!$M$3:$M$131,"Completed Behind Schedule")</f>
        <v>1</v>
      </c>
      <c r="K28" s="169">
        <f>J28/J34</f>
        <v>1.2987012987012988E-2</v>
      </c>
      <c r="L28" s="362">
        <f>K28+K29</f>
        <v>1.2987012987012988E-2</v>
      </c>
      <c r="M28" s="169">
        <f>J28/J35</f>
        <v>1.5151515151515152E-2</v>
      </c>
      <c r="N28" s="364">
        <f>M28+M29</f>
        <v>1.5151515151515152E-2</v>
      </c>
      <c r="P28" s="172" t="s">
        <v>67</v>
      </c>
      <c r="Q28" s="168">
        <f>COUNTIFS('1. All Data'!$AA$3:$AA$131,"Value for Money",'1. All Data'!$R$3:$R$131,"Completed Behind Schedule")</f>
        <v>1</v>
      </c>
      <c r="R28" s="169">
        <f>Q28/Q34</f>
        <v>1.2987012987012988E-2</v>
      </c>
      <c r="S28" s="362">
        <f>R28+R29</f>
        <v>7.792207792207792E-2</v>
      </c>
      <c r="T28" s="169">
        <f>Q28/Q35</f>
        <v>1.3333333333333334E-2</v>
      </c>
      <c r="U28" s="364">
        <f>T28+T29</f>
        <v>0.08</v>
      </c>
      <c r="W28" s="172" t="s">
        <v>61</v>
      </c>
      <c r="X28" s="168">
        <f>COUNTIFS('1. All Data'!$AA$3:$AA$131,"Value for Money",'1. All Data'!$V$3:$V$131,"Completed Significantly After Target Deadline")</f>
        <v>1</v>
      </c>
      <c r="Y28" s="169">
        <f>X28/$X$34</f>
        <v>1.2987012987012988E-2</v>
      </c>
      <c r="Z28" s="362">
        <f>SUM(Y28:Y29)</f>
        <v>3.896103896103896E-2</v>
      </c>
      <c r="AA28" s="169">
        <f t="shared" si="3"/>
        <v>1.3513513513513514E-2</v>
      </c>
      <c r="AB28" s="364">
        <f>AA28+AA29</f>
        <v>4.0540540540540543E-2</v>
      </c>
    </row>
    <row r="29" spans="2:28" ht="20.25" customHeight="1">
      <c r="B29" s="172" t="s">
        <v>60</v>
      </c>
      <c r="C29" s="168">
        <f>COUNTIFS('1. All Data'!$AA$3:$AA$131,"Value for Money",'1. All Data'!$H$3:$H$131,"Off Target")</f>
        <v>0</v>
      </c>
      <c r="D29" s="169">
        <f>C29/C34</f>
        <v>0</v>
      </c>
      <c r="E29" s="362"/>
      <c r="F29" s="169">
        <f>C29/C35</f>
        <v>0</v>
      </c>
      <c r="G29" s="364"/>
      <c r="I29" s="172" t="s">
        <v>60</v>
      </c>
      <c r="J29" s="168">
        <f>COUNTIFS('1. All Data'!$AA$3:$AA$131,"Value for Money",'1. All Data'!$M$3:$M$131,"Off Target")</f>
        <v>0</v>
      </c>
      <c r="K29" s="169">
        <f>J29/J34</f>
        <v>0</v>
      </c>
      <c r="L29" s="362"/>
      <c r="M29" s="169">
        <f>J29/J35</f>
        <v>0</v>
      </c>
      <c r="N29" s="364"/>
      <c r="P29" s="172" t="s">
        <v>60</v>
      </c>
      <c r="Q29" s="168">
        <f>COUNTIFS('1. All Data'!$AA$3:$AA$131,"Value for Money",'1. All Data'!$R$3:$R$131,"Off Target")</f>
        <v>5</v>
      </c>
      <c r="R29" s="169">
        <f>Q29/Q34</f>
        <v>6.4935064935064929E-2</v>
      </c>
      <c r="S29" s="362"/>
      <c r="T29" s="169">
        <f>Q29/Q35</f>
        <v>6.6666666666666666E-2</v>
      </c>
      <c r="U29" s="364"/>
      <c r="W29" s="172" t="s">
        <v>60</v>
      </c>
      <c r="X29" s="168">
        <f>COUNTIFS('1. All Data'!$AA$3:$AA$131,"Value for Money",'1. All Data'!$V$3:$V$131,"Off Target")</f>
        <v>2</v>
      </c>
      <c r="Y29" s="169">
        <f>X29/$X$34</f>
        <v>2.5974025974025976E-2</v>
      </c>
      <c r="Z29" s="362"/>
      <c r="AA29" s="169">
        <f t="shared" si="3"/>
        <v>2.7027027027027029E-2</v>
      </c>
      <c r="AB29" s="364"/>
    </row>
    <row r="30" spans="2:28" ht="15" customHeight="1">
      <c r="B30" s="173" t="s">
        <v>89</v>
      </c>
      <c r="C30" s="168">
        <f>COUNTIFS('1. All Data'!$AA$3:$AA$131,"Value for Money",'1. All Data'!$H$3:$H$131,"Not yet due")</f>
        <v>18</v>
      </c>
      <c r="D30" s="174">
        <f>C30/C34</f>
        <v>0.23376623376623376</v>
      </c>
      <c r="E30" s="174">
        <f>D30</f>
        <v>0.23376623376623376</v>
      </c>
      <c r="F30" s="175"/>
      <c r="G30" s="59"/>
      <c r="I30" s="173" t="s">
        <v>89</v>
      </c>
      <c r="J30" s="168">
        <f>COUNTIFS('1. All Data'!$AA$3:$AA$131,"Value for Money",'1. All Data'!$M$3:$M$131,"Not yet due")</f>
        <v>11</v>
      </c>
      <c r="K30" s="174">
        <f>J30/J34</f>
        <v>0.14285714285714285</v>
      </c>
      <c r="L30" s="174">
        <f>K30</f>
        <v>0.14285714285714285</v>
      </c>
      <c r="M30" s="175"/>
      <c r="N30" s="59"/>
      <c r="P30" s="173" t="s">
        <v>89</v>
      </c>
      <c r="Q30" s="168">
        <f>COUNTIFS('1. All Data'!$AA$3:$AA$131,"Value for Money",'1. All Data'!$R$3:$R$131,"Not yet due")</f>
        <v>1</v>
      </c>
      <c r="R30" s="174">
        <f>Q30/Q34</f>
        <v>1.2987012987012988E-2</v>
      </c>
      <c r="S30" s="174">
        <f>R30</f>
        <v>1.2987012987012988E-2</v>
      </c>
      <c r="T30" s="175"/>
      <c r="U30" s="59"/>
      <c r="W30" s="173" t="s">
        <v>89</v>
      </c>
      <c r="X30" s="168">
        <f>COUNTIFS('1. All Data'!$AA$3:$AA$131,"Value for Money",'1. All Data'!$V$3:$V$131,"Not yet due")</f>
        <v>0</v>
      </c>
      <c r="Y30" s="169">
        <f t="shared" ref="Y30:Y33" si="4">X30/$X$34</f>
        <v>0</v>
      </c>
      <c r="Z30" s="169">
        <f>Y30</f>
        <v>0</v>
      </c>
      <c r="AA30" s="175"/>
      <c r="AB30" s="59"/>
    </row>
    <row r="31" spans="2:28" ht="15" customHeight="1">
      <c r="B31" s="173" t="s">
        <v>55</v>
      </c>
      <c r="C31" s="168">
        <f>COUNTIFS('1. All Data'!$AA$3:$AA$131,"Value for Money",'1. All Data'!$H$3:$H$131,"update not provided")</f>
        <v>0</v>
      </c>
      <c r="D31" s="174">
        <f>C31/C34</f>
        <v>0</v>
      </c>
      <c r="E31" s="174">
        <f>D31</f>
        <v>0</v>
      </c>
      <c r="F31" s="175"/>
      <c r="G31" s="2"/>
      <c r="I31" s="173" t="s">
        <v>55</v>
      </c>
      <c r="J31" s="168">
        <f>COUNTIFS('1. All Data'!$AA$3:$AA$131,"Value for Money",'1. All Data'!$M$3:$M$131,"update not provided")</f>
        <v>0</v>
      </c>
      <c r="K31" s="174">
        <f>J31/J34</f>
        <v>0</v>
      </c>
      <c r="L31" s="174">
        <f>K31</f>
        <v>0</v>
      </c>
      <c r="M31" s="175"/>
      <c r="N31" s="2"/>
      <c r="P31" s="173" t="s">
        <v>55</v>
      </c>
      <c r="Q31" s="168">
        <f>COUNTIFS('1. All Data'!$AA$3:$AA$131,"Value for Money",'1. All Data'!$R$3:$R$131,"update not provided")</f>
        <v>0</v>
      </c>
      <c r="R31" s="174">
        <f>Q31/Q34</f>
        <v>0</v>
      </c>
      <c r="S31" s="174">
        <f>R31</f>
        <v>0</v>
      </c>
      <c r="T31" s="175"/>
      <c r="U31" s="2"/>
      <c r="W31" s="173" t="s">
        <v>55</v>
      </c>
      <c r="X31" s="168">
        <f>COUNTIFS('1. All Data'!$AA$3:$AA$131,"Value for Money",'1. All Data'!$V$3:$V$131,"update not provided")</f>
        <v>0</v>
      </c>
      <c r="Y31" s="169">
        <f t="shared" si="4"/>
        <v>0</v>
      </c>
      <c r="Z31" s="169">
        <f t="shared" ref="Z31:Z33" si="5">Y31</f>
        <v>0</v>
      </c>
      <c r="AA31" s="175"/>
      <c r="AB31" s="2"/>
    </row>
    <row r="32" spans="2:28" ht="15.75" customHeight="1">
      <c r="B32" s="176" t="s">
        <v>63</v>
      </c>
      <c r="C32" s="168">
        <f>COUNTIFS('1. All Data'!$AA$3:$AA$131,"Value for Money",'1. All Data'!$H$3:$H$131,"Deferred")</f>
        <v>0</v>
      </c>
      <c r="D32" s="177">
        <f>C32/C34</f>
        <v>0</v>
      </c>
      <c r="E32" s="177">
        <f>D32</f>
        <v>0</v>
      </c>
      <c r="F32" s="178"/>
      <c r="G32" s="59"/>
      <c r="I32" s="176" t="s">
        <v>63</v>
      </c>
      <c r="J32" s="168">
        <f>COUNTIFS('1. All Data'!$AA$3:$AA$131,"Value for Money",'1. All Data'!$M$3:$M$131,"Deferred")</f>
        <v>0</v>
      </c>
      <c r="K32" s="177">
        <f>J32/J34</f>
        <v>0</v>
      </c>
      <c r="L32" s="177">
        <f>K32</f>
        <v>0</v>
      </c>
      <c r="M32" s="178"/>
      <c r="N32" s="59"/>
      <c r="P32" s="176" t="s">
        <v>63</v>
      </c>
      <c r="Q32" s="168">
        <f>COUNTIFS('1. All Data'!$AA$3:$AA$131,"Value for Money",'1. All Data'!$R$3:$R$131,"Deferred")</f>
        <v>1</v>
      </c>
      <c r="R32" s="177">
        <f>Q32/Q34</f>
        <v>1.2987012987012988E-2</v>
      </c>
      <c r="S32" s="177">
        <f>R32</f>
        <v>1.2987012987012988E-2</v>
      </c>
      <c r="T32" s="178"/>
      <c r="U32" s="59"/>
      <c r="W32" s="176" t="s">
        <v>63</v>
      </c>
      <c r="X32" s="168">
        <f>COUNTIFS('1. All Data'!$AA$3:$AA$131,"Value for Money",'1. All Data'!$V$3:$V$131,"Deferred")</f>
        <v>1</v>
      </c>
      <c r="Y32" s="169">
        <f t="shared" si="4"/>
        <v>1.2987012987012988E-2</v>
      </c>
      <c r="Z32" s="169">
        <f t="shared" si="5"/>
        <v>1.2987012987012988E-2</v>
      </c>
      <c r="AA32" s="178"/>
      <c r="AB32" s="59"/>
    </row>
    <row r="33" spans="2:30" ht="15.75" customHeight="1">
      <c r="B33" s="176" t="s">
        <v>64</v>
      </c>
      <c r="C33" s="168">
        <f>COUNTIFS('1. All Data'!$AA$3:$AA$131,"Value for Money",'1. All Data'!$H$3:$H$131,"Deleted")</f>
        <v>0</v>
      </c>
      <c r="D33" s="177">
        <f>C33/C34</f>
        <v>0</v>
      </c>
      <c r="E33" s="177">
        <f>D33</f>
        <v>0</v>
      </c>
      <c r="F33" s="178"/>
      <c r="G33" s="3"/>
      <c r="I33" s="176" t="s">
        <v>64</v>
      </c>
      <c r="J33" s="168">
        <f>COUNTIFS('1. All Data'!$AA$3:$AA$131,"Value for Money",'1. All Data'!$M$3:$M$131,"Deleted")</f>
        <v>0</v>
      </c>
      <c r="K33" s="177">
        <f>J33/J34</f>
        <v>0</v>
      </c>
      <c r="L33" s="177">
        <f>K33</f>
        <v>0</v>
      </c>
      <c r="M33" s="178"/>
      <c r="N33" s="3"/>
      <c r="P33" s="176" t="s">
        <v>64</v>
      </c>
      <c r="Q33" s="168">
        <f>COUNTIFS('1. All Data'!$AA$3:$AA$131,"Value for Money",'1. All Data'!$R$3:$R$131,"Deleted")</f>
        <v>0</v>
      </c>
      <c r="R33" s="177">
        <f>Q33/Q34</f>
        <v>0</v>
      </c>
      <c r="S33" s="177">
        <f>R33</f>
        <v>0</v>
      </c>
      <c r="T33" s="178"/>
      <c r="U33" s="3"/>
      <c r="W33" s="176" t="s">
        <v>64</v>
      </c>
      <c r="X33" s="168">
        <f>COUNTIFS('1. All Data'!$AA$3:$AA$131,"Value for Money",'1. All Data'!$V$3:$V$131,"Deleted")</f>
        <v>2</v>
      </c>
      <c r="Y33" s="169">
        <f t="shared" si="4"/>
        <v>2.5974025974025976E-2</v>
      </c>
      <c r="Z33" s="169">
        <f t="shared" si="5"/>
        <v>2.5974025974025976E-2</v>
      </c>
      <c r="AA33" s="178"/>
      <c r="AD33" s="3"/>
    </row>
    <row r="34" spans="2:30" ht="15.75" customHeight="1">
      <c r="B34" s="179" t="s">
        <v>91</v>
      </c>
      <c r="C34" s="180">
        <f>SUM(C23:C33)</f>
        <v>77</v>
      </c>
      <c r="D34" s="178"/>
      <c r="E34" s="178"/>
      <c r="F34" s="59"/>
      <c r="G34" s="59"/>
      <c r="I34" s="179" t="s">
        <v>91</v>
      </c>
      <c r="J34" s="180">
        <f>SUM(J23:J33)</f>
        <v>77</v>
      </c>
      <c r="K34" s="178"/>
      <c r="L34" s="178"/>
      <c r="M34" s="59"/>
      <c r="N34" s="59"/>
      <c r="P34" s="179" t="s">
        <v>91</v>
      </c>
      <c r="Q34" s="180">
        <f>SUM(Q23:Q33)</f>
        <v>77</v>
      </c>
      <c r="R34" s="178"/>
      <c r="S34" s="178"/>
      <c r="T34" s="59"/>
      <c r="U34" s="59"/>
      <c r="W34" s="179" t="s">
        <v>91</v>
      </c>
      <c r="X34" s="180">
        <f>SUM(X23:X33)</f>
        <v>77</v>
      </c>
      <c r="Y34" s="178"/>
      <c r="Z34" s="178"/>
      <c r="AA34" s="59"/>
      <c r="AB34" s="59"/>
    </row>
    <row r="35" spans="2:30" ht="15.75" customHeight="1">
      <c r="B35" s="179" t="s">
        <v>92</v>
      </c>
      <c r="C35" s="180">
        <f>C34-C33-C32-C31-C30</f>
        <v>59</v>
      </c>
      <c r="D35" s="59"/>
      <c r="E35" s="59"/>
      <c r="F35" s="59"/>
      <c r="G35" s="59"/>
      <c r="I35" s="179" t="s">
        <v>92</v>
      </c>
      <c r="J35" s="180">
        <f>J34-J33-J32-J31-J30</f>
        <v>66</v>
      </c>
      <c r="K35" s="59"/>
      <c r="L35" s="59"/>
      <c r="M35" s="59"/>
      <c r="N35" s="59"/>
      <c r="P35" s="179" t="s">
        <v>92</v>
      </c>
      <c r="Q35" s="180">
        <f>Q34-Q33-Q32-Q31-Q30</f>
        <v>75</v>
      </c>
      <c r="R35" s="59"/>
      <c r="S35" s="59"/>
      <c r="T35" s="59"/>
      <c r="U35" s="59"/>
      <c r="W35" s="179" t="s">
        <v>92</v>
      </c>
      <c r="X35" s="180">
        <f>X34-X33-X32-X31-X30</f>
        <v>74</v>
      </c>
      <c r="Y35" s="59"/>
      <c r="Z35" s="59"/>
      <c r="AA35" s="59"/>
      <c r="AB35" s="59"/>
    </row>
    <row r="36" spans="2:30" ht="15.75" customHeight="1">
      <c r="W36" s="187"/>
      <c r="X36" s="166"/>
      <c r="Y36" s="166"/>
      <c r="Z36" s="166"/>
      <c r="AA36" s="59"/>
      <c r="AB36" s="188"/>
    </row>
    <row r="37" spans="2:30" ht="15.75" customHeight="1"/>
    <row r="38" spans="2:30" s="167" customFormat="1" ht="15.75" customHeight="1">
      <c r="B38" s="189"/>
      <c r="C38" s="166"/>
      <c r="D38" s="166"/>
      <c r="E38" s="166"/>
      <c r="F38" s="59"/>
      <c r="G38" s="166"/>
      <c r="H38" s="166"/>
      <c r="I38" s="189"/>
      <c r="J38" s="166"/>
      <c r="K38" s="166"/>
      <c r="L38" s="166"/>
      <c r="M38" s="59"/>
      <c r="N38" s="166"/>
      <c r="O38" s="166"/>
      <c r="P38" s="189"/>
      <c r="Q38" s="166"/>
      <c r="R38" s="166"/>
      <c r="S38" s="166"/>
      <c r="T38" s="59"/>
      <c r="U38" s="166"/>
      <c r="V38" s="166"/>
      <c r="W38" s="166"/>
      <c r="X38" s="166"/>
      <c r="Y38" s="166"/>
      <c r="Z38" s="166"/>
      <c r="AA38" s="166"/>
      <c r="AB38" s="188"/>
    </row>
    <row r="39" spans="2:30" ht="15.75" customHeight="1">
      <c r="B39" s="190" t="s">
        <v>94</v>
      </c>
      <c r="C39" s="191"/>
      <c r="D39" s="191"/>
      <c r="E39" s="191"/>
      <c r="F39" s="192"/>
      <c r="G39" s="193"/>
      <c r="I39" s="190" t="s">
        <v>94</v>
      </c>
      <c r="J39" s="191"/>
      <c r="K39" s="191"/>
      <c r="L39" s="191"/>
      <c r="M39" s="192"/>
      <c r="N39" s="193"/>
      <c r="P39" s="190" t="s">
        <v>94</v>
      </c>
      <c r="Q39" s="191"/>
      <c r="R39" s="191"/>
      <c r="S39" s="191"/>
      <c r="T39" s="192"/>
      <c r="U39" s="193"/>
      <c r="W39" s="190" t="s">
        <v>94</v>
      </c>
      <c r="X39" s="163"/>
      <c r="Y39" s="163"/>
      <c r="Z39" s="163"/>
      <c r="AA39" s="163"/>
      <c r="AB39" s="164"/>
    </row>
    <row r="40" spans="2:30" ht="36" customHeight="1">
      <c r="B40" s="165" t="s">
        <v>82</v>
      </c>
      <c r="C40" s="165" t="s">
        <v>83</v>
      </c>
      <c r="D40" s="165" t="s">
        <v>84</v>
      </c>
      <c r="E40" s="165" t="s">
        <v>85</v>
      </c>
      <c r="F40" s="165" t="s">
        <v>86</v>
      </c>
      <c r="G40" s="165" t="s">
        <v>87</v>
      </c>
      <c r="I40" s="165" t="s">
        <v>82</v>
      </c>
      <c r="J40" s="165" t="s">
        <v>83</v>
      </c>
      <c r="K40" s="165" t="s">
        <v>84</v>
      </c>
      <c r="L40" s="165" t="s">
        <v>85</v>
      </c>
      <c r="M40" s="165" t="s">
        <v>86</v>
      </c>
      <c r="N40" s="165" t="s">
        <v>87</v>
      </c>
      <c r="P40" s="165" t="s">
        <v>82</v>
      </c>
      <c r="Q40" s="165" t="s">
        <v>83</v>
      </c>
      <c r="R40" s="165" t="s">
        <v>84</v>
      </c>
      <c r="S40" s="165" t="s">
        <v>85</v>
      </c>
      <c r="T40" s="165" t="s">
        <v>86</v>
      </c>
      <c r="U40" s="165" t="s">
        <v>87</v>
      </c>
      <c r="W40" s="165" t="s">
        <v>82</v>
      </c>
      <c r="X40" s="165" t="s">
        <v>83</v>
      </c>
      <c r="Y40" s="165" t="s">
        <v>84</v>
      </c>
      <c r="Z40" s="165" t="s">
        <v>85</v>
      </c>
      <c r="AA40" s="165" t="s">
        <v>86</v>
      </c>
      <c r="AB40" s="165" t="s">
        <v>87</v>
      </c>
    </row>
    <row r="41" spans="2:30" ht="18.75" customHeight="1">
      <c r="B41" s="231" t="s">
        <v>88</v>
      </c>
      <c r="C41" s="168">
        <f>COUNTIFS('1. All Data'!$AA$3:$AA$131,"Environment and Health &amp; Wellbeing",'1. All Data'!$H$3:$H$131,"Fully Achieved")</f>
        <v>0</v>
      </c>
      <c r="D41" s="169">
        <f>C41/C52</f>
        <v>0</v>
      </c>
      <c r="E41" s="362">
        <f>D41+D42</f>
        <v>0.77272727272727271</v>
      </c>
      <c r="F41" s="169">
        <f>C41/C53</f>
        <v>0</v>
      </c>
      <c r="G41" s="377">
        <f>F41+F42</f>
        <v>1</v>
      </c>
      <c r="I41" s="231" t="s">
        <v>88</v>
      </c>
      <c r="J41" s="168">
        <f>COUNTIFS('1. All Data'!$AA$3:$AA$131,"Environment and Health &amp; Wellbeing",'1. All Data'!$M$3:$M$131,"Fully Achieved")</f>
        <v>3</v>
      </c>
      <c r="K41" s="169">
        <f>J41/J52</f>
        <v>0.13636363636363635</v>
      </c>
      <c r="L41" s="362">
        <f>K41+K42</f>
        <v>0.86363636363636365</v>
      </c>
      <c r="M41" s="169">
        <f>J41/J53</f>
        <v>0.15789473684210525</v>
      </c>
      <c r="N41" s="377">
        <f>M41+M42</f>
        <v>1</v>
      </c>
      <c r="P41" s="231" t="s">
        <v>88</v>
      </c>
      <c r="Q41" s="168">
        <f>COUNTIFS('1. All Data'!$AA$3:$AA$131,"Environment and Health &amp; Wellbeing",'1. All Data'!$R$3:$R$131,"Fully Achieved")</f>
        <v>8</v>
      </c>
      <c r="R41" s="169">
        <f>Q41/Q52</f>
        <v>0.36363636363636365</v>
      </c>
      <c r="S41" s="362">
        <f>R41+R42</f>
        <v>0.90909090909090906</v>
      </c>
      <c r="T41" s="169">
        <f>Q41/Q53</f>
        <v>0.38095238095238093</v>
      </c>
      <c r="U41" s="377">
        <f>T41+T42</f>
        <v>0.95238095238095233</v>
      </c>
      <c r="W41" s="231" t="s">
        <v>88</v>
      </c>
      <c r="X41" s="168">
        <f>COUNTIFS('1. All Data'!$AA$3:$AA$131,"Environment and Health &amp; Wellbeing",'1. All Data'!$V$3:$V$131,"Fully Achieved")</f>
        <v>18</v>
      </c>
      <c r="Y41" s="169">
        <f>X41/X52</f>
        <v>0.81818181818181823</v>
      </c>
      <c r="Z41" s="362">
        <f>Y41+Y42</f>
        <v>0.81818181818181823</v>
      </c>
      <c r="AA41" s="169">
        <f>X41/X53</f>
        <v>0.9</v>
      </c>
      <c r="AB41" s="377">
        <f>AA41+AA42</f>
        <v>0.9</v>
      </c>
    </row>
    <row r="42" spans="2:30" ht="18.75" customHeight="1">
      <c r="B42" s="231" t="s">
        <v>65</v>
      </c>
      <c r="C42" s="168">
        <f>COUNTIFS('1. All Data'!$AA$3:$AA$131,"Environment and Health &amp; Wellbeing",'1. All Data'!$H$3:$H$131,"On Track to be achieved")</f>
        <v>17</v>
      </c>
      <c r="D42" s="169">
        <f>C42/C52</f>
        <v>0.77272727272727271</v>
      </c>
      <c r="E42" s="362"/>
      <c r="F42" s="169">
        <f>C42/C53</f>
        <v>1</v>
      </c>
      <c r="G42" s="377"/>
      <c r="I42" s="231" t="s">
        <v>65</v>
      </c>
      <c r="J42" s="168">
        <f>COUNTIFS('1. All Data'!$AA$3:$AA$131,"Environment and Health &amp; Wellbeing",'1. All Data'!$M$3:$M$131,"On Track to be achieved")</f>
        <v>16</v>
      </c>
      <c r="K42" s="169">
        <f>J42/J52</f>
        <v>0.72727272727272729</v>
      </c>
      <c r="L42" s="362"/>
      <c r="M42" s="169">
        <f>J42/J53</f>
        <v>0.84210526315789469</v>
      </c>
      <c r="N42" s="377"/>
      <c r="P42" s="231" t="s">
        <v>65</v>
      </c>
      <c r="Q42" s="168">
        <f>COUNTIFS('1. All Data'!$AA$3:$AA$131,"Environment and Health &amp; Wellbeing",'1. All Data'!$R$3:$R$131,"On Track to be achieved")</f>
        <v>12</v>
      </c>
      <c r="R42" s="169">
        <f>Q42/Q52</f>
        <v>0.54545454545454541</v>
      </c>
      <c r="S42" s="362"/>
      <c r="T42" s="169">
        <f>Q42/Q53</f>
        <v>0.5714285714285714</v>
      </c>
      <c r="U42" s="377"/>
      <c r="W42" s="231" t="s">
        <v>57</v>
      </c>
      <c r="X42" s="168">
        <f>COUNTIFS('1. All Data'!$AA$3:$AA$131,"Environment and Health &amp; Wellbeing",'1. All Data'!$V$3:$V$131,"Numerical Outturn Within 5% Tolerance")</f>
        <v>0</v>
      </c>
      <c r="Y42" s="169">
        <f>X42/X52</f>
        <v>0</v>
      </c>
      <c r="Z42" s="362"/>
      <c r="AA42" s="169">
        <f>X42/X53</f>
        <v>0</v>
      </c>
      <c r="AB42" s="377"/>
    </row>
    <row r="43" spans="2:30" ht="19.5" customHeight="1">
      <c r="B43" s="365" t="s">
        <v>66</v>
      </c>
      <c r="C43" s="368">
        <f>COUNTIFS('1. All Data'!$AA$3:$AA$131,"Environment and Health &amp; Wellbeing",'1. All Data'!$H$3:$H$131,"In Danger of Falling Behind Target")</f>
        <v>0</v>
      </c>
      <c r="D43" s="371">
        <f>C43/C52</f>
        <v>0</v>
      </c>
      <c r="E43" s="371">
        <f>D43</f>
        <v>0</v>
      </c>
      <c r="F43" s="371">
        <f>C43/C53</f>
        <v>0</v>
      </c>
      <c r="G43" s="374">
        <f>F43</f>
        <v>0</v>
      </c>
      <c r="I43" s="365" t="s">
        <v>66</v>
      </c>
      <c r="J43" s="368">
        <f>COUNTIFS('1. All Data'!$AA$3:$AA$131,"Environment and Health &amp; Wellbeing",'1. All Data'!$M$3:$M$131,"In Danger of Falling Behind Target")</f>
        <v>0</v>
      </c>
      <c r="K43" s="371">
        <f>J43/J52</f>
        <v>0</v>
      </c>
      <c r="L43" s="371">
        <f>K43</f>
        <v>0</v>
      </c>
      <c r="M43" s="371">
        <f>J43/J53</f>
        <v>0</v>
      </c>
      <c r="N43" s="374">
        <f>M43</f>
        <v>0</v>
      </c>
      <c r="P43" s="365" t="s">
        <v>66</v>
      </c>
      <c r="Q43" s="368">
        <f>COUNTIFS('1. All Data'!$AA$3:$AA$131,"Environment and Health &amp; Wellbeing",'1. All Data'!$R$3:$R$131,"In Danger of Falling Behind Target")</f>
        <v>0</v>
      </c>
      <c r="R43" s="371">
        <f>Q43/Q52</f>
        <v>0</v>
      </c>
      <c r="S43" s="371">
        <f>R43</f>
        <v>0</v>
      </c>
      <c r="T43" s="371">
        <f>Q43/Q53</f>
        <v>0</v>
      </c>
      <c r="U43" s="374">
        <f>T43</f>
        <v>0</v>
      </c>
      <c r="W43" s="170" t="s">
        <v>58</v>
      </c>
      <c r="X43" s="171">
        <f>COUNTIFS('1. All Data'!$AA$3:$AA$131,"Environment and Health &amp; Wellbeing",'1. All Data'!$V$3:$V$131,"Numerical Outturn Within 10% Tolerance")</f>
        <v>0</v>
      </c>
      <c r="Y43" s="169">
        <f>X43/X52</f>
        <v>0</v>
      </c>
      <c r="Z43" s="362">
        <f>SUM(Y43:Y45)</f>
        <v>0</v>
      </c>
      <c r="AA43" s="169">
        <f>X43/X53</f>
        <v>0</v>
      </c>
      <c r="AB43" s="363">
        <f>SUM(AA43:AA45)</f>
        <v>0</v>
      </c>
    </row>
    <row r="44" spans="2:30" ht="19.5" customHeight="1">
      <c r="B44" s="366"/>
      <c r="C44" s="369"/>
      <c r="D44" s="372"/>
      <c r="E44" s="372"/>
      <c r="F44" s="372"/>
      <c r="G44" s="375"/>
      <c r="I44" s="366"/>
      <c r="J44" s="369"/>
      <c r="K44" s="372"/>
      <c r="L44" s="372"/>
      <c r="M44" s="372"/>
      <c r="N44" s="375"/>
      <c r="P44" s="366"/>
      <c r="Q44" s="369"/>
      <c r="R44" s="372"/>
      <c r="S44" s="372"/>
      <c r="T44" s="372"/>
      <c r="U44" s="375"/>
      <c r="W44" s="170" t="s">
        <v>59</v>
      </c>
      <c r="X44" s="171">
        <f>COUNTIFS('1. All Data'!$AA$3:$AA$131,"Environment and Health &amp; Wellbeing",'1. All Data'!$V$3:$V$131,"Target Partially Met")</f>
        <v>0</v>
      </c>
      <c r="Y44" s="169">
        <f>X44/X52</f>
        <v>0</v>
      </c>
      <c r="Z44" s="362"/>
      <c r="AA44" s="169">
        <f>X44/X53</f>
        <v>0</v>
      </c>
      <c r="AB44" s="363"/>
    </row>
    <row r="45" spans="2:30" ht="19.5" customHeight="1">
      <c r="B45" s="367"/>
      <c r="C45" s="370"/>
      <c r="D45" s="373"/>
      <c r="E45" s="373"/>
      <c r="F45" s="373"/>
      <c r="G45" s="376"/>
      <c r="I45" s="367"/>
      <c r="J45" s="370"/>
      <c r="K45" s="373"/>
      <c r="L45" s="373"/>
      <c r="M45" s="373"/>
      <c r="N45" s="376"/>
      <c r="P45" s="367"/>
      <c r="Q45" s="370"/>
      <c r="R45" s="373"/>
      <c r="S45" s="373"/>
      <c r="T45" s="373"/>
      <c r="U45" s="376"/>
      <c r="W45" s="170" t="s">
        <v>62</v>
      </c>
      <c r="X45" s="171">
        <f>COUNTIFS('1. All Data'!$AA$3:$AA$131,"Environment and Health &amp; Wellbeing",'1. All Data'!$V$3:$V$131,"Completion Date Within Reasonable Tolerance")</f>
        <v>0</v>
      </c>
      <c r="Y45" s="169">
        <f>X45/X52</f>
        <v>0</v>
      </c>
      <c r="Z45" s="362"/>
      <c r="AA45" s="169">
        <f>X45/X53</f>
        <v>0</v>
      </c>
      <c r="AB45" s="363"/>
    </row>
    <row r="46" spans="2:30" ht="22.5" customHeight="1">
      <c r="B46" s="172" t="s">
        <v>67</v>
      </c>
      <c r="C46" s="168">
        <f>COUNTIFS('1. All Data'!$AA$3:$AA$131,"Environment and Health &amp; Wellbeing",'1. All Data'!$H$3:$H$131,"Completed Behind Schedule")</f>
        <v>0</v>
      </c>
      <c r="D46" s="169">
        <f>C46/C52</f>
        <v>0</v>
      </c>
      <c r="E46" s="362">
        <f>D46+D47</f>
        <v>0</v>
      </c>
      <c r="F46" s="169">
        <f>C46/C53</f>
        <v>0</v>
      </c>
      <c r="G46" s="364">
        <f>F46+F47</f>
        <v>0</v>
      </c>
      <c r="I46" s="172" t="s">
        <v>67</v>
      </c>
      <c r="J46" s="168">
        <f>COUNTIFS('1. All Data'!$AA$3:$AA$131,"Environment and Health &amp; Wellbeing",'1. All Data'!$M$3:$M$131,"Completed Behind Schedule")</f>
        <v>0</v>
      </c>
      <c r="K46" s="169">
        <f>J46/J52</f>
        <v>0</v>
      </c>
      <c r="L46" s="362">
        <f>K46+K47</f>
        <v>0</v>
      </c>
      <c r="M46" s="169">
        <f>J46/J53</f>
        <v>0</v>
      </c>
      <c r="N46" s="364">
        <f>M46+M47</f>
        <v>0</v>
      </c>
      <c r="P46" s="172" t="s">
        <v>67</v>
      </c>
      <c r="Q46" s="168">
        <f>COUNTIFS('1. All Data'!$AA$3:$AA$131,"Environment and Health &amp; Wellbeing",'1. All Data'!$R$3:$R$131,"Completed Behind Schedule")</f>
        <v>0</v>
      </c>
      <c r="R46" s="169">
        <f>Q46/Q52</f>
        <v>0</v>
      </c>
      <c r="S46" s="362">
        <f>R46+R47</f>
        <v>4.5454545454545456E-2</v>
      </c>
      <c r="T46" s="169">
        <f>Q46/Q53</f>
        <v>0</v>
      </c>
      <c r="U46" s="364">
        <f>T46+T47</f>
        <v>4.7619047619047616E-2</v>
      </c>
      <c r="W46" s="172" t="s">
        <v>61</v>
      </c>
      <c r="X46" s="168">
        <f>COUNTIFS('1. All Data'!$AA$3:$AA$131,"Environment and Health &amp; Wellbeing",'1. All Data'!$V$3:$V$131,"Completed Significantly After Target Deadline")</f>
        <v>0</v>
      </c>
      <c r="Y46" s="169">
        <f>X46/X52</f>
        <v>0</v>
      </c>
      <c r="Z46" s="362">
        <f>SUM(Y46:Y47)</f>
        <v>9.0909090909090912E-2</v>
      </c>
      <c r="AA46" s="169">
        <f>X46/X53</f>
        <v>0</v>
      </c>
      <c r="AB46" s="364">
        <f>AA46+AA47</f>
        <v>0.1</v>
      </c>
    </row>
    <row r="47" spans="2:30" ht="22.5" customHeight="1">
      <c r="B47" s="172" t="s">
        <v>60</v>
      </c>
      <c r="C47" s="168">
        <f>COUNTIFS('1. All Data'!$AA$3:$AA$131,"Environment and Health &amp; Wellbeing",'1. All Data'!$H$3:$H$131,"Off Target")</f>
        <v>0</v>
      </c>
      <c r="D47" s="169">
        <f>C47/C52</f>
        <v>0</v>
      </c>
      <c r="E47" s="362"/>
      <c r="F47" s="169">
        <f>C47/C53</f>
        <v>0</v>
      </c>
      <c r="G47" s="364"/>
      <c r="I47" s="172" t="s">
        <v>60</v>
      </c>
      <c r="J47" s="168">
        <f>COUNTIFS('1. All Data'!$AA$3:$AA$131,"Environment and Health &amp; Wellbeing",'1. All Data'!$M$3:$M$131,"Off Target")</f>
        <v>0</v>
      </c>
      <c r="K47" s="169">
        <f>J47/J52</f>
        <v>0</v>
      </c>
      <c r="L47" s="362"/>
      <c r="M47" s="169">
        <f>J47/J53</f>
        <v>0</v>
      </c>
      <c r="N47" s="364"/>
      <c r="P47" s="172" t="s">
        <v>60</v>
      </c>
      <c r="Q47" s="168">
        <f>COUNTIFS('1. All Data'!$AA$3:$AA$131,"Environment and Health &amp; Wellbeing",'1. All Data'!$R$3:$R$131,"Off Target")</f>
        <v>1</v>
      </c>
      <c r="R47" s="169">
        <f>Q47/Q52</f>
        <v>4.5454545454545456E-2</v>
      </c>
      <c r="S47" s="362"/>
      <c r="T47" s="169">
        <f>Q47/Q53</f>
        <v>4.7619047619047616E-2</v>
      </c>
      <c r="U47" s="364"/>
      <c r="W47" s="172" t="s">
        <v>60</v>
      </c>
      <c r="X47" s="168">
        <f>COUNTIFS('1. All Data'!$AA$3:$AA$131,"Environment and Health &amp; Wellbeing",'1. All Data'!$V$3:$V$131,"Off Target")</f>
        <v>2</v>
      </c>
      <c r="Y47" s="169">
        <f>X47/X52</f>
        <v>9.0909090909090912E-2</v>
      </c>
      <c r="Z47" s="362"/>
      <c r="AA47" s="169">
        <f>X47/X53</f>
        <v>0.1</v>
      </c>
      <c r="AB47" s="364"/>
    </row>
    <row r="48" spans="2:30" ht="15.75" customHeight="1">
      <c r="B48" s="173" t="s">
        <v>89</v>
      </c>
      <c r="C48" s="168">
        <f>COUNTIFS('1. All Data'!$AA$3:$AA$131,"Environment and Health &amp; Wellbeing",'1. All Data'!$H$3:$H$131,"Not yet due")</f>
        <v>4</v>
      </c>
      <c r="D48" s="174">
        <f>C48/C52</f>
        <v>0.18181818181818182</v>
      </c>
      <c r="E48" s="174">
        <f>D48</f>
        <v>0.18181818181818182</v>
      </c>
      <c r="F48" s="175"/>
      <c r="G48" s="59"/>
      <c r="I48" s="173" t="s">
        <v>89</v>
      </c>
      <c r="J48" s="168">
        <f>COUNTIFS('1. All Data'!$AA$3:$AA$131,"Environment and Health &amp; Wellbeing",'1. All Data'!$M$3:$M$131,"Not yet due")</f>
        <v>2</v>
      </c>
      <c r="K48" s="174">
        <f>J48/J52</f>
        <v>9.0909090909090912E-2</v>
      </c>
      <c r="L48" s="174">
        <f>K48</f>
        <v>9.0909090909090912E-2</v>
      </c>
      <c r="M48" s="175"/>
      <c r="N48" s="59"/>
      <c r="P48" s="173" t="s">
        <v>89</v>
      </c>
      <c r="Q48" s="168">
        <f>COUNTIFS('1. All Data'!$AA$3:$AA$131,"Environment and Health &amp; Wellbeing",'1. All Data'!$R$3:$R$131,"Not yet due")</f>
        <v>0</v>
      </c>
      <c r="R48" s="174">
        <f>Q48/Q52</f>
        <v>0</v>
      </c>
      <c r="S48" s="174">
        <f>R48</f>
        <v>0</v>
      </c>
      <c r="T48" s="175"/>
      <c r="U48" s="59"/>
      <c r="W48" s="173" t="s">
        <v>89</v>
      </c>
      <c r="X48" s="168">
        <f>COUNTIFS('1. All Data'!$AA$3:$AA$131,"Environment and Health &amp; Wellbeing",'1. All Data'!$V$3:$V$131,"Not yet due")</f>
        <v>0</v>
      </c>
      <c r="Y48" s="169">
        <f>X48/X52</f>
        <v>0</v>
      </c>
      <c r="Z48" s="169">
        <f>Y48</f>
        <v>0</v>
      </c>
      <c r="AA48" s="175"/>
      <c r="AB48" s="59"/>
    </row>
    <row r="49" spans="2:30" ht="15.75" customHeight="1">
      <c r="B49" s="173" t="s">
        <v>55</v>
      </c>
      <c r="C49" s="168">
        <f>COUNTIFS('1. All Data'!$AA$3:$AA$131,"Environment and Health &amp; Wellbeing",'1. All Data'!$H$3:$H$131,"update not provided")</f>
        <v>0</v>
      </c>
      <c r="D49" s="174">
        <f>C49/C52</f>
        <v>0</v>
      </c>
      <c r="E49" s="174">
        <f>D49</f>
        <v>0</v>
      </c>
      <c r="F49" s="175"/>
      <c r="G49" s="2"/>
      <c r="I49" s="173" t="s">
        <v>55</v>
      </c>
      <c r="J49" s="168">
        <f>COUNTIFS('1. All Data'!$AA$3:$AA$131,"Environment and Health &amp; Wellbeing",'1. All Data'!$M$3:$M$131,"update not provided")</f>
        <v>0</v>
      </c>
      <c r="K49" s="174">
        <f>J49/J52</f>
        <v>0</v>
      </c>
      <c r="L49" s="174">
        <f>K49</f>
        <v>0</v>
      </c>
      <c r="M49" s="175"/>
      <c r="N49" s="2"/>
      <c r="P49" s="173" t="s">
        <v>55</v>
      </c>
      <c r="Q49" s="168">
        <f>COUNTIFS('1. All Data'!$AA$3:$AA$131,"Environment and Health &amp; Wellbeing",'1. All Data'!$R$3:$R$131,"update not provided")</f>
        <v>0</v>
      </c>
      <c r="R49" s="174">
        <f>Q49/Q52</f>
        <v>0</v>
      </c>
      <c r="S49" s="174">
        <f>R49</f>
        <v>0</v>
      </c>
      <c r="T49" s="175"/>
      <c r="U49" s="2"/>
      <c r="W49" s="173" t="s">
        <v>55</v>
      </c>
      <c r="X49" s="168">
        <f>COUNTIFS('1. All Data'!$AA$3:$AA$131,"Environment and Health &amp; Wellbeing",'1. All Data'!$V$3:$V$131,"update not provided")</f>
        <v>0</v>
      </c>
      <c r="Y49" s="169">
        <f>X49/X52</f>
        <v>0</v>
      </c>
      <c r="Z49" s="169">
        <f t="shared" ref="Z49:Z51" si="6">Y49</f>
        <v>0</v>
      </c>
      <c r="AA49" s="175"/>
      <c r="AB49" s="2"/>
    </row>
    <row r="50" spans="2:30" ht="15.75" customHeight="1">
      <c r="B50" s="176" t="s">
        <v>63</v>
      </c>
      <c r="C50" s="168">
        <f>COUNTIFS('1. All Data'!$AA$3:$AA$131,"Environment and Health &amp; Wellbeing",'1. All Data'!$H$3:$H$131,"Deferred")</f>
        <v>1</v>
      </c>
      <c r="D50" s="177">
        <f>C50/C52</f>
        <v>4.5454545454545456E-2</v>
      </c>
      <c r="E50" s="177">
        <f>D50</f>
        <v>4.5454545454545456E-2</v>
      </c>
      <c r="F50" s="178"/>
      <c r="G50" s="59"/>
      <c r="I50" s="176" t="s">
        <v>63</v>
      </c>
      <c r="J50" s="168">
        <f>COUNTIFS('1. All Data'!$AA$3:$AA$131,"Environment and Health &amp; Wellbeing",'1. All Data'!$M$3:$M$131,"Deferred")</f>
        <v>1</v>
      </c>
      <c r="K50" s="177">
        <f>J50/J52</f>
        <v>4.5454545454545456E-2</v>
      </c>
      <c r="L50" s="177">
        <f>K50</f>
        <v>4.5454545454545456E-2</v>
      </c>
      <c r="M50" s="178"/>
      <c r="N50" s="59"/>
      <c r="P50" s="176" t="s">
        <v>63</v>
      </c>
      <c r="Q50" s="168">
        <f>COUNTIFS('1. All Data'!$AA$3:$AA$131,"Environment and Health &amp; Wellbeing",'1. All Data'!$R$3:$R$131,"Deferred")</f>
        <v>1</v>
      </c>
      <c r="R50" s="177">
        <f>Q50/Q52</f>
        <v>4.5454545454545456E-2</v>
      </c>
      <c r="S50" s="177">
        <f>R50</f>
        <v>4.5454545454545456E-2</v>
      </c>
      <c r="T50" s="178"/>
      <c r="U50" s="59"/>
      <c r="W50" s="176" t="s">
        <v>63</v>
      </c>
      <c r="X50" s="168">
        <f>COUNTIFS('1. All Data'!$AA$3:$AA$131,"Environment and Health &amp; Wellbeing",'1. All Data'!$V$3:$V$131,"Deferred")</f>
        <v>1</v>
      </c>
      <c r="Y50" s="169">
        <f>X50/X52</f>
        <v>4.5454545454545456E-2</v>
      </c>
      <c r="Z50" s="169">
        <f t="shared" si="6"/>
        <v>4.5454545454545456E-2</v>
      </c>
      <c r="AA50" s="178"/>
      <c r="AB50" s="59"/>
    </row>
    <row r="51" spans="2:30" ht="15.75" customHeight="1">
      <c r="B51" s="176" t="s">
        <v>64</v>
      </c>
      <c r="C51" s="194">
        <f>COUNTIFS('1. All Data'!$AA$3:$AA$131,"Environment and Health &amp; Wellbeing",'1. All Data'!$H$3:$H$131,"Deleted")</f>
        <v>0</v>
      </c>
      <c r="D51" s="177">
        <f>C51/C52</f>
        <v>0</v>
      </c>
      <c r="E51" s="177">
        <f>D51</f>
        <v>0</v>
      </c>
      <c r="F51" s="178"/>
      <c r="G51" s="3"/>
      <c r="I51" s="176" t="s">
        <v>64</v>
      </c>
      <c r="J51" s="194">
        <f>COUNTIFS('1. All Data'!$AA$3:$AA$131,"Environment and Health &amp; Wellbeing",'1. All Data'!$M$3:$M$131,"Deleted")</f>
        <v>0</v>
      </c>
      <c r="K51" s="177">
        <f>J51/J52</f>
        <v>0</v>
      </c>
      <c r="L51" s="177">
        <f>K51</f>
        <v>0</v>
      </c>
      <c r="M51" s="178"/>
      <c r="N51" s="3"/>
      <c r="P51" s="176" t="s">
        <v>64</v>
      </c>
      <c r="Q51" s="194">
        <f>COUNTIFS('1. All Data'!$AA$3:$AA$131,"Environment and Health &amp; Wellbeing",'1. All Data'!$R$3:$R$131,"Deleted")</f>
        <v>0</v>
      </c>
      <c r="R51" s="177">
        <f>Q51/Q52</f>
        <v>0</v>
      </c>
      <c r="S51" s="177">
        <f>R51</f>
        <v>0</v>
      </c>
      <c r="T51" s="178"/>
      <c r="U51" s="3"/>
      <c r="W51" s="176" t="s">
        <v>64</v>
      </c>
      <c r="X51" s="168">
        <f>COUNTIFS('1. All Data'!$AA$3:$AA$131,"Environment and Health &amp; Wellbeing",'1. All Data'!$V$3:$V$131,"Deleted")</f>
        <v>1</v>
      </c>
      <c r="Y51" s="169">
        <f>X51/X52</f>
        <v>4.5454545454545456E-2</v>
      </c>
      <c r="Z51" s="169">
        <f t="shared" si="6"/>
        <v>4.5454545454545456E-2</v>
      </c>
      <c r="AA51" s="178"/>
      <c r="AD51" s="3"/>
    </row>
    <row r="52" spans="2:30" ht="15.75" customHeight="1">
      <c r="B52" s="195" t="s">
        <v>91</v>
      </c>
      <c r="C52" s="180">
        <f>SUM(C41:C51)</f>
        <v>22</v>
      </c>
      <c r="D52" s="178"/>
      <c r="E52" s="178"/>
      <c r="F52" s="59"/>
      <c r="G52" s="59"/>
      <c r="I52" s="195" t="s">
        <v>91</v>
      </c>
      <c r="J52" s="180">
        <f>SUM(J41:J51)</f>
        <v>22</v>
      </c>
      <c r="K52" s="178"/>
      <c r="L52" s="178"/>
      <c r="M52" s="59"/>
      <c r="N52" s="59"/>
      <c r="P52" s="195" t="s">
        <v>91</v>
      </c>
      <c r="Q52" s="180">
        <f>SUM(Q41:Q51)</f>
        <v>22</v>
      </c>
      <c r="R52" s="178"/>
      <c r="S52" s="178"/>
      <c r="T52" s="59"/>
      <c r="U52" s="59"/>
      <c r="W52" s="179" t="s">
        <v>91</v>
      </c>
      <c r="X52" s="180">
        <f>SUM(X41:X51)</f>
        <v>22</v>
      </c>
      <c r="Y52" s="178"/>
      <c r="Z52" s="178"/>
      <c r="AA52" s="59"/>
      <c r="AB52" s="59"/>
    </row>
    <row r="53" spans="2:30" ht="15.75" customHeight="1">
      <c r="B53" s="195" t="s">
        <v>92</v>
      </c>
      <c r="C53" s="180">
        <f>C52-C51-C50-C49-C48</f>
        <v>17</v>
      </c>
      <c r="D53" s="59"/>
      <c r="E53" s="59"/>
      <c r="F53" s="59"/>
      <c r="G53" s="59"/>
      <c r="I53" s="195" t="s">
        <v>92</v>
      </c>
      <c r="J53" s="180">
        <f>J52-J51-J50-J49-J48</f>
        <v>19</v>
      </c>
      <c r="K53" s="59"/>
      <c r="L53" s="59"/>
      <c r="M53" s="59"/>
      <c r="N53" s="59"/>
      <c r="P53" s="195" t="s">
        <v>92</v>
      </c>
      <c r="Q53" s="180">
        <f>Q52-Q51-Q50-Q49-Q48</f>
        <v>21</v>
      </c>
      <c r="R53" s="59"/>
      <c r="S53" s="59"/>
      <c r="T53" s="59"/>
      <c r="U53" s="59"/>
      <c r="W53" s="179" t="s">
        <v>92</v>
      </c>
      <c r="X53" s="180">
        <f>X52-X51-X50-X49-X48</f>
        <v>20</v>
      </c>
      <c r="Y53" s="59"/>
      <c r="Z53" s="59"/>
      <c r="AA53" s="59"/>
      <c r="AB53" s="59"/>
    </row>
    <row r="54" spans="2:30" ht="15.75" customHeight="1">
      <c r="X54" s="196"/>
    </row>
    <row r="55" spans="2:30" ht="15.75" customHeight="1">
      <c r="X55" s="196"/>
    </row>
    <row r="56" spans="2:30" ht="15.75" customHeight="1">
      <c r="X56" s="196"/>
    </row>
    <row r="57" spans="2:30" ht="15.75" customHeight="1">
      <c r="B57" s="190" t="s">
        <v>95</v>
      </c>
      <c r="C57" s="191"/>
      <c r="D57" s="191"/>
      <c r="E57" s="191"/>
      <c r="F57" s="192"/>
      <c r="G57" s="193"/>
      <c r="I57" s="190" t="s">
        <v>95</v>
      </c>
      <c r="J57" s="191"/>
      <c r="K57" s="191"/>
      <c r="L57" s="191"/>
      <c r="M57" s="192"/>
      <c r="N57" s="193"/>
      <c r="P57" s="190" t="s">
        <v>95</v>
      </c>
      <c r="Q57" s="191"/>
      <c r="R57" s="191"/>
      <c r="S57" s="191"/>
      <c r="T57" s="192"/>
      <c r="U57" s="193"/>
      <c r="W57" s="190" t="s">
        <v>95</v>
      </c>
      <c r="X57" s="197"/>
      <c r="Y57" s="163"/>
      <c r="Z57" s="163"/>
      <c r="AA57" s="163"/>
      <c r="AB57" s="164"/>
    </row>
    <row r="58" spans="2:30" ht="41.25" customHeight="1">
      <c r="B58" s="165" t="s">
        <v>82</v>
      </c>
      <c r="C58" s="165" t="s">
        <v>83</v>
      </c>
      <c r="D58" s="165" t="s">
        <v>84</v>
      </c>
      <c r="E58" s="165" t="s">
        <v>85</v>
      </c>
      <c r="F58" s="165" t="s">
        <v>86</v>
      </c>
      <c r="G58" s="165" t="s">
        <v>87</v>
      </c>
      <c r="I58" s="165" t="s">
        <v>82</v>
      </c>
      <c r="J58" s="165" t="s">
        <v>83</v>
      </c>
      <c r="K58" s="165" t="s">
        <v>84</v>
      </c>
      <c r="L58" s="165" t="s">
        <v>85</v>
      </c>
      <c r="M58" s="165" t="s">
        <v>86</v>
      </c>
      <c r="N58" s="165" t="s">
        <v>87</v>
      </c>
      <c r="P58" s="165" t="s">
        <v>82</v>
      </c>
      <c r="Q58" s="165" t="s">
        <v>83</v>
      </c>
      <c r="R58" s="165" t="s">
        <v>84</v>
      </c>
      <c r="S58" s="165" t="s">
        <v>85</v>
      </c>
      <c r="T58" s="165" t="s">
        <v>86</v>
      </c>
      <c r="U58" s="165" t="s">
        <v>87</v>
      </c>
      <c r="W58" s="165" t="s">
        <v>82</v>
      </c>
      <c r="X58" s="165" t="s">
        <v>83</v>
      </c>
      <c r="Y58" s="165" t="s">
        <v>84</v>
      </c>
      <c r="Z58" s="165" t="s">
        <v>85</v>
      </c>
      <c r="AA58" s="165" t="s">
        <v>86</v>
      </c>
      <c r="AB58" s="165" t="s">
        <v>87</v>
      </c>
    </row>
    <row r="59" spans="2:30" ht="27.75" customHeight="1">
      <c r="B59" s="231" t="s">
        <v>88</v>
      </c>
      <c r="C59" s="168">
        <f>COUNTIFS('1. All Data'!$AA$3:$AA$131,"Community Regeneration",'1. All Data'!$H$3:$H$131,"Fully Achieved")</f>
        <v>4</v>
      </c>
      <c r="D59" s="169">
        <f>C59/C70</f>
        <v>0.13333333333333333</v>
      </c>
      <c r="E59" s="362">
        <f>D59+D60</f>
        <v>0.46666666666666667</v>
      </c>
      <c r="F59" s="169">
        <f>C59/C71</f>
        <v>0.26666666666666666</v>
      </c>
      <c r="G59" s="377">
        <f>F59+F60</f>
        <v>0.93333333333333335</v>
      </c>
      <c r="I59" s="231" t="s">
        <v>88</v>
      </c>
      <c r="J59" s="168">
        <f>COUNTIFS('1. All Data'!$AA$3:$AA$131,"Community Regeneration",'1. All Data'!$M$3:$M$131,"Fully Achieved")</f>
        <v>5</v>
      </c>
      <c r="K59" s="169">
        <f>J59/J70</f>
        <v>0.16666666666666666</v>
      </c>
      <c r="L59" s="362">
        <f>K59+K60</f>
        <v>0.7</v>
      </c>
      <c r="M59" s="169">
        <f>J59/J71</f>
        <v>0.22727272727272727</v>
      </c>
      <c r="N59" s="377">
        <f>M59+M60</f>
        <v>0.95454545454545459</v>
      </c>
      <c r="P59" s="231" t="s">
        <v>88</v>
      </c>
      <c r="Q59" s="168">
        <f>COUNTIFS('1. All Data'!$AA$3:$AA$131,"Community Regeneration",'1. All Data'!$R$3:$R$131,"Fully Achieved")</f>
        <v>13</v>
      </c>
      <c r="R59" s="169">
        <f>Q59/Q70</f>
        <v>0.43333333333333335</v>
      </c>
      <c r="S59" s="362">
        <f>R59+R60</f>
        <v>0.76666666666666661</v>
      </c>
      <c r="T59" s="169">
        <f>Q59/Q71</f>
        <v>0.5</v>
      </c>
      <c r="U59" s="377">
        <f>T59+T60</f>
        <v>0.88461538461538458</v>
      </c>
      <c r="W59" s="231" t="s">
        <v>88</v>
      </c>
      <c r="X59" s="168">
        <f>COUNTIFS('1. All Data'!$AA$3:$AA$131,"Community Regeneration",'1. All Data'!$V$3:$V$131,"Fully Achieved")</f>
        <v>28</v>
      </c>
      <c r="Y59" s="169">
        <f>X59/X70</f>
        <v>0.93333333333333335</v>
      </c>
      <c r="Z59" s="362">
        <f>Y59+Y60</f>
        <v>0.93333333333333335</v>
      </c>
      <c r="AA59" s="169">
        <f>X59/X71</f>
        <v>1</v>
      </c>
      <c r="AB59" s="377">
        <f>AA59+AA60</f>
        <v>1</v>
      </c>
    </row>
    <row r="60" spans="2:30" ht="27.75" customHeight="1">
      <c r="B60" s="231" t="s">
        <v>65</v>
      </c>
      <c r="C60" s="168">
        <f>COUNTIFS('1. All Data'!$AA$3:$AA$131,"Community Regeneration",'1. All Data'!$H$3:$H$131,"On Track to be achieved")</f>
        <v>10</v>
      </c>
      <c r="D60" s="169">
        <f>C60/C70</f>
        <v>0.33333333333333331</v>
      </c>
      <c r="E60" s="362"/>
      <c r="F60" s="169">
        <f>C60/C71</f>
        <v>0.66666666666666663</v>
      </c>
      <c r="G60" s="377"/>
      <c r="I60" s="231" t="s">
        <v>65</v>
      </c>
      <c r="J60" s="168">
        <f>COUNTIFS('1. All Data'!$AA$3:$AA$131,"Community Regeneration",'1. All Data'!$M$3:$M$131,"On Track to be achieved")</f>
        <v>16</v>
      </c>
      <c r="K60" s="169">
        <f>J60/J70</f>
        <v>0.53333333333333333</v>
      </c>
      <c r="L60" s="362"/>
      <c r="M60" s="169">
        <f>J60/J71</f>
        <v>0.72727272727272729</v>
      </c>
      <c r="N60" s="377"/>
      <c r="P60" s="231" t="s">
        <v>65</v>
      </c>
      <c r="Q60" s="168">
        <f>COUNTIFS('1. All Data'!$AA$3:$AA$131,"Community Regeneration",'1. All Data'!$R$3:$R$131,"On Track to be achieved")</f>
        <v>10</v>
      </c>
      <c r="R60" s="169">
        <f>Q60/Q70</f>
        <v>0.33333333333333331</v>
      </c>
      <c r="S60" s="362"/>
      <c r="T60" s="169">
        <f>Q60/Q71</f>
        <v>0.38461538461538464</v>
      </c>
      <c r="U60" s="377"/>
      <c r="W60" s="231" t="s">
        <v>57</v>
      </c>
      <c r="X60" s="168">
        <f>COUNTIFS('1. All Data'!$AA$3:$AA$131,"Community Regeneration",'1. All Data'!$V$3:$V$131,"Numerical Outturn Within 5% Tolerance")</f>
        <v>0</v>
      </c>
      <c r="Y60" s="169">
        <f>X60/X70</f>
        <v>0</v>
      </c>
      <c r="Z60" s="362"/>
      <c r="AA60" s="169">
        <f>X60/X71</f>
        <v>0</v>
      </c>
      <c r="AB60" s="377"/>
    </row>
    <row r="61" spans="2:30" ht="18.75" customHeight="1">
      <c r="B61" s="365" t="s">
        <v>66</v>
      </c>
      <c r="C61" s="368">
        <f>COUNTIFS('1. All Data'!$AA$3:$AA$131,"Community Regeneration",'1. All Data'!$H$3:$H$131,"In Danger of Falling Behind Target")</f>
        <v>1</v>
      </c>
      <c r="D61" s="371">
        <f>C61/C70</f>
        <v>3.3333333333333333E-2</v>
      </c>
      <c r="E61" s="371">
        <f>D61</f>
        <v>3.3333333333333333E-2</v>
      </c>
      <c r="F61" s="371">
        <f>C61/C71</f>
        <v>6.6666666666666666E-2</v>
      </c>
      <c r="G61" s="374">
        <f>F61</f>
        <v>6.6666666666666666E-2</v>
      </c>
      <c r="I61" s="365" t="s">
        <v>66</v>
      </c>
      <c r="J61" s="368">
        <f>COUNTIFS('1. All Data'!$AA$3:$AA$131,"Community Regeneration",'1. All Data'!$M$3:$M$131,"In Danger of Falling Behind Target")</f>
        <v>1</v>
      </c>
      <c r="K61" s="371">
        <f>J61/J70</f>
        <v>3.3333333333333333E-2</v>
      </c>
      <c r="L61" s="371">
        <f>K61</f>
        <v>3.3333333333333333E-2</v>
      </c>
      <c r="M61" s="371">
        <f>J61/J71</f>
        <v>4.5454545454545456E-2</v>
      </c>
      <c r="N61" s="374">
        <f>M61</f>
        <v>4.5454545454545456E-2</v>
      </c>
      <c r="P61" s="365" t="s">
        <v>66</v>
      </c>
      <c r="Q61" s="368">
        <f>COUNTIFS('1. All Data'!$AA$3:$AA$131,"Community Regeneration",'1. All Data'!$R$3:$R$131,"In Danger of Falling Behind Target")</f>
        <v>1</v>
      </c>
      <c r="R61" s="371">
        <f>Q61/Q70</f>
        <v>3.3333333333333333E-2</v>
      </c>
      <c r="S61" s="371">
        <f>R61</f>
        <v>3.3333333333333333E-2</v>
      </c>
      <c r="T61" s="371">
        <f>Q61/Q71</f>
        <v>3.8461538461538464E-2</v>
      </c>
      <c r="U61" s="374">
        <f>T61</f>
        <v>3.8461538461538464E-2</v>
      </c>
      <c r="W61" s="170" t="s">
        <v>58</v>
      </c>
      <c r="X61" s="171">
        <f>COUNTIFS('1. All Data'!$AA$3:$AA$131,"Community Regeneration",'1. All Data'!$V$3:$V$131,"Numerical Outturn Within 10% Tolerance")</f>
        <v>0</v>
      </c>
      <c r="Y61" s="169">
        <f>X61/$X$34</f>
        <v>0</v>
      </c>
      <c r="Z61" s="362">
        <f>SUM(Y61:Y63)</f>
        <v>0</v>
      </c>
      <c r="AA61" s="169">
        <f>X61/X71</f>
        <v>0</v>
      </c>
      <c r="AB61" s="363">
        <f>SUM(AA61:AA63)</f>
        <v>0</v>
      </c>
    </row>
    <row r="62" spans="2:30" ht="18.75" customHeight="1">
      <c r="B62" s="366"/>
      <c r="C62" s="369"/>
      <c r="D62" s="372"/>
      <c r="E62" s="372"/>
      <c r="F62" s="372"/>
      <c r="G62" s="375"/>
      <c r="I62" s="366"/>
      <c r="J62" s="369"/>
      <c r="K62" s="372"/>
      <c r="L62" s="372"/>
      <c r="M62" s="372"/>
      <c r="N62" s="375"/>
      <c r="P62" s="366"/>
      <c r="Q62" s="369"/>
      <c r="R62" s="372"/>
      <c r="S62" s="372"/>
      <c r="T62" s="372"/>
      <c r="U62" s="375"/>
      <c r="W62" s="170" t="s">
        <v>59</v>
      </c>
      <c r="X62" s="171">
        <f>COUNTIFS('1. All Data'!$AA$3:$AA$131,"Community Regeneration",'1. All Data'!$V$3:$V$131,"Target Partially Met")</f>
        <v>0</v>
      </c>
      <c r="Y62" s="169">
        <f>X62/$X$34</f>
        <v>0</v>
      </c>
      <c r="Z62" s="362"/>
      <c r="AA62" s="169">
        <f>X62/X71</f>
        <v>0</v>
      </c>
      <c r="AB62" s="363"/>
    </row>
    <row r="63" spans="2:30" ht="18.75" customHeight="1">
      <c r="B63" s="367"/>
      <c r="C63" s="370"/>
      <c r="D63" s="373"/>
      <c r="E63" s="373"/>
      <c r="F63" s="373"/>
      <c r="G63" s="376"/>
      <c r="I63" s="367"/>
      <c r="J63" s="370"/>
      <c r="K63" s="373"/>
      <c r="L63" s="373"/>
      <c r="M63" s="373"/>
      <c r="N63" s="376"/>
      <c r="P63" s="367"/>
      <c r="Q63" s="370"/>
      <c r="R63" s="373"/>
      <c r="S63" s="373"/>
      <c r="T63" s="373"/>
      <c r="U63" s="376"/>
      <c r="W63" s="170" t="s">
        <v>62</v>
      </c>
      <c r="X63" s="171">
        <f>COUNTIFS('1. All Data'!$AA$3:$AA$131,"Community Regeneration",'1. All Data'!$V$3:$V$131,"Completion Date Within Reasonable Tolerance")</f>
        <v>0</v>
      </c>
      <c r="Y63" s="169">
        <f>X63/$X$34</f>
        <v>0</v>
      </c>
      <c r="Z63" s="362"/>
      <c r="AA63" s="169">
        <f>X63/X71</f>
        <v>0</v>
      </c>
      <c r="AB63" s="363"/>
    </row>
    <row r="64" spans="2:30" ht="30" customHeight="1">
      <c r="B64" s="172" t="s">
        <v>67</v>
      </c>
      <c r="C64" s="168">
        <f>COUNTIFS('1. All Data'!$AA$3:$AA$131,"Community Regeneration",'1. All Data'!$H$3:$H$131,"Completed Behind Schedule")</f>
        <v>0</v>
      </c>
      <c r="D64" s="169">
        <f>C64/C70</f>
        <v>0</v>
      </c>
      <c r="E64" s="362">
        <f>D64+D65</f>
        <v>0</v>
      </c>
      <c r="F64" s="169">
        <f>C64/C71</f>
        <v>0</v>
      </c>
      <c r="G64" s="364">
        <f>F64+F65</f>
        <v>0</v>
      </c>
      <c r="I64" s="172" t="s">
        <v>67</v>
      </c>
      <c r="J64" s="168">
        <f>COUNTIFS('1. All Data'!$AA$3:$AA$131,"Community Regeneration",'1. All Data'!$M$3:$M$131,"Completed Behind Schedule")</f>
        <v>0</v>
      </c>
      <c r="K64" s="169">
        <f>J64/J70</f>
        <v>0</v>
      </c>
      <c r="L64" s="362">
        <f>K64+K65</f>
        <v>0</v>
      </c>
      <c r="M64" s="169">
        <f>J64/J71</f>
        <v>0</v>
      </c>
      <c r="N64" s="364">
        <f>M64+M65</f>
        <v>0</v>
      </c>
      <c r="P64" s="172" t="s">
        <v>67</v>
      </c>
      <c r="Q64" s="168">
        <f>COUNTIFS('1. All Data'!$AA$3:$AA$131,"Community Regeneration",'1. All Data'!$R$3:$R$131,"Completed Behind Schedule")</f>
        <v>0</v>
      </c>
      <c r="R64" s="169">
        <f>Q64/Q70</f>
        <v>0</v>
      </c>
      <c r="S64" s="362">
        <f>R64+R65</f>
        <v>6.6666666666666666E-2</v>
      </c>
      <c r="T64" s="169">
        <f>Q64/Q71</f>
        <v>0</v>
      </c>
      <c r="U64" s="364">
        <f>T64+T65</f>
        <v>7.6923076923076927E-2</v>
      </c>
      <c r="W64" s="172" t="s">
        <v>61</v>
      </c>
      <c r="X64" s="168">
        <f>COUNTIFS('1. All Data'!$AA$3:$AA$131,"Community Regeneration",'1. All Data'!$V$3:$V$131,"Completed Significantly After Target Deadline")</f>
        <v>0</v>
      </c>
      <c r="Y64" s="169">
        <f>X64/$X$34</f>
        <v>0</v>
      </c>
      <c r="Z64" s="362">
        <f>SUM(Y64:Y65)</f>
        <v>0</v>
      </c>
      <c r="AA64" s="169">
        <f>X64/X71</f>
        <v>0</v>
      </c>
      <c r="AB64" s="364">
        <f>AA64+AA65</f>
        <v>0</v>
      </c>
    </row>
    <row r="65" spans="2:30" ht="30" customHeight="1">
      <c r="B65" s="172" t="s">
        <v>60</v>
      </c>
      <c r="C65" s="168">
        <f>COUNTIFS('1. All Data'!$AA$3:$AA$131,"Community Regeneration",'1. All Data'!$H$3:$H$131,"Off Target")</f>
        <v>0</v>
      </c>
      <c r="D65" s="169">
        <f>C65/C70</f>
        <v>0</v>
      </c>
      <c r="E65" s="362"/>
      <c r="F65" s="169">
        <f>C65/C71</f>
        <v>0</v>
      </c>
      <c r="G65" s="364"/>
      <c r="I65" s="172" t="s">
        <v>60</v>
      </c>
      <c r="J65" s="168">
        <f>COUNTIFS('1. All Data'!$AA$3:$AA$131,"Community Regeneration",'1. All Data'!$M$3:$M$131,"Off Target")</f>
        <v>0</v>
      </c>
      <c r="K65" s="169">
        <f>J65/J70</f>
        <v>0</v>
      </c>
      <c r="L65" s="362"/>
      <c r="M65" s="169">
        <f>J65/J71</f>
        <v>0</v>
      </c>
      <c r="N65" s="364"/>
      <c r="P65" s="172" t="s">
        <v>60</v>
      </c>
      <c r="Q65" s="168">
        <f>COUNTIFS('1. All Data'!$AA$3:$AA$131,"Community Regeneration",'1. All Data'!$R$3:$R$131,"Off Target")</f>
        <v>2</v>
      </c>
      <c r="R65" s="169">
        <f>Q65/Q70</f>
        <v>6.6666666666666666E-2</v>
      </c>
      <c r="S65" s="362"/>
      <c r="T65" s="169">
        <f>Q65/Q71</f>
        <v>7.6923076923076927E-2</v>
      </c>
      <c r="U65" s="364"/>
      <c r="W65" s="172" t="s">
        <v>60</v>
      </c>
      <c r="X65" s="168">
        <f>COUNTIFS('1. All Data'!$AA$3:$AA$131,"Community Regeneration",'1. All Data'!$V$3:$V$131,"Off Target")</f>
        <v>0</v>
      </c>
      <c r="Y65" s="169">
        <f>X65/$X$34</f>
        <v>0</v>
      </c>
      <c r="Z65" s="362"/>
      <c r="AA65" s="169">
        <f>X65/X71</f>
        <v>0</v>
      </c>
      <c r="AB65" s="364"/>
    </row>
    <row r="66" spans="2:30" ht="15.75" customHeight="1">
      <c r="B66" s="173" t="s">
        <v>89</v>
      </c>
      <c r="C66" s="168">
        <f>COUNTIFS('1. All Data'!$AA$3:$AA$131,"Community Regeneration",'1. All Data'!$H$3:$H$131,"Not yet due")</f>
        <v>15</v>
      </c>
      <c r="D66" s="174">
        <f>C66/C70</f>
        <v>0.5</v>
      </c>
      <c r="E66" s="174">
        <f>D66</f>
        <v>0.5</v>
      </c>
      <c r="F66" s="175"/>
      <c r="G66" s="59"/>
      <c r="I66" s="173" t="s">
        <v>89</v>
      </c>
      <c r="J66" s="168">
        <f>COUNTIFS('1. All Data'!$AA$3:$AA$131,"Community Regeneration",'1. All Data'!$M$3:$M$131,"Not yet due")</f>
        <v>8</v>
      </c>
      <c r="K66" s="174">
        <f>J66/J70</f>
        <v>0.26666666666666666</v>
      </c>
      <c r="L66" s="174">
        <f>K66</f>
        <v>0.26666666666666666</v>
      </c>
      <c r="M66" s="175"/>
      <c r="N66" s="59"/>
      <c r="P66" s="173" t="s">
        <v>89</v>
      </c>
      <c r="Q66" s="168">
        <f>COUNTIFS('1. All Data'!$AA$3:$AA$131,"Community Regeneration",'1. All Data'!$R$3:$R$131,"Not yet due")</f>
        <v>4</v>
      </c>
      <c r="R66" s="174">
        <f>Q66/Q70</f>
        <v>0.13333333333333333</v>
      </c>
      <c r="S66" s="174">
        <f>R66</f>
        <v>0.13333333333333333</v>
      </c>
      <c r="T66" s="175"/>
      <c r="U66" s="59"/>
      <c r="W66" s="173" t="s">
        <v>89</v>
      </c>
      <c r="X66" s="168">
        <f>COUNTIFS('1. All Data'!$AA$3:$AA$131,"Community Regeneration",'1. All Data'!$V$3:$V$131,"Not yet due")</f>
        <v>0</v>
      </c>
      <c r="Y66" s="169">
        <f t="shared" ref="Y66:Y69" si="7">X66/$X$34</f>
        <v>0</v>
      </c>
      <c r="Z66" s="169">
        <f>Y66</f>
        <v>0</v>
      </c>
      <c r="AA66" s="175"/>
      <c r="AB66" s="59"/>
    </row>
    <row r="67" spans="2:30" ht="15.75" customHeight="1">
      <c r="B67" s="173" t="s">
        <v>55</v>
      </c>
      <c r="C67" s="168">
        <f>COUNTIFS('1. All Data'!$AA$3:$AA$131,"Community Regeneration",'1. All Data'!$H$3:$H$131,"update not provided")</f>
        <v>0</v>
      </c>
      <c r="D67" s="174">
        <f>C67/C70</f>
        <v>0</v>
      </c>
      <c r="E67" s="174">
        <f>D67</f>
        <v>0</v>
      </c>
      <c r="F67" s="175"/>
      <c r="G67" s="2"/>
      <c r="I67" s="173" t="s">
        <v>55</v>
      </c>
      <c r="J67" s="168">
        <f>COUNTIFS('1. All Data'!$AA$3:$AA$131,"Community Regeneration",'1. All Data'!$M$3:$M$131,"update not provided")</f>
        <v>0</v>
      </c>
      <c r="K67" s="174">
        <f>J67/J70</f>
        <v>0</v>
      </c>
      <c r="L67" s="174">
        <f>K67</f>
        <v>0</v>
      </c>
      <c r="M67" s="175"/>
      <c r="N67" s="2"/>
      <c r="P67" s="173" t="s">
        <v>55</v>
      </c>
      <c r="Q67" s="168">
        <f>COUNTIFS('1. All Data'!$AA$3:$AA$131,"Community Regeneration",'1. All Data'!$R$3:$R$131,"update not provided")</f>
        <v>0</v>
      </c>
      <c r="R67" s="174">
        <f>Q67/Q70</f>
        <v>0</v>
      </c>
      <c r="S67" s="174">
        <f>R67</f>
        <v>0</v>
      </c>
      <c r="T67" s="175"/>
      <c r="U67" s="2"/>
      <c r="W67" s="173" t="s">
        <v>55</v>
      </c>
      <c r="X67" s="168">
        <f>COUNTIFS('1. All Data'!$AA$3:$AA$131,"Community Regeneration",'1. All Data'!$V$3:$V$131,"update not provided")</f>
        <v>0</v>
      </c>
      <c r="Y67" s="169">
        <f t="shared" si="7"/>
        <v>0</v>
      </c>
      <c r="Z67" s="169">
        <f>Y67</f>
        <v>0</v>
      </c>
      <c r="AA67" s="175"/>
      <c r="AB67" s="2"/>
    </row>
    <row r="68" spans="2:30" ht="15.75" customHeight="1">
      <c r="B68" s="176" t="s">
        <v>63</v>
      </c>
      <c r="C68" s="168">
        <f>COUNTIFS('1. All Data'!$AA$3:$AA$131,"Community Regeneration",'1. All Data'!$H$3:$H$131,"Deferred")</f>
        <v>0</v>
      </c>
      <c r="D68" s="177">
        <f>C68/C70</f>
        <v>0</v>
      </c>
      <c r="E68" s="177">
        <f>D68</f>
        <v>0</v>
      </c>
      <c r="F68" s="178"/>
      <c r="G68" s="59"/>
      <c r="I68" s="176" t="s">
        <v>63</v>
      </c>
      <c r="J68" s="168">
        <f>COUNTIFS('1. All Data'!$AA$3:$AA$131,"Community Regeneration",'1. All Data'!$M$3:$M$131,"Deferred")</f>
        <v>0</v>
      </c>
      <c r="K68" s="177">
        <f>J68/J70</f>
        <v>0</v>
      </c>
      <c r="L68" s="177">
        <f>K68</f>
        <v>0</v>
      </c>
      <c r="M68" s="178"/>
      <c r="N68" s="59"/>
      <c r="P68" s="176" t="s">
        <v>63</v>
      </c>
      <c r="Q68" s="168">
        <f>COUNTIFS('1. All Data'!$AA$3:$AA$131,"Community Regeneration",'1. All Data'!$R$3:$R$131,"Deferred")</f>
        <v>0</v>
      </c>
      <c r="R68" s="177">
        <f>Q68/Q70</f>
        <v>0</v>
      </c>
      <c r="S68" s="177">
        <f>R68</f>
        <v>0</v>
      </c>
      <c r="T68" s="178"/>
      <c r="U68" s="59"/>
      <c r="W68" s="176" t="s">
        <v>63</v>
      </c>
      <c r="X68" s="168">
        <f>COUNTIFS('1. All Data'!$AA$3:$AA$131,"Community Regeneration",'1. All Data'!$V$3:$V$131,"Deferred")</f>
        <v>2</v>
      </c>
      <c r="Y68" s="169">
        <f t="shared" si="7"/>
        <v>2.5974025974025976E-2</v>
      </c>
      <c r="Z68" s="169">
        <f t="shared" ref="Z68:Z69" si="8">Y68</f>
        <v>2.5974025974025976E-2</v>
      </c>
      <c r="AA68" s="178"/>
      <c r="AB68" s="59"/>
    </row>
    <row r="69" spans="2:30" ht="15.75" customHeight="1">
      <c r="B69" s="176" t="s">
        <v>64</v>
      </c>
      <c r="C69" s="168">
        <f>COUNTIFS('1. All Data'!$AA$3:$AA$131,"Community Regeneration",'1. All Data'!$H$3:$H$131,"Deleted")</f>
        <v>0</v>
      </c>
      <c r="D69" s="177">
        <f>C69/C70</f>
        <v>0</v>
      </c>
      <c r="E69" s="177">
        <f>D69</f>
        <v>0</v>
      </c>
      <c r="F69" s="178"/>
      <c r="G69" s="3"/>
      <c r="I69" s="176" t="s">
        <v>64</v>
      </c>
      <c r="J69" s="168">
        <f>COUNTIFS('1. All Data'!$AA$3:$AA$131,"Community Regeneration",'1. All Data'!$M$3:$M$131,"Deleted")</f>
        <v>0</v>
      </c>
      <c r="K69" s="177">
        <f>J69/J70</f>
        <v>0</v>
      </c>
      <c r="L69" s="177">
        <f>K69</f>
        <v>0</v>
      </c>
      <c r="M69" s="178"/>
      <c r="N69" s="3"/>
      <c r="P69" s="176" t="s">
        <v>64</v>
      </c>
      <c r="Q69" s="168">
        <f>COUNTIFS('1. All Data'!$AA$3:$AA$131,"Community Regeneration",'1. All Data'!$R$3:$R$131,"Deleted")</f>
        <v>0</v>
      </c>
      <c r="R69" s="177">
        <f>Q69/Q70</f>
        <v>0</v>
      </c>
      <c r="S69" s="177">
        <f>R69</f>
        <v>0</v>
      </c>
      <c r="T69" s="178"/>
      <c r="U69" s="3"/>
      <c r="W69" s="176" t="s">
        <v>64</v>
      </c>
      <c r="X69" s="168">
        <f>COUNTIFS('1. All Data'!$AA$3:$AA$131,"Community Regeneration",'1. All Data'!$V$3:$V$131,"Deleted")</f>
        <v>0</v>
      </c>
      <c r="Y69" s="169">
        <f t="shared" si="7"/>
        <v>0</v>
      </c>
      <c r="Z69" s="169">
        <f t="shared" si="8"/>
        <v>0</v>
      </c>
      <c r="AA69" s="178"/>
      <c r="AD69" s="3"/>
    </row>
    <row r="70" spans="2:30" ht="15.75" customHeight="1">
      <c r="B70" s="195" t="s">
        <v>91</v>
      </c>
      <c r="C70" s="180">
        <f>SUM(C59:C69)</f>
        <v>30</v>
      </c>
      <c r="D70" s="178"/>
      <c r="E70" s="178"/>
      <c r="F70" s="59"/>
      <c r="G70" s="59"/>
      <c r="I70" s="195" t="s">
        <v>91</v>
      </c>
      <c r="J70" s="180">
        <f>SUM(J59:J69)</f>
        <v>30</v>
      </c>
      <c r="K70" s="178"/>
      <c r="L70" s="178"/>
      <c r="M70" s="59"/>
      <c r="N70" s="59"/>
      <c r="P70" s="195" t="s">
        <v>91</v>
      </c>
      <c r="Q70" s="180">
        <f>SUM(Q59:Q69)</f>
        <v>30</v>
      </c>
      <c r="R70" s="178"/>
      <c r="S70" s="178"/>
      <c r="T70" s="59"/>
      <c r="U70" s="59"/>
      <c r="W70" s="179" t="s">
        <v>91</v>
      </c>
      <c r="X70" s="180">
        <f>SUM(X59:X69)</f>
        <v>30</v>
      </c>
      <c r="Y70" s="178"/>
      <c r="Z70" s="178"/>
      <c r="AA70" s="59"/>
      <c r="AB70" s="59"/>
    </row>
    <row r="71" spans="2:30" ht="15.75" customHeight="1">
      <c r="B71" s="195" t="s">
        <v>92</v>
      </c>
      <c r="C71" s="180">
        <f>C70-C69-C68-C67-C66</f>
        <v>15</v>
      </c>
      <c r="D71" s="59"/>
      <c r="E71" s="59"/>
      <c r="F71" s="59"/>
      <c r="G71" s="59"/>
      <c r="I71" s="195" t="s">
        <v>92</v>
      </c>
      <c r="J71" s="180">
        <f>J70-J69-J68-J67-J66</f>
        <v>22</v>
      </c>
      <c r="K71" s="59"/>
      <c r="L71" s="59"/>
      <c r="M71" s="59"/>
      <c r="N71" s="59"/>
      <c r="P71" s="195" t="s">
        <v>92</v>
      </c>
      <c r="Q71" s="180">
        <f>Q70-Q69-Q68-Q67-Q66</f>
        <v>26</v>
      </c>
      <c r="R71" s="59"/>
      <c r="S71" s="59"/>
      <c r="T71" s="59"/>
      <c r="U71" s="59"/>
      <c r="W71" s="179" t="s">
        <v>92</v>
      </c>
      <c r="X71" s="180">
        <f>X70-X69-X68-X67-X66</f>
        <v>28</v>
      </c>
      <c r="Y71" s="59"/>
      <c r="Z71" s="59"/>
      <c r="AA71" s="59"/>
      <c r="AB71" s="59"/>
    </row>
    <row r="72" spans="2:30" ht="15.75" customHeight="1">
      <c r="AB72" s="188"/>
    </row>
    <row r="73" spans="2:30" ht="15.75" customHeight="1">
      <c r="AB73" s="188"/>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82" t="s">
        <v>97</v>
      </c>
      <c r="N1" s="383"/>
      <c r="O1" s="383"/>
      <c r="P1" s="383"/>
      <c r="Q1" s="383"/>
      <c r="R1" s="383"/>
      <c r="S1" s="383"/>
      <c r="T1" s="383"/>
      <c r="U1" s="383"/>
      <c r="V1" s="383"/>
      <c r="W1" s="383"/>
      <c r="X1" s="383"/>
      <c r="Y1" s="383"/>
      <c r="Z1" s="384"/>
      <c r="AZ1" s="7"/>
      <c r="BA1" s="7"/>
      <c r="BB1" s="7"/>
      <c r="BC1" s="7"/>
    </row>
    <row r="2" spans="2:56" s="6" customFormat="1" ht="35.4">
      <c r="B2" s="8" t="s">
        <v>90</v>
      </c>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f>'2a. % By Priority'!AB5</f>
        <v>0.94262295081967218</v>
      </c>
      <c r="BD7" s="10"/>
    </row>
    <row r="8" spans="2:56">
      <c r="L8" s="14"/>
      <c r="M8" s="14"/>
      <c r="AY8" s="21" t="s">
        <v>100</v>
      </c>
      <c r="AZ8" s="22">
        <f>'2a. % By Priority'!G7</f>
        <v>3.2967032967032968E-2</v>
      </c>
      <c r="BA8" s="22">
        <f>'2a. % By Priority'!N7</f>
        <v>3.7383177570093455E-2</v>
      </c>
      <c r="BB8" s="22">
        <f>'2a. % By Priority'!U7</f>
        <v>8.1967213114754103E-3</v>
      </c>
      <c r="BC8" s="22">
        <f>'2a. % By Priority'!AB7</f>
        <v>1.6393442622950821E-2</v>
      </c>
      <c r="BD8" s="10"/>
    </row>
    <row r="9" spans="2:56">
      <c r="L9" s="14"/>
      <c r="M9" s="14"/>
      <c r="AY9" s="21" t="s">
        <v>101</v>
      </c>
      <c r="AZ9" s="22">
        <f>'2a. % By Priority'!G10</f>
        <v>0</v>
      </c>
      <c r="BA9" s="22">
        <f>'2a. % By Priority'!N10</f>
        <v>9.3457943925233638E-3</v>
      </c>
      <c r="BB9" s="22">
        <f>'2a. % By Priority'!U10</f>
        <v>7.3770491803278687E-2</v>
      </c>
      <c r="BC9" s="22">
        <f>'2a. % By Priority'!AB10</f>
        <v>4.0983606557377053E-2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f>'2a. % By Priority'!AB23</f>
        <v>0.93243243243243246</v>
      </c>
      <c r="BD23" s="10"/>
    </row>
    <row r="24" spans="12:56">
      <c r="L24" s="14"/>
      <c r="M24" s="14"/>
      <c r="AY24" s="21" t="s">
        <v>100</v>
      </c>
      <c r="AZ24" s="22">
        <f>'2a. % By Priority'!G25</f>
        <v>3.3898305084745763E-2</v>
      </c>
      <c r="BA24" s="22">
        <f>'2a. % By Priority'!N25</f>
        <v>4.5454545454545456E-2</v>
      </c>
      <c r="BB24" s="22">
        <f>'2a. % By Priority'!U25</f>
        <v>0</v>
      </c>
      <c r="BC24" s="22">
        <f>'2a. % By Priority'!AB25</f>
        <v>2.7027027027027029E-2</v>
      </c>
      <c r="BD24" s="10"/>
    </row>
    <row r="25" spans="12:56">
      <c r="L25" s="14"/>
      <c r="M25" s="14"/>
      <c r="AY25" s="21" t="s">
        <v>101</v>
      </c>
      <c r="AZ25" s="22">
        <f>'2a. % By Priority'!G28</f>
        <v>0</v>
      </c>
      <c r="BA25" s="22">
        <f>'2a. % By Priority'!N28</f>
        <v>1.5151515151515152E-2</v>
      </c>
      <c r="BB25" s="22">
        <f>'2a. % By Priority'!U28</f>
        <v>0.08</v>
      </c>
      <c r="BC25" s="22">
        <f>'2a. % By Priority'!AB28</f>
        <v>4.0540540540540543E-2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f>'2a. % By Priority'!AB41</f>
        <v>0.9</v>
      </c>
      <c r="BD39" s="16"/>
    </row>
    <row r="40" spans="11:56">
      <c r="K40" s="14"/>
      <c r="L40" s="14"/>
      <c r="AY40" s="21" t="s">
        <v>100</v>
      </c>
      <c r="AZ40" s="22">
        <f>'2a. % By Priority'!G43</f>
        <v>0</v>
      </c>
      <c r="BA40" s="22">
        <f>'2a. % By Priority'!N43</f>
        <v>0</v>
      </c>
      <c r="BB40" s="22">
        <f>'2a. % By Priority'!U43</f>
        <v>0</v>
      </c>
      <c r="BC40" s="22">
        <f>'2a. % By Priority'!AB43</f>
        <v>0</v>
      </c>
      <c r="BD40" s="16"/>
    </row>
    <row r="41" spans="11:56">
      <c r="K41" s="14"/>
      <c r="L41" s="14"/>
      <c r="AY41" s="21" t="s">
        <v>101</v>
      </c>
      <c r="AZ41" s="22">
        <f>'2a. % By Priority'!G46</f>
        <v>0</v>
      </c>
      <c r="BA41" s="22">
        <f>'2a. % By Priority'!N46</f>
        <v>0</v>
      </c>
      <c r="BB41" s="22">
        <f>'2a. % By Priority'!U46</f>
        <v>4.7619047619047616E-2</v>
      </c>
      <c r="BC41" s="22">
        <f>'2a. % By Priority'!AB46</f>
        <v>0.1</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f>'2a. % By Priority'!AB59</f>
        <v>1</v>
      </c>
      <c r="BD55" s="10"/>
    </row>
    <row r="56" spans="12:56">
      <c r="L56" s="14"/>
      <c r="M56" s="14"/>
      <c r="AY56" s="21" t="s">
        <v>100</v>
      </c>
      <c r="AZ56" s="22">
        <f>'2a. % By Priority'!G61</f>
        <v>6.6666666666666666E-2</v>
      </c>
      <c r="BA56" s="22">
        <f>'2a. % By Priority'!N61</f>
        <v>4.5454545454545456E-2</v>
      </c>
      <c r="BB56" s="22">
        <f>'2a. % By Priority'!U61</f>
        <v>3.8461538461538464E-2</v>
      </c>
      <c r="BC56" s="22">
        <f>'2a. % By Priority'!AB61</f>
        <v>0</v>
      </c>
      <c r="BD56" s="10"/>
    </row>
    <row r="57" spans="12:56">
      <c r="L57" s="14"/>
      <c r="M57" s="14"/>
      <c r="AY57" s="21" t="s">
        <v>101</v>
      </c>
      <c r="AZ57" s="22">
        <f>'2a. % By Priority'!G64</f>
        <v>0</v>
      </c>
      <c r="BA57" s="22">
        <f>'2a. % By Priority'!N64</f>
        <v>0</v>
      </c>
      <c r="BB57" s="22">
        <f>'2a. % By Priority'!U64</f>
        <v>7.6923076923076927E-2</v>
      </c>
      <c r="BC57" s="22">
        <f>'2a. % By Priority'!AB64</f>
        <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V69" workbookViewId="0">
      <selection activeCell="X90" sqref="X90"/>
    </sheetView>
  </sheetViews>
  <sheetFormatPr defaultColWidth="9.33203125" defaultRowHeight="13.8"/>
  <cols>
    <col min="1" max="1" width="3.44140625" style="158" hidden="1"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8" hidden="1" customWidth="1"/>
    <col min="7" max="7" width="17.33203125" style="155" hidden="1" customWidth="1"/>
    <col min="8" max="8" width="4.5546875" style="158"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8" hidden="1" customWidth="1"/>
    <col min="14" max="14" width="17.33203125" style="155" hidden="1" customWidth="1"/>
    <col min="15" max="15" width="4.5546875" style="158"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8" hidden="1" customWidth="1"/>
    <col min="21" max="21" width="17.33203125" style="155" hidden="1" customWidth="1"/>
    <col min="22" max="22" width="4.5546875" style="158" customWidth="1"/>
    <col min="23" max="23" width="55.44140625" style="155" customWidth="1"/>
    <col min="24" max="24" width="14.5546875" style="155" customWidth="1"/>
    <col min="25" max="27" width="17.33203125" style="155" customWidth="1"/>
    <col min="28" max="28" width="17.33203125" style="182" customWidth="1"/>
    <col min="29" max="29" width="9.33203125" style="158" customWidth="1"/>
    <col min="30" max="16384" width="9.33203125" style="158"/>
  </cols>
  <sheetData>
    <row r="1" spans="2:30" s="152" customFormat="1" ht="21">
      <c r="B1" s="198" t="s">
        <v>258</v>
      </c>
      <c r="C1" s="199"/>
      <c r="D1" s="200"/>
      <c r="E1" s="200"/>
      <c r="F1" s="201"/>
      <c r="G1" s="200"/>
      <c r="I1" s="198" t="s">
        <v>259</v>
      </c>
      <c r="J1" s="199"/>
      <c r="K1" s="200"/>
      <c r="L1" s="200"/>
      <c r="M1" s="201"/>
      <c r="N1" s="200"/>
      <c r="P1" s="198" t="s">
        <v>260</v>
      </c>
      <c r="Q1" s="199"/>
      <c r="R1" s="200"/>
      <c r="S1" s="200"/>
      <c r="T1" s="201"/>
      <c r="U1" s="200"/>
      <c r="W1" s="202" t="s">
        <v>261</v>
      </c>
      <c r="X1" s="203"/>
      <c r="Y1" s="203"/>
      <c r="Z1" s="203"/>
      <c r="AA1" s="203"/>
      <c r="AB1" s="204"/>
    </row>
    <row r="2" spans="2:30" ht="15.6">
      <c r="B2" s="153"/>
      <c r="C2" s="154"/>
      <c r="D2" s="154"/>
      <c r="E2" s="154"/>
      <c r="F2" s="153"/>
      <c r="G2" s="154"/>
      <c r="I2" s="153"/>
      <c r="J2" s="154"/>
      <c r="K2" s="154"/>
      <c r="L2" s="154"/>
      <c r="M2" s="153"/>
      <c r="N2" s="154"/>
      <c r="P2" s="153"/>
      <c r="Q2" s="154"/>
      <c r="R2" s="154"/>
      <c r="S2" s="154"/>
      <c r="T2" s="153"/>
      <c r="U2" s="154"/>
      <c r="W2" s="156"/>
      <c r="X2" s="156"/>
      <c r="Y2" s="156"/>
      <c r="Z2" s="156"/>
      <c r="AA2" s="156"/>
      <c r="AB2" s="157"/>
    </row>
    <row r="3" spans="2:30" s="167" customFormat="1" ht="15.6">
      <c r="B3" s="205" t="s">
        <v>112</v>
      </c>
      <c r="C3" s="206"/>
      <c r="D3" s="206"/>
      <c r="E3" s="206"/>
      <c r="F3" s="207"/>
      <c r="G3" s="206"/>
      <c r="I3" s="205" t="s">
        <v>112</v>
      </c>
      <c r="J3" s="206"/>
      <c r="K3" s="206"/>
      <c r="L3" s="206"/>
      <c r="M3" s="207"/>
      <c r="N3" s="206"/>
      <c r="P3" s="205" t="s">
        <v>112</v>
      </c>
      <c r="Q3" s="206"/>
      <c r="R3" s="206"/>
      <c r="S3" s="206"/>
      <c r="T3" s="207"/>
      <c r="U3" s="206"/>
      <c r="W3" s="205" t="s">
        <v>112</v>
      </c>
      <c r="X3" s="206"/>
      <c r="Y3" s="206"/>
      <c r="Z3" s="206"/>
      <c r="AA3" s="207"/>
      <c r="AB3" s="206"/>
    </row>
    <row r="4" spans="2:30" ht="42" customHeight="1">
      <c r="B4" s="208" t="s">
        <v>82</v>
      </c>
      <c r="C4" s="209" t="s">
        <v>83</v>
      </c>
      <c r="D4" s="209" t="s">
        <v>84</v>
      </c>
      <c r="E4" s="209" t="s">
        <v>85</v>
      </c>
      <c r="F4" s="208" t="s">
        <v>86</v>
      </c>
      <c r="G4" s="209" t="s">
        <v>87</v>
      </c>
      <c r="I4" s="208" t="s">
        <v>82</v>
      </c>
      <c r="J4" s="209" t="s">
        <v>83</v>
      </c>
      <c r="K4" s="209" t="s">
        <v>84</v>
      </c>
      <c r="L4" s="209" t="s">
        <v>85</v>
      </c>
      <c r="M4" s="208" t="s">
        <v>86</v>
      </c>
      <c r="N4" s="209" t="s">
        <v>87</v>
      </c>
      <c r="P4" s="208" t="s">
        <v>82</v>
      </c>
      <c r="Q4" s="209" t="s">
        <v>83</v>
      </c>
      <c r="R4" s="209" t="s">
        <v>84</v>
      </c>
      <c r="S4" s="209" t="s">
        <v>85</v>
      </c>
      <c r="T4" s="208" t="s">
        <v>86</v>
      </c>
      <c r="U4" s="209" t="s">
        <v>87</v>
      </c>
      <c r="W4" s="165" t="s">
        <v>82</v>
      </c>
      <c r="X4" s="165" t="s">
        <v>83</v>
      </c>
      <c r="Y4" s="165" t="s">
        <v>84</v>
      </c>
      <c r="Z4" s="165" t="s">
        <v>85</v>
      </c>
      <c r="AA4" s="165" t="s">
        <v>86</v>
      </c>
      <c r="AB4" s="165" t="s">
        <v>87</v>
      </c>
    </row>
    <row r="5" spans="2:30" ht="21.75" customHeight="1">
      <c r="B5" s="232" t="s">
        <v>88</v>
      </c>
      <c r="C5" s="210">
        <f>COUNTIFS('1. All Data'!$AB$3:$AB$133,"LEADER",'1. All Data'!$H$3:$H$133,"Fully Achieved")</f>
        <v>6</v>
      </c>
      <c r="D5" s="211">
        <f>C5/C16</f>
        <v>0.15384615384615385</v>
      </c>
      <c r="E5" s="403">
        <f>D5+D6</f>
        <v>0.71794871794871795</v>
      </c>
      <c r="F5" s="212">
        <f>C5/C17</f>
        <v>0.20689655172413793</v>
      </c>
      <c r="G5" s="408">
        <f>F5+F6</f>
        <v>0.96551724137931028</v>
      </c>
      <c r="I5" s="232" t="s">
        <v>88</v>
      </c>
      <c r="J5" s="210">
        <f>COUNTIFS('1. All Data'!$AB$3:$AB$133,"LEADER",'1. All Data'!$M$3:$M$133,"Fully Achieved")</f>
        <v>10</v>
      </c>
      <c r="K5" s="211">
        <f>J5/J16</f>
        <v>0.25641025641025639</v>
      </c>
      <c r="L5" s="403">
        <f>K5+K6</f>
        <v>0.82051282051282048</v>
      </c>
      <c r="M5" s="212">
        <f>J5/J17</f>
        <v>0.30303030303030304</v>
      </c>
      <c r="N5" s="408">
        <f>M5+M6</f>
        <v>0.96969696969696972</v>
      </c>
      <c r="P5" s="232" t="s">
        <v>88</v>
      </c>
      <c r="Q5" s="210">
        <f>COUNTIFS('1. All Data'!$AB$3:$AB$133,"LEADER",'1. All Data'!$R$3:$R$133,"Fully Achieved")</f>
        <v>21</v>
      </c>
      <c r="R5" s="211">
        <f>Q5/Q16</f>
        <v>0.53846153846153844</v>
      </c>
      <c r="S5" s="403">
        <f>R5+R6</f>
        <v>0.82051282051282048</v>
      </c>
      <c r="T5" s="212">
        <f>Q5/Q17</f>
        <v>0.58333333333333337</v>
      </c>
      <c r="U5" s="408">
        <f>T5+T6</f>
        <v>0.88888888888888895</v>
      </c>
      <c r="W5" s="232" t="s">
        <v>88</v>
      </c>
      <c r="X5" s="210">
        <f>COUNTIFS('1. All Data'!$AB$3:$AB$133,"LEADER",'1. All Data'!$V$3:$V$133,"Fully Achieved")</f>
        <v>36</v>
      </c>
      <c r="Y5" s="211">
        <f>X5/X16</f>
        <v>0.92307692307692313</v>
      </c>
      <c r="Z5" s="403">
        <f>Y5+Y6</f>
        <v>0.92307692307692313</v>
      </c>
      <c r="AA5" s="211">
        <f>X5/X17</f>
        <v>0.97297297297297303</v>
      </c>
      <c r="AB5" s="377">
        <f>AA5+AA6</f>
        <v>0.97297297297297303</v>
      </c>
    </row>
    <row r="6" spans="2:30" ht="18.75" customHeight="1">
      <c r="B6" s="232" t="s">
        <v>65</v>
      </c>
      <c r="C6" s="210">
        <f>COUNTIFS('1. All Data'!$AB$3:$AB$133,"LEADER",'1. All Data'!$H$3:$H$133,"On Track to be Achieved")</f>
        <v>22</v>
      </c>
      <c r="D6" s="211">
        <f>C6/C16</f>
        <v>0.5641025641025641</v>
      </c>
      <c r="E6" s="403"/>
      <c r="F6" s="212">
        <f>C6/C17</f>
        <v>0.75862068965517238</v>
      </c>
      <c r="G6" s="408"/>
      <c r="I6" s="232" t="s">
        <v>65</v>
      </c>
      <c r="J6" s="210">
        <f>COUNTIFS('1. All Data'!$AB$3:$AB$133,"LEADER",'1. All Data'!$M$3:$M$133,"On Track to be Achieved")</f>
        <v>22</v>
      </c>
      <c r="K6" s="211">
        <f>J6/J16</f>
        <v>0.5641025641025641</v>
      </c>
      <c r="L6" s="403"/>
      <c r="M6" s="212">
        <f>J6/J17</f>
        <v>0.66666666666666663</v>
      </c>
      <c r="N6" s="408"/>
      <c r="P6" s="232" t="s">
        <v>65</v>
      </c>
      <c r="Q6" s="210">
        <f>COUNTIFS('1. All Data'!$AB$3:$AB$133,"LEADER",'1. All Data'!$R$3:$R$133,"On Track to be Achieved")</f>
        <v>11</v>
      </c>
      <c r="R6" s="211">
        <f>Q6/Q16</f>
        <v>0.28205128205128205</v>
      </c>
      <c r="S6" s="403"/>
      <c r="T6" s="212">
        <f>Q6/Q17</f>
        <v>0.30555555555555558</v>
      </c>
      <c r="U6" s="408"/>
      <c r="W6" s="232" t="s">
        <v>57</v>
      </c>
      <c r="X6" s="210">
        <f>COUNTIFS('1. All Data'!$AB$3:$AB$133,"LEADER",'1. All Data'!$V$3:$V$133,"Numerical Outturn Within 5% Tolerance")</f>
        <v>0</v>
      </c>
      <c r="Y6" s="211">
        <f>X6/X16</f>
        <v>0</v>
      </c>
      <c r="Z6" s="403"/>
      <c r="AA6" s="211">
        <f>X6/X17</f>
        <v>0</v>
      </c>
      <c r="AB6" s="377"/>
    </row>
    <row r="7" spans="2:30" ht="21" customHeight="1">
      <c r="B7" s="397" t="s">
        <v>66</v>
      </c>
      <c r="C7" s="400">
        <f>COUNTIFS('1. All Data'!$AB$3:$AB$133,"LEADER",'1. All Data'!$H$3:$H$133,"In Danger of Falling Behind Target")</f>
        <v>1</v>
      </c>
      <c r="D7" s="405">
        <f>C7/C16</f>
        <v>2.564102564102564E-2</v>
      </c>
      <c r="E7" s="405">
        <f>D7</f>
        <v>2.564102564102564E-2</v>
      </c>
      <c r="F7" s="391">
        <f>C7/C17</f>
        <v>3.4482758620689655E-2</v>
      </c>
      <c r="G7" s="394">
        <f>F7</f>
        <v>3.4482758620689655E-2</v>
      </c>
      <c r="I7" s="397" t="s">
        <v>66</v>
      </c>
      <c r="J7" s="400">
        <f>COUNTIFS('1. All Data'!$AB$3:$AB$133,"LEADER",'1. All Data'!$M$3:$M$133,"In Danger of Falling Behind Target")</f>
        <v>1</v>
      </c>
      <c r="K7" s="405">
        <f>J7/J16</f>
        <v>2.564102564102564E-2</v>
      </c>
      <c r="L7" s="405">
        <f>K7</f>
        <v>2.564102564102564E-2</v>
      </c>
      <c r="M7" s="391">
        <f>J7/J17</f>
        <v>3.0303030303030304E-2</v>
      </c>
      <c r="N7" s="394">
        <f>M7</f>
        <v>3.0303030303030304E-2</v>
      </c>
      <c r="P7" s="397" t="s">
        <v>66</v>
      </c>
      <c r="Q7" s="400">
        <f>COUNTIFS('1. All Data'!$AB$3:$AB$133,"LEADER",'1. All Data'!$R$3:$R$133,"In Danger of Falling Behind Target")</f>
        <v>1</v>
      </c>
      <c r="R7" s="405">
        <f>Q7/Q16</f>
        <v>2.564102564102564E-2</v>
      </c>
      <c r="S7" s="405">
        <f>R7</f>
        <v>2.564102564102564E-2</v>
      </c>
      <c r="T7" s="391">
        <f>Q7/Q17</f>
        <v>2.7777777777777776E-2</v>
      </c>
      <c r="U7" s="394">
        <f>T7</f>
        <v>2.7777777777777776E-2</v>
      </c>
      <c r="W7" s="170" t="s">
        <v>58</v>
      </c>
      <c r="X7" s="171">
        <f>COUNTIFS('1. All Data'!$AB$3:$AB$133,"LEADER",'1. All Data'!$V$3:$V$133,"Numerical Outturn Within 10% Tolerance")</f>
        <v>0</v>
      </c>
      <c r="Y7" s="169">
        <f>X7/$X$16</f>
        <v>0</v>
      </c>
      <c r="Z7" s="362">
        <f>SUM(Y7:Y9)</f>
        <v>0</v>
      </c>
      <c r="AA7" s="169">
        <f>X7/$X$17</f>
        <v>0</v>
      </c>
      <c r="AB7" s="363">
        <f>SUM(AA7:AA9)</f>
        <v>0</v>
      </c>
    </row>
    <row r="8" spans="2:30" ht="20.25" customHeight="1">
      <c r="B8" s="398"/>
      <c r="C8" s="401"/>
      <c r="D8" s="406"/>
      <c r="E8" s="406"/>
      <c r="F8" s="392"/>
      <c r="G8" s="395"/>
      <c r="I8" s="398"/>
      <c r="J8" s="401"/>
      <c r="K8" s="406"/>
      <c r="L8" s="406"/>
      <c r="M8" s="392"/>
      <c r="N8" s="395"/>
      <c r="P8" s="398"/>
      <c r="Q8" s="401"/>
      <c r="R8" s="406"/>
      <c r="S8" s="406"/>
      <c r="T8" s="392"/>
      <c r="U8" s="395"/>
      <c r="W8" s="170" t="s">
        <v>59</v>
      </c>
      <c r="X8" s="171">
        <f>COUNTIFS('1. All Data'!$AB$3:$AB$133,"LEADER",'1. All Data'!$V$3:$V$133,"Target Partially Met")</f>
        <v>0</v>
      </c>
      <c r="Y8" s="169">
        <f>X8/$X$16</f>
        <v>0</v>
      </c>
      <c r="Z8" s="362"/>
      <c r="AA8" s="169">
        <f>X8/$X$17</f>
        <v>0</v>
      </c>
      <c r="AB8" s="363"/>
    </row>
    <row r="9" spans="2:30" ht="18.75" customHeight="1">
      <c r="B9" s="399"/>
      <c r="C9" s="402"/>
      <c r="D9" s="407"/>
      <c r="E9" s="407"/>
      <c r="F9" s="393"/>
      <c r="G9" s="396"/>
      <c r="I9" s="399"/>
      <c r="J9" s="402"/>
      <c r="K9" s="407"/>
      <c r="L9" s="407"/>
      <c r="M9" s="393"/>
      <c r="N9" s="396"/>
      <c r="P9" s="399"/>
      <c r="Q9" s="402"/>
      <c r="R9" s="407"/>
      <c r="S9" s="407"/>
      <c r="T9" s="393"/>
      <c r="U9" s="396"/>
      <c r="W9" s="170" t="s">
        <v>62</v>
      </c>
      <c r="X9" s="171">
        <f>COUNTIFS('1. All Data'!$AB$3:$AB$133,"LEADER",'1. All Data'!$V$3:$V$133,"Completion Date Within Reasonable Tolerance")</f>
        <v>0</v>
      </c>
      <c r="Y9" s="169">
        <f>X9/$X$16</f>
        <v>0</v>
      </c>
      <c r="Z9" s="362"/>
      <c r="AA9" s="169">
        <f>X9/$X$17</f>
        <v>0</v>
      </c>
      <c r="AB9" s="363"/>
    </row>
    <row r="10" spans="2:30" ht="20.25" customHeight="1">
      <c r="B10" s="213" t="s">
        <v>67</v>
      </c>
      <c r="C10" s="210">
        <f>COUNTIFS('1. All Data'!$AB$3:$AB$133,"LEADER",'1. All Data'!$H$3:$H$133,"Completed Behind Schedule")</f>
        <v>0</v>
      </c>
      <c r="D10" s="211">
        <f>C10/C16</f>
        <v>0</v>
      </c>
      <c r="E10" s="403">
        <f>D10+D11</f>
        <v>0</v>
      </c>
      <c r="F10" s="212">
        <f>C10/C17</f>
        <v>0</v>
      </c>
      <c r="G10" s="404">
        <f>F10+F11</f>
        <v>0</v>
      </c>
      <c r="I10" s="213" t="s">
        <v>67</v>
      </c>
      <c r="J10" s="210">
        <f>COUNTIFS('1. All Data'!$AB$3:$AB$133,"LEADER",'1. All Data'!$M$3:$M$133,"Completed Behind Schedule")</f>
        <v>0</v>
      </c>
      <c r="K10" s="211">
        <f>J10/J16</f>
        <v>0</v>
      </c>
      <c r="L10" s="403">
        <f>K10+K11</f>
        <v>0</v>
      </c>
      <c r="M10" s="212">
        <f>J10/J17</f>
        <v>0</v>
      </c>
      <c r="N10" s="404">
        <f>M10+M11</f>
        <v>0</v>
      </c>
      <c r="P10" s="213" t="s">
        <v>67</v>
      </c>
      <c r="Q10" s="210">
        <f>COUNTIFS('1. All Data'!$AB$3:$AB$133,"LEADER",'1. All Data'!$R$3:$R$133,"Completed Behind Schedule")</f>
        <v>0</v>
      </c>
      <c r="R10" s="211">
        <f>Q10/Q16</f>
        <v>0</v>
      </c>
      <c r="S10" s="403">
        <f>R10+R11</f>
        <v>7.6923076923076927E-2</v>
      </c>
      <c r="T10" s="212">
        <f>Q10/Q17</f>
        <v>0</v>
      </c>
      <c r="U10" s="404">
        <f>T10+T11</f>
        <v>8.3333333333333329E-2</v>
      </c>
      <c r="W10" s="172" t="s">
        <v>61</v>
      </c>
      <c r="X10" s="210">
        <f>COUNTIFS('1. All Data'!$AB$3:$AB$133,"LEADER",'1. All Data'!$V$3:$V$133,"Completed Significantly After Target Deadline")</f>
        <v>0</v>
      </c>
      <c r="Y10" s="211">
        <f>X10/X16</f>
        <v>0</v>
      </c>
      <c r="Z10" s="403">
        <f>Y10+Y11</f>
        <v>2.564102564102564E-2</v>
      </c>
      <c r="AA10" s="169">
        <f>X10/$X$17</f>
        <v>0</v>
      </c>
      <c r="AB10" s="364">
        <f>AA10+AA11</f>
        <v>2.7027027027027029E-2</v>
      </c>
    </row>
    <row r="11" spans="2:30" ht="20.25" customHeight="1">
      <c r="B11" s="213" t="s">
        <v>60</v>
      </c>
      <c r="C11" s="210">
        <f>COUNTIFS('1. All Data'!$AB$3:$AB$133,"LEADER",'1. All Data'!$H$3:$H$133,"Off Target")</f>
        <v>0</v>
      </c>
      <c r="D11" s="211">
        <f>C11/C16</f>
        <v>0</v>
      </c>
      <c r="E11" s="403"/>
      <c r="F11" s="212">
        <f>C11/C17</f>
        <v>0</v>
      </c>
      <c r="G11" s="404"/>
      <c r="I11" s="213" t="s">
        <v>60</v>
      </c>
      <c r="J11" s="210">
        <f>COUNTIFS('1. All Data'!$AB$3:$AB$133,"LEADER",'1. All Data'!$M$3:$M$133,"Off Target")</f>
        <v>0</v>
      </c>
      <c r="K11" s="211">
        <f>J11/J16</f>
        <v>0</v>
      </c>
      <c r="L11" s="403"/>
      <c r="M11" s="212">
        <f>J11/J17</f>
        <v>0</v>
      </c>
      <c r="N11" s="404"/>
      <c r="P11" s="213" t="s">
        <v>60</v>
      </c>
      <c r="Q11" s="210">
        <f>COUNTIFS('1. All Data'!$AB$3:$AB$133,"LEADER",'1. All Data'!$R$3:$R$133,"Off Target")</f>
        <v>3</v>
      </c>
      <c r="R11" s="211">
        <f>Q11/Q16</f>
        <v>7.6923076923076927E-2</v>
      </c>
      <c r="S11" s="403"/>
      <c r="T11" s="212">
        <f>Q11/Q17</f>
        <v>8.3333333333333329E-2</v>
      </c>
      <c r="U11" s="404"/>
      <c r="W11" s="172" t="s">
        <v>60</v>
      </c>
      <c r="X11" s="210">
        <f>COUNTIFS('1. All Data'!$AB$3:$AB$133,"LEADER",'1. All Data'!$V$3:$V$133,"Off Target")</f>
        <v>1</v>
      </c>
      <c r="Y11" s="211">
        <f>X11/X16</f>
        <v>2.564102564102564E-2</v>
      </c>
      <c r="Z11" s="403"/>
      <c r="AA11" s="169">
        <f>X11/$X$17</f>
        <v>2.7027027027027029E-2</v>
      </c>
      <c r="AB11" s="364"/>
    </row>
    <row r="12" spans="2:30" ht="15" customHeight="1">
      <c r="B12" s="214" t="s">
        <v>89</v>
      </c>
      <c r="C12" s="210">
        <f>COUNTIFS('1. All Data'!$AB$3:$AB$133,"LEADER",'1. All Data'!$H$3:$H$133,"Not yet due")</f>
        <v>10</v>
      </c>
      <c r="D12" s="215">
        <f>C12/C16</f>
        <v>0.25641025641025639</v>
      </c>
      <c r="E12" s="215">
        <f>D12</f>
        <v>0.25641025641025639</v>
      </c>
      <c r="F12" s="216"/>
      <c r="G12" s="59"/>
      <c r="I12" s="214" t="s">
        <v>89</v>
      </c>
      <c r="J12" s="210">
        <f>COUNTIFS('1. All Data'!$AB$3:$AB$133,"LEADER",'1. All Data'!$M$3:$M$133,"Not yet due")</f>
        <v>6</v>
      </c>
      <c r="K12" s="215">
        <f>J12/J16</f>
        <v>0.15384615384615385</v>
      </c>
      <c r="L12" s="215">
        <f>K12</f>
        <v>0.15384615384615385</v>
      </c>
      <c r="M12" s="216"/>
      <c r="N12" s="59"/>
      <c r="P12" s="214" t="s">
        <v>89</v>
      </c>
      <c r="Q12" s="210">
        <f>COUNTIFS('1. All Data'!$AB$3:$AB$133,"LEADER",'1. All Data'!$R$3:$R$133,"Not yet due")</f>
        <v>3</v>
      </c>
      <c r="R12" s="215">
        <f>Q12/Q16</f>
        <v>7.6923076923076927E-2</v>
      </c>
      <c r="S12" s="215">
        <f>R12</f>
        <v>7.6923076923076927E-2</v>
      </c>
      <c r="T12" s="216"/>
      <c r="U12" s="59"/>
      <c r="W12" s="173" t="s">
        <v>89</v>
      </c>
      <c r="X12" s="210">
        <f>COUNTIFS('1. All Data'!$AB$3:$AB$133,"LEADER",'1. All Data'!$V$3:$V$133,"Not yet due")</f>
        <v>0</v>
      </c>
      <c r="Y12" s="215">
        <f>X12/X16</f>
        <v>0</v>
      </c>
      <c r="Z12" s="215">
        <f>Y12</f>
        <v>0</v>
      </c>
      <c r="AA12" s="175"/>
      <c r="AB12" s="59"/>
    </row>
    <row r="13" spans="2:30" ht="15" customHeight="1">
      <c r="B13" s="214" t="s">
        <v>55</v>
      </c>
      <c r="C13" s="210">
        <f>COUNTIFS('1. All Data'!$AB$3:$AB$133,"LEADER",'1. All Data'!$H$3:$H$133,"Update not provided")</f>
        <v>0</v>
      </c>
      <c r="D13" s="215">
        <f>C13/C16</f>
        <v>0</v>
      </c>
      <c r="E13" s="215">
        <f>D13</f>
        <v>0</v>
      </c>
      <c r="F13" s="216"/>
      <c r="G13" s="2"/>
      <c r="I13" s="214" t="s">
        <v>55</v>
      </c>
      <c r="J13" s="210">
        <f>COUNTIFS('1. All Data'!$AB$3:$AB$133,"LEADER",'1. All Data'!$M$3:$M$133,"Update not provided")</f>
        <v>0</v>
      </c>
      <c r="K13" s="215">
        <f>J13/J16</f>
        <v>0</v>
      </c>
      <c r="L13" s="215">
        <f>K13</f>
        <v>0</v>
      </c>
      <c r="M13" s="216"/>
      <c r="N13" s="2"/>
      <c r="P13" s="214" t="s">
        <v>55</v>
      </c>
      <c r="Q13" s="210">
        <f>COUNTIFS('1. All Data'!$AB$3:$AB$133,"LEADER",'1. All Data'!$R$3:$R$133,"Update not provided")</f>
        <v>0</v>
      </c>
      <c r="R13" s="215">
        <f>Q13/Q16</f>
        <v>0</v>
      </c>
      <c r="S13" s="215">
        <f>R13</f>
        <v>0</v>
      </c>
      <c r="T13" s="216"/>
      <c r="U13" s="2"/>
      <c r="W13" s="173" t="s">
        <v>55</v>
      </c>
      <c r="X13" s="210">
        <f>COUNTIFS('1. All Data'!$AB$3:$AB$133,"LEADER",'1. All Data'!$V$3:$V$133,"Update not provided")</f>
        <v>0</v>
      </c>
      <c r="Y13" s="215">
        <f>X13/X16</f>
        <v>0</v>
      </c>
      <c r="Z13" s="215">
        <f>Y13</f>
        <v>0</v>
      </c>
      <c r="AA13" s="175"/>
      <c r="AB13" s="2"/>
    </row>
    <row r="14" spans="2:30" ht="15.75" customHeight="1">
      <c r="B14" s="217" t="s">
        <v>63</v>
      </c>
      <c r="C14" s="210">
        <f>COUNTIFS('1. All Data'!$AB$3:$AB$133,"LEADER",'1. All Data'!$H$3:$H$133,"Deferred")</f>
        <v>0</v>
      </c>
      <c r="D14" s="218">
        <f>C14/C16</f>
        <v>0</v>
      </c>
      <c r="E14" s="218">
        <f>D14</f>
        <v>0</v>
      </c>
      <c r="F14" s="219"/>
      <c r="G14" s="59"/>
      <c r="I14" s="217" t="s">
        <v>63</v>
      </c>
      <c r="J14" s="210">
        <f>COUNTIFS('1. All Data'!$AB$3:$AB$133,"LEADER",'1. All Data'!$M$3:$M$133,"Deferred")</f>
        <v>0</v>
      </c>
      <c r="K14" s="218">
        <f>J14/J16</f>
        <v>0</v>
      </c>
      <c r="L14" s="218">
        <f>K14</f>
        <v>0</v>
      </c>
      <c r="M14" s="219"/>
      <c r="N14" s="59"/>
      <c r="P14" s="217" t="s">
        <v>63</v>
      </c>
      <c r="Q14" s="210">
        <f>COUNTIFS('1. All Data'!$AB$3:$AB$133,"LEADER",'1. All Data'!$R$3:$R$133,"Deferred")</f>
        <v>0</v>
      </c>
      <c r="R14" s="218">
        <f>Q14/Q16</f>
        <v>0</v>
      </c>
      <c r="S14" s="218">
        <f>R14</f>
        <v>0</v>
      </c>
      <c r="T14" s="219"/>
      <c r="U14" s="59"/>
      <c r="W14" s="176" t="s">
        <v>63</v>
      </c>
      <c r="X14" s="210">
        <f>COUNTIFS('1. All Data'!$AB$3:$AB$133,"LEADER",'1. All Data'!$V$3:$V$133,"Deferred")</f>
        <v>2</v>
      </c>
      <c r="Y14" s="218">
        <f>X14/X16</f>
        <v>5.128205128205128E-2</v>
      </c>
      <c r="Z14" s="218">
        <f>Y14</f>
        <v>5.128205128205128E-2</v>
      </c>
      <c r="AA14" s="178"/>
      <c r="AB14" s="59"/>
    </row>
    <row r="15" spans="2:30" ht="15.75" customHeight="1">
      <c r="B15" s="217" t="s">
        <v>64</v>
      </c>
      <c r="C15" s="210">
        <f>COUNTIFS('1. All Data'!$AB$3:$AB$133,"LEADER",'1. All Data'!$H$3:$H$133,"Deleted")</f>
        <v>0</v>
      </c>
      <c r="D15" s="218">
        <f>C15/C16</f>
        <v>0</v>
      </c>
      <c r="E15" s="218">
        <f>D15</f>
        <v>0</v>
      </c>
      <c r="F15" s="219"/>
      <c r="G15" s="30"/>
      <c r="I15" s="217" t="s">
        <v>64</v>
      </c>
      <c r="J15" s="210">
        <f>COUNTIFS('1. All Data'!$AB$3:$AB$133,"LEADER",'1. All Data'!$M$3:$M$133,"Deleted")</f>
        <v>0</v>
      </c>
      <c r="K15" s="218">
        <f>J15/J16</f>
        <v>0</v>
      </c>
      <c r="L15" s="218">
        <f>K15</f>
        <v>0</v>
      </c>
      <c r="M15" s="219"/>
      <c r="N15" s="30"/>
      <c r="P15" s="217" t="s">
        <v>64</v>
      </c>
      <c r="Q15" s="210">
        <f>COUNTIFS('1. All Data'!$AB$3:$AB$133,"LEADER",'1. All Data'!$R$3:$R$133,"Deleted")</f>
        <v>0</v>
      </c>
      <c r="R15" s="218">
        <f>Q15/Q16</f>
        <v>0</v>
      </c>
      <c r="S15" s="218">
        <f>R15</f>
        <v>0</v>
      </c>
      <c r="T15" s="219"/>
      <c r="U15" s="30"/>
      <c r="W15" s="176" t="s">
        <v>64</v>
      </c>
      <c r="X15" s="210">
        <f>COUNTIFS('1. All Data'!$AB$3:$AB$133,"LEADER",'1. All Data'!$V$3:$V$133,"Deleted")</f>
        <v>0</v>
      </c>
      <c r="Y15" s="218">
        <f>X15/X16</f>
        <v>0</v>
      </c>
      <c r="Z15" s="218">
        <f>Y15</f>
        <v>0</v>
      </c>
      <c r="AA15" s="178"/>
      <c r="AD15" s="3"/>
    </row>
    <row r="16" spans="2:30" ht="15.75" customHeight="1">
      <c r="B16" s="220" t="s">
        <v>91</v>
      </c>
      <c r="C16" s="221">
        <f>SUM(C5:C15)</f>
        <v>39</v>
      </c>
      <c r="D16" s="178"/>
      <c r="E16" s="178"/>
      <c r="F16" s="222"/>
      <c r="G16" s="59"/>
      <c r="I16" s="220" t="s">
        <v>91</v>
      </c>
      <c r="J16" s="221">
        <f>SUM(J5:J15)</f>
        <v>39</v>
      </c>
      <c r="K16" s="178"/>
      <c r="L16" s="178"/>
      <c r="M16" s="222"/>
      <c r="N16" s="59"/>
      <c r="P16" s="220" t="s">
        <v>91</v>
      </c>
      <c r="Q16" s="221">
        <f>SUM(Q5:Q15)</f>
        <v>39</v>
      </c>
      <c r="R16" s="178"/>
      <c r="S16" s="178"/>
      <c r="T16" s="222"/>
      <c r="U16" s="59"/>
      <c r="W16" s="179" t="s">
        <v>91</v>
      </c>
      <c r="X16" s="221">
        <f>SUM(X5:X15)</f>
        <v>39</v>
      </c>
      <c r="Y16" s="178"/>
      <c r="Z16" s="178"/>
      <c r="AA16" s="59"/>
      <c r="AB16" s="59"/>
    </row>
    <row r="17" spans="2:29" ht="15.75" customHeight="1">
      <c r="B17" s="220" t="s">
        <v>92</v>
      </c>
      <c r="C17" s="221">
        <f>C16-C15-C14-C13-C12</f>
        <v>29</v>
      </c>
      <c r="D17" s="59"/>
      <c r="E17" s="59"/>
      <c r="F17" s="222"/>
      <c r="G17" s="59"/>
      <c r="I17" s="220" t="s">
        <v>92</v>
      </c>
      <c r="J17" s="221">
        <f>J16-J15-J14-J13-J12</f>
        <v>33</v>
      </c>
      <c r="K17" s="59"/>
      <c r="L17" s="59"/>
      <c r="M17" s="222"/>
      <c r="N17" s="59"/>
      <c r="P17" s="220" t="s">
        <v>92</v>
      </c>
      <c r="Q17" s="221">
        <f>Q16-Q15-Q14-Q13-Q12</f>
        <v>36</v>
      </c>
      <c r="R17" s="59"/>
      <c r="S17" s="59"/>
      <c r="T17" s="222"/>
      <c r="U17" s="59"/>
      <c r="W17" s="179" t="s">
        <v>92</v>
      </c>
      <c r="X17" s="221">
        <f>X16-X15-X14-X13-X12</f>
        <v>37</v>
      </c>
      <c r="Y17" s="59"/>
      <c r="Z17" s="59"/>
      <c r="AA17" s="59"/>
      <c r="AB17" s="59"/>
    </row>
    <row r="18" spans="2:29" ht="15.75" customHeight="1">
      <c r="W18" s="181"/>
      <c r="AA18" s="2"/>
    </row>
    <row r="19" spans="2:29" ht="15.75" customHeight="1">
      <c r="AA19" s="2"/>
    </row>
    <row r="20" spans="2:29" s="167" customFormat="1" ht="15.75" customHeight="1">
      <c r="B20" s="189"/>
      <c r="C20" s="166"/>
      <c r="D20" s="166"/>
      <c r="E20" s="166"/>
      <c r="F20" s="222"/>
      <c r="G20" s="166"/>
      <c r="I20" s="189"/>
      <c r="J20" s="166"/>
      <c r="K20" s="166"/>
      <c r="L20" s="166"/>
      <c r="M20" s="222"/>
      <c r="N20" s="166"/>
      <c r="P20" s="189"/>
      <c r="Q20" s="166"/>
      <c r="R20" s="166"/>
      <c r="S20" s="166"/>
      <c r="T20" s="222"/>
      <c r="U20" s="166"/>
      <c r="W20" s="166"/>
      <c r="X20" s="166"/>
      <c r="Y20" s="166"/>
      <c r="Z20" s="166"/>
      <c r="AA20" s="59"/>
      <c r="AB20" s="188"/>
    </row>
    <row r="21" spans="2:29" ht="15" customHeight="1">
      <c r="W21" s="223"/>
      <c r="X21" s="59"/>
      <c r="Y21" s="59"/>
      <c r="Z21" s="59"/>
      <c r="AA21" s="59"/>
      <c r="AB21" s="178"/>
      <c r="AC21" s="167"/>
    </row>
    <row r="22" spans="2:29" s="167" customFormat="1" ht="15.6">
      <c r="B22" s="205" t="s">
        <v>113</v>
      </c>
      <c r="C22" s="206"/>
      <c r="D22" s="206"/>
      <c r="E22" s="206"/>
      <c r="F22" s="207"/>
      <c r="G22" s="206"/>
      <c r="I22" s="205" t="s">
        <v>113</v>
      </c>
      <c r="J22" s="206"/>
      <c r="K22" s="206"/>
      <c r="L22" s="206"/>
      <c r="M22" s="207"/>
      <c r="N22" s="206"/>
      <c r="P22" s="205" t="s">
        <v>113</v>
      </c>
      <c r="Q22" s="206"/>
      <c r="R22" s="206"/>
      <c r="S22" s="206"/>
      <c r="T22" s="207"/>
      <c r="U22" s="206"/>
      <c r="W22" s="205" t="s">
        <v>113</v>
      </c>
      <c r="X22" s="206"/>
      <c r="Y22" s="206"/>
      <c r="Z22" s="206"/>
      <c r="AA22" s="207"/>
      <c r="AB22" s="206"/>
    </row>
    <row r="23" spans="2:29" ht="42" customHeight="1">
      <c r="B23" s="208" t="s">
        <v>82</v>
      </c>
      <c r="C23" s="209" t="s">
        <v>83</v>
      </c>
      <c r="D23" s="209" t="s">
        <v>84</v>
      </c>
      <c r="E23" s="209" t="s">
        <v>85</v>
      </c>
      <c r="F23" s="208" t="s">
        <v>86</v>
      </c>
      <c r="G23" s="209" t="s">
        <v>87</v>
      </c>
      <c r="I23" s="208" t="s">
        <v>82</v>
      </c>
      <c r="J23" s="209" t="s">
        <v>83</v>
      </c>
      <c r="K23" s="209" t="s">
        <v>84</v>
      </c>
      <c r="L23" s="209" t="s">
        <v>85</v>
      </c>
      <c r="M23" s="208" t="s">
        <v>86</v>
      </c>
      <c r="N23" s="209" t="s">
        <v>87</v>
      </c>
      <c r="P23" s="208" t="s">
        <v>82</v>
      </c>
      <c r="Q23" s="209" t="s">
        <v>83</v>
      </c>
      <c r="R23" s="209" t="s">
        <v>84</v>
      </c>
      <c r="S23" s="209" t="s">
        <v>85</v>
      </c>
      <c r="T23" s="208" t="s">
        <v>86</v>
      </c>
      <c r="U23" s="209" t="s">
        <v>87</v>
      </c>
      <c r="W23" s="165" t="s">
        <v>82</v>
      </c>
      <c r="X23" s="165" t="s">
        <v>83</v>
      </c>
      <c r="Y23" s="165" t="s">
        <v>84</v>
      </c>
      <c r="Z23" s="165" t="s">
        <v>85</v>
      </c>
      <c r="AA23" s="165" t="s">
        <v>86</v>
      </c>
      <c r="AB23" s="165" t="s">
        <v>87</v>
      </c>
      <c r="AC23" s="167"/>
    </row>
    <row r="24" spans="2:29" ht="21.75" customHeight="1">
      <c r="B24" s="232" t="s">
        <v>88</v>
      </c>
      <c r="C24" s="210">
        <f>COUNTIFS('1. All Data'!$AB$3:$AB$133,"Environment &amp; Housing",'1. All Data'!$H$3:$H$133,"Fully Achieved")</f>
        <v>4</v>
      </c>
      <c r="D24" s="211">
        <f>C24/C35</f>
        <v>0.11428571428571428</v>
      </c>
      <c r="E24" s="403">
        <f>D24+D25</f>
        <v>0.68571428571428572</v>
      </c>
      <c r="F24" s="212">
        <f>C24/C36</f>
        <v>0.16</v>
      </c>
      <c r="G24" s="408">
        <f>F24+F25</f>
        <v>0.96000000000000008</v>
      </c>
      <c r="I24" s="232" t="s">
        <v>88</v>
      </c>
      <c r="J24" s="210">
        <f>COUNTIFS('1. All Data'!$AB$3:$AB$133,"Environment &amp; Housing",'1. All Data'!$M$3:$M$133,"Fully Achieved")</f>
        <v>5</v>
      </c>
      <c r="K24" s="211">
        <f>J24/J35</f>
        <v>0.14285714285714285</v>
      </c>
      <c r="L24" s="403">
        <f>K24+K25</f>
        <v>0.71428571428571419</v>
      </c>
      <c r="M24" s="212">
        <f>J24/J36</f>
        <v>0.18518518518518517</v>
      </c>
      <c r="N24" s="408">
        <f>M24+M25</f>
        <v>0.92592592592592582</v>
      </c>
      <c r="P24" s="232" t="s">
        <v>88</v>
      </c>
      <c r="Q24" s="210">
        <f>COUNTIFS('1. All Data'!$AB$3:$AB$133,"Environment &amp; Housing",'1. All Data'!$R$3:$R$133,"Fully Achieved")</f>
        <v>9</v>
      </c>
      <c r="R24" s="211">
        <f>Q24/Q35</f>
        <v>0.25714285714285712</v>
      </c>
      <c r="S24" s="403">
        <f>R24+R25</f>
        <v>0.91428571428571426</v>
      </c>
      <c r="T24" s="212">
        <f>Q24/Q36</f>
        <v>0.26470588235294118</v>
      </c>
      <c r="U24" s="408">
        <f>T24+T25</f>
        <v>0.94117647058823528</v>
      </c>
      <c r="W24" s="232" t="s">
        <v>88</v>
      </c>
      <c r="X24" s="210">
        <f>COUNTIFS('1. All Data'!$AB$3:$AB$133,"Environment &amp; Housing",'1. All Data'!$V$3:$V$133,"Fully Achieved")</f>
        <v>26</v>
      </c>
      <c r="Y24" s="211">
        <f>X24/X35</f>
        <v>0.74285714285714288</v>
      </c>
      <c r="Z24" s="403">
        <f>Y24+Y25</f>
        <v>0.85714285714285721</v>
      </c>
      <c r="AA24" s="211">
        <f>X24/X36</f>
        <v>0.74285714285714288</v>
      </c>
      <c r="AB24" s="377">
        <f>AA24+AA25</f>
        <v>0.85714285714285721</v>
      </c>
      <c r="AC24" s="167"/>
    </row>
    <row r="25" spans="2:29" ht="18.75" customHeight="1">
      <c r="B25" s="232" t="s">
        <v>65</v>
      </c>
      <c r="C25" s="210">
        <f>COUNTIFS('1. All Data'!$AB$3:$AB$133,"Environment &amp; Housing",'1. All Data'!$H$3:$H$133,"On Track to be Achieved")</f>
        <v>20</v>
      </c>
      <c r="D25" s="211">
        <f>C25/C35</f>
        <v>0.5714285714285714</v>
      </c>
      <c r="E25" s="403"/>
      <c r="F25" s="212">
        <f>C25/C36</f>
        <v>0.8</v>
      </c>
      <c r="G25" s="408"/>
      <c r="I25" s="232" t="s">
        <v>65</v>
      </c>
      <c r="J25" s="210">
        <f>COUNTIFS('1. All Data'!$AB$3:$AB$133,"Environment &amp; Housing",'1. All Data'!$M$3:$M$133,"On Track to be Achieved")</f>
        <v>20</v>
      </c>
      <c r="K25" s="211">
        <f>J25/J35</f>
        <v>0.5714285714285714</v>
      </c>
      <c r="L25" s="403"/>
      <c r="M25" s="212">
        <f>J25/J36</f>
        <v>0.7407407407407407</v>
      </c>
      <c r="N25" s="408"/>
      <c r="P25" s="232" t="s">
        <v>65</v>
      </c>
      <c r="Q25" s="210">
        <f>COUNTIFS('1. All Data'!$AB$3:$AB$133,"Environment &amp; Housing",'1. All Data'!$R$3:$R$133,"On Track to be Achieved")</f>
        <v>23</v>
      </c>
      <c r="R25" s="211">
        <f>Q25/Q35</f>
        <v>0.65714285714285714</v>
      </c>
      <c r="S25" s="403"/>
      <c r="T25" s="212">
        <f>Q25/Q36</f>
        <v>0.67647058823529416</v>
      </c>
      <c r="U25" s="408"/>
      <c r="W25" s="232" t="s">
        <v>57</v>
      </c>
      <c r="X25" s="210">
        <f>COUNTIFS('1. All Data'!$AB$3:$AB$133,"Environment &amp; Housing",'1. All Data'!$V$3:$V$133,"Numerical Outturn Within 5% Tolerance")</f>
        <v>4</v>
      </c>
      <c r="Y25" s="211">
        <f>X25/X35</f>
        <v>0.11428571428571428</v>
      </c>
      <c r="Z25" s="403"/>
      <c r="AA25" s="211">
        <f>X25/X36</f>
        <v>0.11428571428571428</v>
      </c>
      <c r="AB25" s="377"/>
      <c r="AC25" s="167"/>
    </row>
    <row r="26" spans="2:29" ht="21" customHeight="1">
      <c r="B26" s="397" t="s">
        <v>66</v>
      </c>
      <c r="C26" s="400">
        <f>COUNTIFS('1. All Data'!$AB$3:$AB$133,"Environment &amp; Housing",'1. All Data'!$H$3:$H$133,"In Danger of Falling Behind Target")</f>
        <v>1</v>
      </c>
      <c r="D26" s="405">
        <f>C26/C35</f>
        <v>2.8571428571428571E-2</v>
      </c>
      <c r="E26" s="405">
        <f>D26</f>
        <v>2.8571428571428571E-2</v>
      </c>
      <c r="F26" s="391">
        <f>C26/C36</f>
        <v>0.04</v>
      </c>
      <c r="G26" s="394">
        <f>F26</f>
        <v>0.04</v>
      </c>
      <c r="I26" s="397" t="s">
        <v>66</v>
      </c>
      <c r="J26" s="400">
        <f>COUNTIFS('1. All Data'!$AB$3:$AB$133,"Environment &amp; Housing",'1. All Data'!$M$3:$M$133,"In Danger of Falling Behind Target")</f>
        <v>2</v>
      </c>
      <c r="K26" s="405">
        <f>J26/J35</f>
        <v>5.7142857142857141E-2</v>
      </c>
      <c r="L26" s="405">
        <f>K26</f>
        <v>5.7142857142857141E-2</v>
      </c>
      <c r="M26" s="391">
        <f>J26/J36</f>
        <v>7.407407407407407E-2</v>
      </c>
      <c r="N26" s="394">
        <f>M26</f>
        <v>7.407407407407407E-2</v>
      </c>
      <c r="P26" s="397" t="s">
        <v>66</v>
      </c>
      <c r="Q26" s="400">
        <f>COUNTIFS('1. All Data'!$AB$3:$AB$133,"Environment &amp; Housing",'1. All Data'!$R$3:$R$133,"In Danger of Falling Behind Target")</f>
        <v>0</v>
      </c>
      <c r="R26" s="405">
        <f>Q26/Q35</f>
        <v>0</v>
      </c>
      <c r="S26" s="405">
        <f>R26</f>
        <v>0</v>
      </c>
      <c r="T26" s="391">
        <f>Q26/Q36</f>
        <v>0</v>
      </c>
      <c r="U26" s="394">
        <f>T26</f>
        <v>0</v>
      </c>
      <c r="W26" s="170" t="s">
        <v>58</v>
      </c>
      <c r="X26" s="171">
        <f>COUNTIFS('1. All Data'!$AB$3:$AB$133,"Environment &amp; Housing",'1. All Data'!$V$3:$V$133,"Numerical Outturn Within 10% Tolerance")</f>
        <v>0</v>
      </c>
      <c r="Y26" s="169">
        <f>X26/X35</f>
        <v>0</v>
      </c>
      <c r="Z26" s="362">
        <f>SUM(Y26:Y28)</f>
        <v>2.8571428571428571E-2</v>
      </c>
      <c r="AA26" s="169">
        <f>X26/X36</f>
        <v>0</v>
      </c>
      <c r="AB26" s="363">
        <f>SUM(AA26:AA28)</f>
        <v>2.8571428571428571E-2</v>
      </c>
      <c r="AC26" s="167"/>
    </row>
    <row r="27" spans="2:29" ht="20.25" customHeight="1">
      <c r="B27" s="398"/>
      <c r="C27" s="401"/>
      <c r="D27" s="406"/>
      <c r="E27" s="406"/>
      <c r="F27" s="392"/>
      <c r="G27" s="395"/>
      <c r="I27" s="398"/>
      <c r="J27" s="401"/>
      <c r="K27" s="406"/>
      <c r="L27" s="406"/>
      <c r="M27" s="392"/>
      <c r="N27" s="395"/>
      <c r="P27" s="398"/>
      <c r="Q27" s="401"/>
      <c r="R27" s="406"/>
      <c r="S27" s="406"/>
      <c r="T27" s="392"/>
      <c r="U27" s="395"/>
      <c r="W27" s="170" t="s">
        <v>59</v>
      </c>
      <c r="X27" s="171">
        <f>COUNTIFS('1. All Data'!$AB$3:$AB$133,"Environment &amp; Housing",'1. All Data'!$V$3:$V$133,"Target Partially Met")</f>
        <v>1</v>
      </c>
      <c r="Y27" s="169">
        <f>X27/X35</f>
        <v>2.8571428571428571E-2</v>
      </c>
      <c r="Z27" s="362"/>
      <c r="AA27" s="169">
        <f>X27/X36</f>
        <v>2.8571428571428571E-2</v>
      </c>
      <c r="AB27" s="363"/>
      <c r="AC27" s="167"/>
    </row>
    <row r="28" spans="2:29" ht="15.75" customHeight="1">
      <c r="B28" s="399"/>
      <c r="C28" s="402"/>
      <c r="D28" s="407"/>
      <c r="E28" s="407"/>
      <c r="F28" s="393"/>
      <c r="G28" s="396"/>
      <c r="I28" s="399"/>
      <c r="J28" s="402"/>
      <c r="K28" s="407"/>
      <c r="L28" s="407"/>
      <c r="M28" s="393"/>
      <c r="N28" s="396"/>
      <c r="P28" s="399"/>
      <c r="Q28" s="402"/>
      <c r="R28" s="407"/>
      <c r="S28" s="407"/>
      <c r="T28" s="393"/>
      <c r="U28" s="396"/>
      <c r="W28" s="170" t="s">
        <v>62</v>
      </c>
      <c r="X28" s="171">
        <f>COUNTIFS('1. All Data'!$AB$3:$AB$133,"Environment &amp; Housing",'1. All Data'!$V$3:$V$133,"Completion Date Within Reasonable Tolerance")</f>
        <v>0</v>
      </c>
      <c r="Y28" s="169">
        <f>X28/X35</f>
        <v>0</v>
      </c>
      <c r="Z28" s="362"/>
      <c r="AA28" s="169">
        <f>X28/X36</f>
        <v>0</v>
      </c>
      <c r="AB28" s="363"/>
      <c r="AC28" s="167"/>
    </row>
    <row r="29" spans="2:29" ht="20.25" customHeight="1">
      <c r="B29" s="213" t="s">
        <v>67</v>
      </c>
      <c r="C29" s="210">
        <f>COUNTIFS('1. All Data'!$AB$3:$AB$133,"Environment &amp; Housing",'1. All Data'!$H$3:$H$133,"Completed Behind Schedule")</f>
        <v>0</v>
      </c>
      <c r="D29" s="211">
        <f>C29/C35</f>
        <v>0</v>
      </c>
      <c r="E29" s="403">
        <f>D29+D30</f>
        <v>0</v>
      </c>
      <c r="F29" s="212">
        <f>C29/C36</f>
        <v>0</v>
      </c>
      <c r="G29" s="404">
        <f>F29+F30</f>
        <v>0</v>
      </c>
      <c r="I29" s="213" t="s">
        <v>67</v>
      </c>
      <c r="J29" s="210">
        <f>COUNTIFS('1. All Data'!$AB$3:$AB$133,"Environment &amp; Housing",'1. All Data'!$M$3:$M$133,"Completed Behind Schedule")</f>
        <v>0</v>
      </c>
      <c r="K29" s="211">
        <f>J29/J35</f>
        <v>0</v>
      </c>
      <c r="L29" s="403">
        <f>K29+K30</f>
        <v>0</v>
      </c>
      <c r="M29" s="212">
        <f>J29/J36</f>
        <v>0</v>
      </c>
      <c r="N29" s="404">
        <f>M29+M30</f>
        <v>0</v>
      </c>
      <c r="P29" s="213" t="s">
        <v>67</v>
      </c>
      <c r="Q29" s="210">
        <f>COUNTIFS('1. All Data'!$AB$3:$AB$133,"Environment &amp; Housing",'1. All Data'!$R$3:$R$133,"Completed Behind Schedule")</f>
        <v>0</v>
      </c>
      <c r="R29" s="211">
        <f>Q29/Q35</f>
        <v>0</v>
      </c>
      <c r="S29" s="403">
        <f>R29+R30</f>
        <v>5.7142857142857141E-2</v>
      </c>
      <c r="T29" s="212">
        <f>Q29/Q36</f>
        <v>0</v>
      </c>
      <c r="U29" s="404">
        <f>T29+T30</f>
        <v>5.8823529411764705E-2</v>
      </c>
      <c r="W29" s="172" t="s">
        <v>61</v>
      </c>
      <c r="X29" s="210">
        <f>COUNTIFS('1. All Data'!$AB$3:$AB$133,"Environment &amp; Housing",'1. All Data'!$V$3:$V$133,"Completed Significantly After Target Deadline")</f>
        <v>1</v>
      </c>
      <c r="Y29" s="211">
        <f>X29/X35</f>
        <v>2.8571428571428571E-2</v>
      </c>
      <c r="Z29" s="403">
        <f>Y29+Y30</f>
        <v>0.11428571428571428</v>
      </c>
      <c r="AA29" s="211">
        <f>X29/X36</f>
        <v>2.8571428571428571E-2</v>
      </c>
      <c r="AB29" s="364">
        <f>AA29+AA30</f>
        <v>0.11428571428571428</v>
      </c>
      <c r="AC29" s="167"/>
    </row>
    <row r="30" spans="2:29" ht="20.25" customHeight="1">
      <c r="B30" s="213" t="s">
        <v>60</v>
      </c>
      <c r="C30" s="210">
        <f>COUNTIFS('1. All Data'!$AB$3:$AB$133,"Environment &amp; Housing",'1. All Data'!$H$3:$H$133,"Off Target")</f>
        <v>0</v>
      </c>
      <c r="D30" s="211">
        <f>C30/C35</f>
        <v>0</v>
      </c>
      <c r="E30" s="403"/>
      <c r="F30" s="212">
        <f>C30/C36</f>
        <v>0</v>
      </c>
      <c r="G30" s="404"/>
      <c r="I30" s="213" t="s">
        <v>60</v>
      </c>
      <c r="J30" s="210">
        <f>COUNTIFS('1. All Data'!$AB$3:$AB$133,"Environment &amp; Housing",'1. All Data'!$M$3:$M$133,"Off Target")</f>
        <v>0</v>
      </c>
      <c r="K30" s="211">
        <f>J30/J35</f>
        <v>0</v>
      </c>
      <c r="L30" s="403"/>
      <c r="M30" s="212">
        <f>J30/J36</f>
        <v>0</v>
      </c>
      <c r="N30" s="404"/>
      <c r="P30" s="213" t="s">
        <v>60</v>
      </c>
      <c r="Q30" s="210">
        <f>COUNTIFS('1. All Data'!$AB$3:$AB$133,"Environment &amp; Housing",'1. All Data'!$R$3:$R$133,"Off Target")</f>
        <v>2</v>
      </c>
      <c r="R30" s="211">
        <f>Q30/Q35</f>
        <v>5.7142857142857141E-2</v>
      </c>
      <c r="S30" s="403"/>
      <c r="T30" s="212">
        <f>Q30/Q36</f>
        <v>5.8823529411764705E-2</v>
      </c>
      <c r="U30" s="404"/>
      <c r="W30" s="172" t="s">
        <v>60</v>
      </c>
      <c r="X30" s="210">
        <f>COUNTIFS('1. All Data'!$AB$3:$AB$133,"Environment &amp; Housing",'1. All Data'!$V$3:$V$133,"Off Target")</f>
        <v>3</v>
      </c>
      <c r="Y30" s="211">
        <f>X30/X35</f>
        <v>8.5714285714285715E-2</v>
      </c>
      <c r="Z30" s="403"/>
      <c r="AA30" s="211">
        <f>X30/X36</f>
        <v>8.5714285714285715E-2</v>
      </c>
      <c r="AB30" s="364"/>
      <c r="AC30" s="167"/>
    </row>
    <row r="31" spans="2:29" ht="15" customHeight="1">
      <c r="B31" s="214" t="s">
        <v>89</v>
      </c>
      <c r="C31" s="210">
        <f>COUNTIFS('1. All Data'!$AB$3:$AB$133,"Environment &amp; Housing",'1. All Data'!$H$3:$H$133,"Not yet due")</f>
        <v>10</v>
      </c>
      <c r="D31" s="215">
        <f>C31/C35</f>
        <v>0.2857142857142857</v>
      </c>
      <c r="E31" s="215">
        <f>D31</f>
        <v>0.2857142857142857</v>
      </c>
      <c r="F31" s="216"/>
      <c r="G31" s="59"/>
      <c r="I31" s="214" t="s">
        <v>89</v>
      </c>
      <c r="J31" s="210">
        <f>COUNTIFS('1. All Data'!$AB$3:$AB$133,"Environment &amp; Housing",'1. All Data'!$M$3:$M$133,"Not yet due")</f>
        <v>8</v>
      </c>
      <c r="K31" s="215">
        <f>J31/J35</f>
        <v>0.22857142857142856</v>
      </c>
      <c r="L31" s="215">
        <f>K31</f>
        <v>0.22857142857142856</v>
      </c>
      <c r="M31" s="216"/>
      <c r="N31" s="59"/>
      <c r="P31" s="214" t="s">
        <v>89</v>
      </c>
      <c r="Q31" s="210">
        <f>COUNTIFS('1. All Data'!$AB$3:$AB$133,"Environment &amp; Housing",'1. All Data'!$R$3:$R$133,"Not yet due")</f>
        <v>1</v>
      </c>
      <c r="R31" s="215">
        <f>Q31/Q35</f>
        <v>2.8571428571428571E-2</v>
      </c>
      <c r="S31" s="215">
        <f>R31</f>
        <v>2.8571428571428571E-2</v>
      </c>
      <c r="T31" s="216"/>
      <c r="U31" s="59"/>
      <c r="W31" s="173" t="s">
        <v>89</v>
      </c>
      <c r="X31" s="210">
        <f>COUNTIFS('1. All Data'!$AB$3:$AB$133,"Environment &amp; Housing",'1. All Data'!$V$3:$V$133,"Not yet due")</f>
        <v>0</v>
      </c>
      <c r="Y31" s="215">
        <f>X31/X35</f>
        <v>0</v>
      </c>
      <c r="Z31" s="215">
        <f>Y31</f>
        <v>0</v>
      </c>
      <c r="AA31" s="175"/>
      <c r="AB31" s="59"/>
      <c r="AC31" s="167"/>
    </row>
    <row r="32" spans="2:29" ht="15" customHeight="1">
      <c r="B32" s="214" t="s">
        <v>55</v>
      </c>
      <c r="C32" s="210">
        <f>COUNTIFS('1. All Data'!$AB$3:$AB$133,"Environment &amp; Housing",'1. All Data'!$H$3:$H$133,"Update not provided")</f>
        <v>0</v>
      </c>
      <c r="D32" s="215">
        <f>C32/C35</f>
        <v>0</v>
      </c>
      <c r="E32" s="215">
        <f>D32</f>
        <v>0</v>
      </c>
      <c r="F32" s="216"/>
      <c r="G32" s="2"/>
      <c r="I32" s="214" t="s">
        <v>55</v>
      </c>
      <c r="J32" s="210">
        <f>COUNTIFS('1. All Data'!$AB$3:$AB$133,"Environment &amp; Housing",'1. All Data'!$M$3:$M$133,"Update not provided")</f>
        <v>0</v>
      </c>
      <c r="K32" s="215">
        <f>J32/J35</f>
        <v>0</v>
      </c>
      <c r="L32" s="215">
        <f>K32</f>
        <v>0</v>
      </c>
      <c r="M32" s="216"/>
      <c r="N32" s="2"/>
      <c r="P32" s="214" t="s">
        <v>55</v>
      </c>
      <c r="Q32" s="210">
        <f>COUNTIFS('1. All Data'!$AB$3:$AB$133,"Environment &amp; Housing",'1. All Data'!$R$3:$R$133,"Update not provided")</f>
        <v>0</v>
      </c>
      <c r="R32" s="215">
        <f>Q32/Q35</f>
        <v>0</v>
      </c>
      <c r="S32" s="215">
        <f>R32</f>
        <v>0</v>
      </c>
      <c r="T32" s="216"/>
      <c r="U32" s="2"/>
      <c r="W32" s="173" t="s">
        <v>55</v>
      </c>
      <c r="X32" s="210">
        <f>COUNTIFS('1. All Data'!$AB$3:$AB$133,"Environment &amp; Housing",'1. All Data'!$V$3:$V$133,"Update not provided")</f>
        <v>0</v>
      </c>
      <c r="Y32" s="215">
        <f>X32/X35</f>
        <v>0</v>
      </c>
      <c r="Z32" s="215">
        <f>Y32</f>
        <v>0</v>
      </c>
      <c r="AA32" s="175"/>
      <c r="AB32" s="2"/>
      <c r="AC32" s="167"/>
    </row>
    <row r="33" spans="2:29" ht="15.75" customHeight="1">
      <c r="B33" s="217" t="s">
        <v>63</v>
      </c>
      <c r="C33" s="210">
        <f>COUNTIFS('1. All Data'!$AB$3:$AB$133,"Environment &amp; Housing",'1. All Data'!$H$3:$H$133,"Deferred")</f>
        <v>0</v>
      </c>
      <c r="D33" s="218">
        <f>C33/C35</f>
        <v>0</v>
      </c>
      <c r="E33" s="218">
        <f>D33</f>
        <v>0</v>
      </c>
      <c r="F33" s="219"/>
      <c r="G33" s="59"/>
      <c r="I33" s="217" t="s">
        <v>63</v>
      </c>
      <c r="J33" s="210">
        <f>COUNTIFS('1. All Data'!$AB$3:$AB$133,"Environment &amp; Housing",'1. All Data'!$M$3:$M$133,"Deferred")</f>
        <v>0</v>
      </c>
      <c r="K33" s="218">
        <f>J33/J35</f>
        <v>0</v>
      </c>
      <c r="L33" s="218">
        <f>K33</f>
        <v>0</v>
      </c>
      <c r="M33" s="219"/>
      <c r="N33" s="59"/>
      <c r="P33" s="217" t="s">
        <v>63</v>
      </c>
      <c r="Q33" s="210">
        <f>COUNTIFS('1. All Data'!$AB$3:$AB$133,"Environment &amp; Housing",'1. All Data'!$R$3:$R$133,"Deferred")</f>
        <v>0</v>
      </c>
      <c r="R33" s="218">
        <f>Q33/Q35</f>
        <v>0</v>
      </c>
      <c r="S33" s="218">
        <f>R33</f>
        <v>0</v>
      </c>
      <c r="T33" s="219"/>
      <c r="U33" s="59"/>
      <c r="W33" s="176" t="s">
        <v>63</v>
      </c>
      <c r="X33" s="210">
        <f>COUNTIFS('1. All Data'!$AB$3:$AB$133,"Environment &amp; Housing",'1. All Data'!$V$3:$V$133,"Deferred")</f>
        <v>0</v>
      </c>
      <c r="Y33" s="218">
        <f>X33/X35</f>
        <v>0</v>
      </c>
      <c r="Z33" s="218">
        <f>Y33</f>
        <v>0</v>
      </c>
      <c r="AA33" s="178"/>
      <c r="AB33" s="59"/>
      <c r="AC33" s="167"/>
    </row>
    <row r="34" spans="2:29" ht="15.75" customHeight="1">
      <c r="B34" s="217" t="s">
        <v>64</v>
      </c>
      <c r="C34" s="210">
        <f>COUNTIFS('1. All Data'!$AB$3:$AB$133,"Environment &amp; Housing",'1. All Data'!$H$3:$H$133,"Deleted")</f>
        <v>0</v>
      </c>
      <c r="D34" s="218">
        <f>C34/C35</f>
        <v>0</v>
      </c>
      <c r="E34" s="218">
        <f>D34</f>
        <v>0</v>
      </c>
      <c r="F34" s="219"/>
      <c r="G34" s="30"/>
      <c r="I34" s="217" t="s">
        <v>64</v>
      </c>
      <c r="J34" s="210">
        <f>COUNTIFS('1. All Data'!$AB$3:$AB$133,"Environment &amp; Housing",'1. All Data'!$M$3:$M$133,"Deleted")</f>
        <v>0</v>
      </c>
      <c r="K34" s="218">
        <f>J34/J35</f>
        <v>0</v>
      </c>
      <c r="L34" s="218">
        <f>K34</f>
        <v>0</v>
      </c>
      <c r="M34" s="219"/>
      <c r="N34" s="30"/>
      <c r="P34" s="217" t="s">
        <v>64</v>
      </c>
      <c r="Q34" s="210">
        <f>COUNTIFS('1. All Data'!$AB$3:$AB$133,"Environment &amp; Housing",'1. All Data'!$R$3:$R$133,"Deleted")</f>
        <v>0</v>
      </c>
      <c r="R34" s="218">
        <f>Q34/Q35</f>
        <v>0</v>
      </c>
      <c r="S34" s="218">
        <f>R34</f>
        <v>0</v>
      </c>
      <c r="T34" s="219"/>
      <c r="U34" s="30"/>
      <c r="W34" s="176" t="s">
        <v>64</v>
      </c>
      <c r="X34" s="210">
        <f>COUNTIFS('1. All Data'!$AB$3:$AB$133,"Environment &amp; Housing",'1. All Data'!$V$3:$V$133,"Deleted")</f>
        <v>0</v>
      </c>
      <c r="Y34" s="218">
        <f>X34/X35</f>
        <v>0</v>
      </c>
      <c r="Z34" s="218">
        <f>Y34</f>
        <v>0</v>
      </c>
      <c r="AA34" s="178"/>
      <c r="AB34" s="3"/>
      <c r="AC34" s="167"/>
    </row>
    <row r="35" spans="2:29" ht="15.75" customHeight="1">
      <c r="B35" s="220" t="s">
        <v>91</v>
      </c>
      <c r="C35" s="221">
        <f>SUM(C24:C34)</f>
        <v>35</v>
      </c>
      <c r="D35" s="178"/>
      <c r="E35" s="178"/>
      <c r="F35" s="222"/>
      <c r="G35" s="59"/>
      <c r="I35" s="220" t="s">
        <v>91</v>
      </c>
      <c r="J35" s="221">
        <f>SUM(J24:J34)</f>
        <v>35</v>
      </c>
      <c r="K35" s="178"/>
      <c r="L35" s="178"/>
      <c r="M35" s="222"/>
      <c r="N35" s="59"/>
      <c r="P35" s="220" t="s">
        <v>91</v>
      </c>
      <c r="Q35" s="221">
        <f>SUM(Q24:Q34)</f>
        <v>35</v>
      </c>
      <c r="R35" s="178"/>
      <c r="S35" s="178"/>
      <c r="T35" s="222"/>
      <c r="U35" s="59"/>
      <c r="W35" s="179" t="s">
        <v>91</v>
      </c>
      <c r="X35" s="221">
        <f>SUM(X24:X34)</f>
        <v>35</v>
      </c>
      <c r="Y35" s="178"/>
      <c r="Z35" s="178"/>
      <c r="AA35" s="59"/>
      <c r="AB35" s="59"/>
      <c r="AC35" s="167"/>
    </row>
    <row r="36" spans="2:29" ht="15.75" customHeight="1">
      <c r="B36" s="220" t="s">
        <v>92</v>
      </c>
      <c r="C36" s="221">
        <f>C35-C34-C33-C32-C31</f>
        <v>25</v>
      </c>
      <c r="D36" s="59"/>
      <c r="E36" s="59"/>
      <c r="F36" s="222"/>
      <c r="G36" s="59"/>
      <c r="I36" s="220" t="s">
        <v>92</v>
      </c>
      <c r="J36" s="221">
        <f>J35-J34-J33-J32-J31</f>
        <v>27</v>
      </c>
      <c r="K36" s="59"/>
      <c r="L36" s="59"/>
      <c r="M36" s="222"/>
      <c r="N36" s="59"/>
      <c r="P36" s="220" t="s">
        <v>92</v>
      </c>
      <c r="Q36" s="221">
        <f>Q35-Q34-Q33-Q32-Q31</f>
        <v>34</v>
      </c>
      <c r="R36" s="59"/>
      <c r="S36" s="59"/>
      <c r="T36" s="222"/>
      <c r="U36" s="59"/>
      <c r="W36" s="179" t="s">
        <v>92</v>
      </c>
      <c r="X36" s="221">
        <f>X35-X34-X33-X32-X31</f>
        <v>35</v>
      </c>
      <c r="Y36" s="59"/>
      <c r="Z36" s="59"/>
      <c r="AA36" s="59"/>
      <c r="AB36" s="59"/>
      <c r="AC36" s="167"/>
    </row>
    <row r="37" spans="2:29" ht="15.75" customHeight="1">
      <c r="W37" s="181"/>
      <c r="AA37" s="2"/>
      <c r="AC37" s="167"/>
    </row>
    <row r="38" spans="2:29" ht="15.75" customHeight="1">
      <c r="W38" s="166"/>
      <c r="X38" s="166"/>
      <c r="Y38" s="166"/>
      <c r="Z38" s="166"/>
      <c r="AA38" s="166"/>
      <c r="AB38" s="188"/>
      <c r="AC38" s="167"/>
    </row>
    <row r="39" spans="2:29" s="167" customFormat="1" ht="15.75" customHeight="1">
      <c r="B39" s="189"/>
      <c r="C39" s="166"/>
      <c r="D39" s="166"/>
      <c r="E39" s="166"/>
      <c r="F39" s="222"/>
      <c r="G39" s="166"/>
      <c r="I39" s="189"/>
      <c r="J39" s="166"/>
      <c r="K39" s="166"/>
      <c r="L39" s="166"/>
      <c r="M39" s="222"/>
      <c r="N39" s="166"/>
      <c r="P39" s="189"/>
      <c r="Q39" s="166"/>
      <c r="R39" s="166"/>
      <c r="S39" s="166"/>
      <c r="T39" s="222"/>
      <c r="U39" s="166"/>
      <c r="W39" s="223"/>
      <c r="X39" s="59"/>
      <c r="Y39" s="59"/>
      <c r="Z39" s="59"/>
      <c r="AA39" s="59"/>
      <c r="AB39" s="178"/>
    </row>
    <row r="40" spans="2:29" s="167" customFormat="1" ht="15.75" customHeight="1">
      <c r="B40" s="205" t="s">
        <v>246</v>
      </c>
      <c r="C40" s="206"/>
      <c r="D40" s="206"/>
      <c r="E40" s="206"/>
      <c r="F40" s="207"/>
      <c r="G40" s="206"/>
      <c r="I40" s="205" t="s">
        <v>246</v>
      </c>
      <c r="J40" s="206"/>
      <c r="K40" s="206"/>
      <c r="L40" s="206"/>
      <c r="M40" s="207"/>
      <c r="N40" s="206"/>
      <c r="P40" s="205" t="s">
        <v>246</v>
      </c>
      <c r="Q40" s="206"/>
      <c r="R40" s="206"/>
      <c r="S40" s="206"/>
      <c r="T40" s="207"/>
      <c r="U40" s="206"/>
      <c r="W40" s="205" t="s">
        <v>246</v>
      </c>
      <c r="X40" s="206"/>
      <c r="Y40" s="206"/>
      <c r="Z40" s="206"/>
      <c r="AA40" s="207"/>
      <c r="AB40" s="206"/>
    </row>
    <row r="41" spans="2:29" ht="36" customHeight="1">
      <c r="B41" s="208" t="s">
        <v>82</v>
      </c>
      <c r="C41" s="209" t="s">
        <v>83</v>
      </c>
      <c r="D41" s="209" t="s">
        <v>84</v>
      </c>
      <c r="E41" s="209" t="s">
        <v>85</v>
      </c>
      <c r="F41" s="208" t="s">
        <v>86</v>
      </c>
      <c r="G41" s="209" t="s">
        <v>87</v>
      </c>
      <c r="I41" s="208" t="s">
        <v>82</v>
      </c>
      <c r="J41" s="209" t="s">
        <v>83</v>
      </c>
      <c r="K41" s="209" t="s">
        <v>84</v>
      </c>
      <c r="L41" s="209" t="s">
        <v>85</v>
      </c>
      <c r="M41" s="208" t="s">
        <v>86</v>
      </c>
      <c r="N41" s="209" t="s">
        <v>87</v>
      </c>
      <c r="P41" s="208" t="s">
        <v>82</v>
      </c>
      <c r="Q41" s="209" t="s">
        <v>83</v>
      </c>
      <c r="R41" s="209" t="s">
        <v>84</v>
      </c>
      <c r="S41" s="209" t="s">
        <v>85</v>
      </c>
      <c r="T41" s="208" t="s">
        <v>86</v>
      </c>
      <c r="U41" s="209" t="s">
        <v>87</v>
      </c>
      <c r="W41" s="165" t="s">
        <v>82</v>
      </c>
      <c r="X41" s="165" t="s">
        <v>83</v>
      </c>
      <c r="Y41" s="165" t="s">
        <v>84</v>
      </c>
      <c r="Z41" s="165" t="s">
        <v>85</v>
      </c>
      <c r="AA41" s="165" t="s">
        <v>86</v>
      </c>
      <c r="AB41" s="165" t="s">
        <v>87</v>
      </c>
      <c r="AC41" s="167"/>
    </row>
    <row r="42" spans="2:29" ht="18.75" customHeight="1">
      <c r="B42" s="232" t="s">
        <v>88</v>
      </c>
      <c r="C42" s="210">
        <f>COUNTIFS('1. All Data'!$AB$3:$AB$133,"Leisure, Amenities &amp; Tourism",'1. All Data'!$H$3:$H$133,"Fully Achieved")</f>
        <v>0</v>
      </c>
      <c r="D42" s="211">
        <f>C42/C53</f>
        <v>0</v>
      </c>
      <c r="E42" s="403">
        <f>D42+D43</f>
        <v>0.47368421052631576</v>
      </c>
      <c r="F42" s="212">
        <f>C42/C54</f>
        <v>0</v>
      </c>
      <c r="G42" s="408">
        <f>F42+F43</f>
        <v>0.9</v>
      </c>
      <c r="I42" s="232" t="s">
        <v>88</v>
      </c>
      <c r="J42" s="210">
        <f>COUNTIFS('1. All Data'!$AB$3:$AB$133,"Leisure, Amenities &amp; Tourism",'1. All Data'!$M$3:$M$133,"Fully Achieved")</f>
        <v>3</v>
      </c>
      <c r="K42" s="211">
        <f>J42/J53</f>
        <v>0.15789473684210525</v>
      </c>
      <c r="L42" s="403">
        <f>K42+K43</f>
        <v>0.73684210526315796</v>
      </c>
      <c r="M42" s="212">
        <f>J42/J54</f>
        <v>0.2</v>
      </c>
      <c r="N42" s="408">
        <f>M42+M43</f>
        <v>0.93333333333333335</v>
      </c>
      <c r="P42" s="232" t="s">
        <v>88</v>
      </c>
      <c r="Q42" s="210">
        <f>COUNTIFS('1. All Data'!$AB$3:$AB$133,"Leisure, Amenities &amp; Tourism",'1. All Data'!$R$3:$R$133,"Fully Achieved")</f>
        <v>9</v>
      </c>
      <c r="R42" s="211">
        <f>Q42/Q53</f>
        <v>0.47368421052631576</v>
      </c>
      <c r="S42" s="403">
        <f>R42+R43</f>
        <v>0.84210526315789469</v>
      </c>
      <c r="T42" s="212">
        <f>Q42/Q54</f>
        <v>0.52941176470588236</v>
      </c>
      <c r="U42" s="408">
        <f>T42+T43</f>
        <v>0.94117647058823528</v>
      </c>
      <c r="W42" s="232" t="s">
        <v>88</v>
      </c>
      <c r="X42" s="210">
        <f>COUNTIFS('1. All Data'!$AB$3:$AB$133,"Leisure, Amenities &amp; Tourism",'1. All Data'!$V$3:$V$133,"Fully Achieved")</f>
        <v>17</v>
      </c>
      <c r="Y42" s="211">
        <f>X42/X53</f>
        <v>0.89473684210526316</v>
      </c>
      <c r="Z42" s="403">
        <f>Y42+Y43</f>
        <v>0.89473684210526316</v>
      </c>
      <c r="AA42" s="211">
        <f>X42/X54</f>
        <v>0.94444444444444442</v>
      </c>
      <c r="AB42" s="377">
        <f>AA42+AA43</f>
        <v>0.94444444444444442</v>
      </c>
      <c r="AC42" s="167"/>
    </row>
    <row r="43" spans="2:29" ht="18.75" customHeight="1">
      <c r="B43" s="232" t="s">
        <v>65</v>
      </c>
      <c r="C43" s="210">
        <f>COUNTIFS('1. All Data'!$AB$3:$AB$133,"Leisure, Amenities &amp; Tourism",'1. All Data'!$H$3:$H$133,"On Track to be Achieved")</f>
        <v>9</v>
      </c>
      <c r="D43" s="211">
        <f>C43/C53</f>
        <v>0.47368421052631576</v>
      </c>
      <c r="E43" s="403"/>
      <c r="F43" s="212">
        <f>C43/C54</f>
        <v>0.9</v>
      </c>
      <c r="G43" s="408"/>
      <c r="I43" s="232" t="s">
        <v>65</v>
      </c>
      <c r="J43" s="210">
        <f>COUNTIFS('1. All Data'!$AB$3:$AB$133,"Leisure, Amenities &amp; Tourism",'1. All Data'!$M$3:$M$133,"On Track to be Achieved")</f>
        <v>11</v>
      </c>
      <c r="K43" s="211">
        <f>J43/J53</f>
        <v>0.57894736842105265</v>
      </c>
      <c r="L43" s="403"/>
      <c r="M43" s="212">
        <f>J43/J54</f>
        <v>0.73333333333333328</v>
      </c>
      <c r="N43" s="408"/>
      <c r="P43" s="232" t="s">
        <v>65</v>
      </c>
      <c r="Q43" s="210">
        <f>COUNTIFS('1. All Data'!$AB$3:$AB$133,"Leisure, Amenities &amp; Tourism",'1. All Data'!$R$3:$R$133,"On Track to be Achieved")</f>
        <v>7</v>
      </c>
      <c r="R43" s="211">
        <f>Q43/Q53</f>
        <v>0.36842105263157893</v>
      </c>
      <c r="S43" s="403"/>
      <c r="T43" s="212">
        <f>Q43/Q54</f>
        <v>0.41176470588235292</v>
      </c>
      <c r="U43" s="408"/>
      <c r="W43" s="232" t="s">
        <v>57</v>
      </c>
      <c r="X43" s="210">
        <f>COUNTIFS('1. All Data'!$AB$3:$AB$133,"Leisure, Amenities &amp; Tourism",'1. All Data'!$V$3:$V$133,"Numerical Outturn Within 5% Tolerance")</f>
        <v>0</v>
      </c>
      <c r="Y43" s="211">
        <f>X43/X53</f>
        <v>0</v>
      </c>
      <c r="Z43" s="403"/>
      <c r="AA43" s="211">
        <f>X43/X54</f>
        <v>0</v>
      </c>
      <c r="AB43" s="377"/>
      <c r="AC43" s="167"/>
    </row>
    <row r="44" spans="2:29" ht="16.5" customHeight="1">
      <c r="B44" s="397" t="s">
        <v>66</v>
      </c>
      <c r="C44" s="400">
        <f>COUNTIFS('1. All Data'!$AB$3:$AB$133,"Leisure, Amenities &amp; Tourism",'1. All Data'!$H$3:$H$133,"In Danger of Falling Behind Target")</f>
        <v>1</v>
      </c>
      <c r="D44" s="405">
        <f>C44/C53</f>
        <v>5.2631578947368418E-2</v>
      </c>
      <c r="E44" s="405">
        <f>D44</f>
        <v>5.2631578947368418E-2</v>
      </c>
      <c r="F44" s="391">
        <f>C44/C54</f>
        <v>0.1</v>
      </c>
      <c r="G44" s="394">
        <f>F44</f>
        <v>0.1</v>
      </c>
      <c r="I44" s="397" t="s">
        <v>66</v>
      </c>
      <c r="J44" s="400">
        <f>COUNTIFS('1. All Data'!$AB$3:$AB$133,"Leisure, Amenities &amp; Tourism",'1. All Data'!$M$3:$M$133,"In Danger of Falling Behind Target")</f>
        <v>0</v>
      </c>
      <c r="K44" s="405">
        <f>J44/J53</f>
        <v>0</v>
      </c>
      <c r="L44" s="405">
        <f>K44</f>
        <v>0</v>
      </c>
      <c r="M44" s="391">
        <f>J44/J54</f>
        <v>0</v>
      </c>
      <c r="N44" s="394">
        <f>M44</f>
        <v>0</v>
      </c>
      <c r="P44" s="397" t="s">
        <v>66</v>
      </c>
      <c r="Q44" s="400">
        <f>COUNTIFS('1. All Data'!$AB$3:$AB$133,"Leisure, Amenities &amp; Tourism",'1. All Data'!$R$3:$R$133,"In Danger of Falling Behind Target")</f>
        <v>0</v>
      </c>
      <c r="R44" s="405">
        <f>Q44/Q53</f>
        <v>0</v>
      </c>
      <c r="S44" s="405">
        <f>R44</f>
        <v>0</v>
      </c>
      <c r="T44" s="391">
        <f>Q44/Q54</f>
        <v>0</v>
      </c>
      <c r="U44" s="394">
        <f>T44</f>
        <v>0</v>
      </c>
      <c r="W44" s="170" t="s">
        <v>58</v>
      </c>
      <c r="X44" s="171">
        <f>COUNTIFS('1. All Data'!$AB$3:$AB$133,"Leisure, Amenities &amp; Tourism",'1. All Data'!$V$3:$V$133,"Numerical Outturn Within 10% Tolerance")</f>
        <v>0</v>
      </c>
      <c r="Y44" s="169">
        <f>X44/X53</f>
        <v>0</v>
      </c>
      <c r="Z44" s="362">
        <f>SUM(Y44:Y46)</f>
        <v>5.2631578947368418E-2</v>
      </c>
      <c r="AA44" s="169">
        <f>X44/X54</f>
        <v>0</v>
      </c>
      <c r="AB44" s="363">
        <f>SUM(AA44:AA46)</f>
        <v>5.5555555555555552E-2</v>
      </c>
      <c r="AC44" s="167"/>
    </row>
    <row r="45" spans="2:29" ht="16.5" customHeight="1">
      <c r="B45" s="398"/>
      <c r="C45" s="401"/>
      <c r="D45" s="406"/>
      <c r="E45" s="406"/>
      <c r="F45" s="392"/>
      <c r="G45" s="395"/>
      <c r="I45" s="398"/>
      <c r="J45" s="401"/>
      <c r="K45" s="406"/>
      <c r="L45" s="406"/>
      <c r="M45" s="392"/>
      <c r="N45" s="395"/>
      <c r="P45" s="398"/>
      <c r="Q45" s="401"/>
      <c r="R45" s="406"/>
      <c r="S45" s="406"/>
      <c r="T45" s="392"/>
      <c r="U45" s="395"/>
      <c r="W45" s="170" t="s">
        <v>59</v>
      </c>
      <c r="X45" s="171">
        <f>COUNTIFS('1. All Data'!$AB$3:$AB$133,"Leisure, Amenities &amp; Tourism",'1. All Data'!$V$3:$V$133,"Target Partially Met")</f>
        <v>0</v>
      </c>
      <c r="Y45" s="169">
        <f>X45/X53</f>
        <v>0</v>
      </c>
      <c r="Z45" s="362"/>
      <c r="AA45" s="169">
        <f>X45/X54</f>
        <v>0</v>
      </c>
      <c r="AB45" s="363"/>
      <c r="AC45" s="167"/>
    </row>
    <row r="46" spans="2:29" ht="16.5" customHeight="1">
      <c r="B46" s="399"/>
      <c r="C46" s="402"/>
      <c r="D46" s="407"/>
      <c r="E46" s="407"/>
      <c r="F46" s="393"/>
      <c r="G46" s="396"/>
      <c r="I46" s="399"/>
      <c r="J46" s="402"/>
      <c r="K46" s="407"/>
      <c r="L46" s="407"/>
      <c r="M46" s="393"/>
      <c r="N46" s="396"/>
      <c r="P46" s="399"/>
      <c r="Q46" s="402"/>
      <c r="R46" s="407"/>
      <c r="S46" s="407"/>
      <c r="T46" s="393"/>
      <c r="U46" s="396"/>
      <c r="W46" s="170" t="s">
        <v>62</v>
      </c>
      <c r="X46" s="171">
        <f>COUNTIFS('1. All Data'!$AB$3:$AB$133,"Leisure, Amenities &amp; Tourism",'1. All Data'!$V$3:$V$133,"Completion Date Within Reasonable Tolerance")</f>
        <v>1</v>
      </c>
      <c r="Y46" s="169">
        <f>X46/X53</f>
        <v>5.2631578947368418E-2</v>
      </c>
      <c r="Z46" s="362"/>
      <c r="AA46" s="169">
        <f>X46/X54</f>
        <v>5.5555555555555552E-2</v>
      </c>
      <c r="AB46" s="363"/>
      <c r="AC46" s="167"/>
    </row>
    <row r="47" spans="2:29" ht="22.5" customHeight="1">
      <c r="B47" s="213" t="s">
        <v>67</v>
      </c>
      <c r="C47" s="210">
        <f>COUNTIFS('1. All Data'!$AB$3:$AB$133,"Leisure, Amenities &amp; Tourism",'1. All Data'!$H$3:$H$133,"Completed Behind Schedule")</f>
        <v>0</v>
      </c>
      <c r="D47" s="211">
        <f>C47/C53</f>
        <v>0</v>
      </c>
      <c r="E47" s="403">
        <f>D47+D48</f>
        <v>0</v>
      </c>
      <c r="F47" s="212">
        <f>C47/C54</f>
        <v>0</v>
      </c>
      <c r="G47" s="404">
        <f>F47+F48</f>
        <v>0</v>
      </c>
      <c r="I47" s="213" t="s">
        <v>67</v>
      </c>
      <c r="J47" s="210">
        <f>COUNTIFS('1. All Data'!$AB$3:$AB$133,"Leisure, Amenities &amp; Tourism",'1. All Data'!$M$3:$M$133,"Completed Behind Schedule")</f>
        <v>1</v>
      </c>
      <c r="K47" s="211">
        <f>J47/J53</f>
        <v>5.2631578947368418E-2</v>
      </c>
      <c r="L47" s="403">
        <f>K47+K48</f>
        <v>5.2631578947368418E-2</v>
      </c>
      <c r="M47" s="212">
        <f>J47/J54</f>
        <v>6.6666666666666666E-2</v>
      </c>
      <c r="N47" s="404">
        <f>M47+M48</f>
        <v>6.6666666666666666E-2</v>
      </c>
      <c r="P47" s="213" t="s">
        <v>67</v>
      </c>
      <c r="Q47" s="210">
        <f>COUNTIFS('1. All Data'!$AB$3:$AB$133,"Leisure, Amenities &amp; Tourism",'1. All Data'!$R$3:$R$133,"Completed Behind Schedule")</f>
        <v>1</v>
      </c>
      <c r="R47" s="211">
        <f>Q47/Q53</f>
        <v>5.2631578947368418E-2</v>
      </c>
      <c r="S47" s="403">
        <f>R47+R48</f>
        <v>5.2631578947368418E-2</v>
      </c>
      <c r="T47" s="212">
        <f>Q47/Q54</f>
        <v>5.8823529411764705E-2</v>
      </c>
      <c r="U47" s="404">
        <f>T47+T48</f>
        <v>5.8823529411764705E-2</v>
      </c>
      <c r="W47" s="172" t="s">
        <v>61</v>
      </c>
      <c r="X47" s="210">
        <f>COUNTIFS('1. All Data'!$AB$3:$AB$133,"Leisure, Amenities &amp; Tourism",'1. All Data'!$V$3:$V$133,"Completed Significantly After Target Deadline")</f>
        <v>0</v>
      </c>
      <c r="Y47" s="211">
        <f>X47/X53</f>
        <v>0</v>
      </c>
      <c r="Z47" s="403">
        <f>Y47+Y48</f>
        <v>0</v>
      </c>
      <c r="AA47" s="211">
        <f>X47/X54</f>
        <v>0</v>
      </c>
      <c r="AB47" s="364">
        <f>AA47+AA48</f>
        <v>0</v>
      </c>
      <c r="AC47" s="167"/>
    </row>
    <row r="48" spans="2:29" ht="22.5" customHeight="1">
      <c r="B48" s="213" t="s">
        <v>60</v>
      </c>
      <c r="C48" s="210">
        <f>COUNTIFS('1. All Data'!$AB$3:$AB$133,"Leisure, Amenities &amp; Tourism",'1. All Data'!$H$3:$H$133,"Off Target")</f>
        <v>0</v>
      </c>
      <c r="D48" s="211">
        <f>C48/C53</f>
        <v>0</v>
      </c>
      <c r="E48" s="403"/>
      <c r="F48" s="212">
        <f>C48/C54</f>
        <v>0</v>
      </c>
      <c r="G48" s="404"/>
      <c r="I48" s="213" t="s">
        <v>60</v>
      </c>
      <c r="J48" s="210">
        <f>COUNTIFS('1. All Data'!$AB$3:$AB$133,"Leisure, Amenities &amp; Tourism",'1. All Data'!$M$3:$M$133,"Off Target")</f>
        <v>0</v>
      </c>
      <c r="K48" s="211">
        <f>J48/J53</f>
        <v>0</v>
      </c>
      <c r="L48" s="403"/>
      <c r="M48" s="212">
        <f>J48/J54</f>
        <v>0</v>
      </c>
      <c r="N48" s="404"/>
      <c r="P48" s="213" t="s">
        <v>60</v>
      </c>
      <c r="Q48" s="210">
        <f>COUNTIFS('1. All Data'!$AB$3:$AB$133,"Leisure, Amenities &amp; Tourism",'1. All Data'!$R$3:$R$133,"Off Target")</f>
        <v>0</v>
      </c>
      <c r="R48" s="211">
        <f>Q48/Q53</f>
        <v>0</v>
      </c>
      <c r="S48" s="403"/>
      <c r="T48" s="212">
        <f>Q48/Q54</f>
        <v>0</v>
      </c>
      <c r="U48" s="404"/>
      <c r="W48" s="172" t="s">
        <v>60</v>
      </c>
      <c r="X48" s="210">
        <f>COUNTIFS('1. All Data'!$AB$3:$AB$133,"Leisure, Amenities &amp; Tourism",'1. All Data'!$V$3:$V$133,"Off Target")</f>
        <v>0</v>
      </c>
      <c r="Y48" s="211">
        <f>X48/X53</f>
        <v>0</v>
      </c>
      <c r="Z48" s="403"/>
      <c r="AA48" s="211">
        <f>X48/X54</f>
        <v>0</v>
      </c>
      <c r="AB48" s="364"/>
      <c r="AC48" s="167"/>
    </row>
    <row r="49" spans="2:29" ht="15.75" customHeight="1">
      <c r="B49" s="214" t="s">
        <v>89</v>
      </c>
      <c r="C49" s="210">
        <f>COUNTIFS('1. All Data'!$AB$3:$AB$133,"Leisure, Amenities &amp; Tourism",'1. All Data'!$H$3:$H$133,"Not yet due")</f>
        <v>8</v>
      </c>
      <c r="D49" s="215">
        <f>C49/C53</f>
        <v>0.42105263157894735</v>
      </c>
      <c r="E49" s="215">
        <f>D49</f>
        <v>0.42105263157894735</v>
      </c>
      <c r="F49" s="216"/>
      <c r="G49" s="59"/>
      <c r="I49" s="214" t="s">
        <v>89</v>
      </c>
      <c r="J49" s="210">
        <f>COUNTIFS('1. All Data'!$AB$3:$AB$133,"Leisure, Amenities &amp; Tourism",'1. All Data'!$M$3:$M$133,"Not yet due")</f>
        <v>3</v>
      </c>
      <c r="K49" s="215">
        <f>J49/J53</f>
        <v>0.15789473684210525</v>
      </c>
      <c r="L49" s="215">
        <f>K49</f>
        <v>0.15789473684210525</v>
      </c>
      <c r="M49" s="216"/>
      <c r="N49" s="59"/>
      <c r="P49" s="214" t="s">
        <v>89</v>
      </c>
      <c r="Q49" s="210">
        <f>COUNTIFS('1. All Data'!$AB$3:$AB$133,"Leisure, Amenities &amp; Tourism",'1. All Data'!$R$3:$R$133,"Not yet due")</f>
        <v>1</v>
      </c>
      <c r="R49" s="215">
        <f>Q49/Q53</f>
        <v>5.2631578947368418E-2</v>
      </c>
      <c r="S49" s="215">
        <f>R49</f>
        <v>5.2631578947368418E-2</v>
      </c>
      <c r="T49" s="216"/>
      <c r="U49" s="59"/>
      <c r="W49" s="173" t="s">
        <v>89</v>
      </c>
      <c r="X49" s="210">
        <f>COUNTIFS('1. All Data'!$AB$3:$AB$133,"Leisure, Amenities &amp; Tourism",'1. All Data'!$V$3:$V$133,"Not yet due")</f>
        <v>0</v>
      </c>
      <c r="Y49" s="215">
        <f>X49/X53</f>
        <v>0</v>
      </c>
      <c r="Z49" s="215">
        <f>Y49</f>
        <v>0</v>
      </c>
      <c r="AA49" s="175"/>
      <c r="AB49" s="59"/>
      <c r="AC49" s="167"/>
    </row>
    <row r="50" spans="2:29" ht="15.75" customHeight="1">
      <c r="B50" s="214" t="s">
        <v>55</v>
      </c>
      <c r="C50" s="210">
        <f>COUNTIFS('1. All Data'!$AB$3:$AB$133,"Leisure, Amenities &amp; Tourism",'1. All Data'!$H$3:$H$133,"Update not provided")</f>
        <v>0</v>
      </c>
      <c r="D50" s="215">
        <f>C50/C53</f>
        <v>0</v>
      </c>
      <c r="E50" s="215">
        <f>D50</f>
        <v>0</v>
      </c>
      <c r="F50" s="216"/>
      <c r="G50" s="2"/>
      <c r="I50" s="214" t="s">
        <v>55</v>
      </c>
      <c r="J50" s="210">
        <f>COUNTIFS('1. All Data'!$AB$3:$AB$133,"Leisure, Amenities &amp; Tourism",'1. All Data'!$M$3:$M$133,"Update not provided")</f>
        <v>0</v>
      </c>
      <c r="K50" s="215">
        <f>J50/J53</f>
        <v>0</v>
      </c>
      <c r="L50" s="215">
        <f>K50</f>
        <v>0</v>
      </c>
      <c r="M50" s="216"/>
      <c r="N50" s="2"/>
      <c r="P50" s="214" t="s">
        <v>55</v>
      </c>
      <c r="Q50" s="210">
        <f>COUNTIFS('1. All Data'!$AB$3:$AB$133,"Leisure, Amenities &amp; Tourism",'1. All Data'!$R$3:$R$133,"Update not provided")</f>
        <v>0</v>
      </c>
      <c r="R50" s="215">
        <f>Q50/Q53</f>
        <v>0</v>
      </c>
      <c r="S50" s="215">
        <f>R50</f>
        <v>0</v>
      </c>
      <c r="T50" s="216"/>
      <c r="U50" s="2"/>
      <c r="W50" s="173" t="s">
        <v>55</v>
      </c>
      <c r="X50" s="210">
        <f>COUNTIFS('1. All Data'!$AB$3:$AB$133,"Leisure, Amenities &amp; Tourism",'1. All Data'!$V$3:$V$133,"Update not provided")</f>
        <v>0</v>
      </c>
      <c r="Y50" s="215">
        <f>X50/X53</f>
        <v>0</v>
      </c>
      <c r="Z50" s="215">
        <f>Y50</f>
        <v>0</v>
      </c>
      <c r="AA50" s="175"/>
      <c r="AB50" s="2"/>
      <c r="AC50" s="167"/>
    </row>
    <row r="51" spans="2:29" ht="15.75" customHeight="1">
      <c r="B51" s="217" t="s">
        <v>63</v>
      </c>
      <c r="C51" s="210">
        <f>COUNTIFS('1. All Data'!$AB$3:$AB$133,"Leisure, Amenities &amp; Tourism",'1. All Data'!$H$3:$H$133,"Deferred")</f>
        <v>1</v>
      </c>
      <c r="D51" s="218">
        <f>C51/C53</f>
        <v>5.2631578947368418E-2</v>
      </c>
      <c r="E51" s="218">
        <f>D51</f>
        <v>5.2631578947368418E-2</v>
      </c>
      <c r="F51" s="219"/>
      <c r="G51" s="59"/>
      <c r="I51" s="217" t="s">
        <v>63</v>
      </c>
      <c r="J51" s="210">
        <f>COUNTIFS('1. All Data'!$AB$3:$AB$133,"Leisure, Amenities &amp; Tourism",'1. All Data'!$M$3:$M$133,"Deferred")</f>
        <v>1</v>
      </c>
      <c r="K51" s="218">
        <f>J51/J53</f>
        <v>5.2631578947368418E-2</v>
      </c>
      <c r="L51" s="218">
        <f>K51</f>
        <v>5.2631578947368418E-2</v>
      </c>
      <c r="M51" s="219"/>
      <c r="N51" s="59"/>
      <c r="P51" s="217" t="s">
        <v>63</v>
      </c>
      <c r="Q51" s="210">
        <f>COUNTIFS('1. All Data'!$AB$3:$AB$133,"Leisure, Amenities &amp; Tourism",'1. All Data'!$R$3:$R$133,"Deferred")</f>
        <v>1</v>
      </c>
      <c r="R51" s="218">
        <f>Q51/Q53</f>
        <v>5.2631578947368418E-2</v>
      </c>
      <c r="S51" s="218">
        <f>R51</f>
        <v>5.2631578947368418E-2</v>
      </c>
      <c r="T51" s="219"/>
      <c r="U51" s="59"/>
      <c r="W51" s="176" t="s">
        <v>63</v>
      </c>
      <c r="X51" s="210">
        <f>COUNTIFS('1. All Data'!$AB$3:$AB$133,"Leisure, Amenities &amp; Tourism",'1. All Data'!$V$3:$V$133,"Deferred")</f>
        <v>1</v>
      </c>
      <c r="Y51" s="218">
        <f>X51/X53</f>
        <v>5.2631578947368418E-2</v>
      </c>
      <c r="Z51" s="218">
        <f>Y51</f>
        <v>5.2631578947368418E-2</v>
      </c>
      <c r="AA51" s="178"/>
      <c r="AB51" s="59"/>
      <c r="AC51" s="167"/>
    </row>
    <row r="52" spans="2:29" ht="15.75" customHeight="1">
      <c r="B52" s="217" t="s">
        <v>64</v>
      </c>
      <c r="C52" s="210">
        <f>COUNTIFS('1. All Data'!$AB$3:$AB$133,"Leisure, Amenities &amp; Tourism",'1. All Data'!$H$3:$H$133,"Deleted")</f>
        <v>0</v>
      </c>
      <c r="D52" s="218">
        <f>C52/C53</f>
        <v>0</v>
      </c>
      <c r="E52" s="218">
        <f>D52</f>
        <v>0</v>
      </c>
      <c r="F52" s="219"/>
      <c r="G52" s="30"/>
      <c r="I52" s="217" t="s">
        <v>64</v>
      </c>
      <c r="J52" s="210">
        <f>COUNTIFS('1. All Data'!$AB$3:$AB$133,"Leisure, Amenities &amp; Tourism",'1. All Data'!$M$3:$M$133,"Deleted")</f>
        <v>0</v>
      </c>
      <c r="K52" s="218">
        <f>J52/J53</f>
        <v>0</v>
      </c>
      <c r="L52" s="218">
        <f>K52</f>
        <v>0</v>
      </c>
      <c r="M52" s="219"/>
      <c r="N52" s="30"/>
      <c r="P52" s="217" t="s">
        <v>64</v>
      </c>
      <c r="Q52" s="210">
        <f>COUNTIFS('1. All Data'!$AB$3:$AB$133,"Leisure, Amenities &amp; Tourism",'1. All Data'!$R$3:$R$133,"Deleted")</f>
        <v>0</v>
      </c>
      <c r="R52" s="218">
        <f>Q52/Q53</f>
        <v>0</v>
      </c>
      <c r="S52" s="218">
        <f>R52</f>
        <v>0</v>
      </c>
      <c r="T52" s="219"/>
      <c r="U52" s="30"/>
      <c r="W52" s="176" t="s">
        <v>64</v>
      </c>
      <c r="X52" s="210">
        <f>COUNTIFS('1. All Data'!$AB$3:$AB$133,"Leisure, Amenities &amp; Tourism",'1. All Data'!$V$3:$V$133,"Deleted")</f>
        <v>0</v>
      </c>
      <c r="Y52" s="218">
        <f>X52/X53</f>
        <v>0</v>
      </c>
      <c r="Z52" s="218">
        <f>Y52</f>
        <v>0</v>
      </c>
      <c r="AA52" s="178"/>
      <c r="AB52" s="3"/>
      <c r="AC52" s="167"/>
    </row>
    <row r="53" spans="2:29" ht="15.75" customHeight="1">
      <c r="B53" s="220" t="s">
        <v>91</v>
      </c>
      <c r="C53" s="221">
        <f>SUM(C42:C52)</f>
        <v>19</v>
      </c>
      <c r="D53" s="178"/>
      <c r="E53" s="178"/>
      <c r="F53" s="222"/>
      <c r="G53" s="59"/>
      <c r="I53" s="220" t="s">
        <v>91</v>
      </c>
      <c r="J53" s="221">
        <f>SUM(J42:J52)</f>
        <v>19</v>
      </c>
      <c r="K53" s="178"/>
      <c r="L53" s="178"/>
      <c r="M53" s="222"/>
      <c r="N53" s="59"/>
      <c r="P53" s="220" t="s">
        <v>91</v>
      </c>
      <c r="Q53" s="221">
        <f>SUM(Q42:Q52)</f>
        <v>19</v>
      </c>
      <c r="R53" s="178"/>
      <c r="S53" s="178"/>
      <c r="T53" s="222"/>
      <c r="U53" s="59"/>
      <c r="W53" s="179" t="s">
        <v>91</v>
      </c>
      <c r="X53" s="221">
        <f>SUM(X42:X52)</f>
        <v>19</v>
      </c>
      <c r="Y53" s="178"/>
      <c r="Z53" s="178"/>
      <c r="AA53" s="59"/>
      <c r="AB53" s="59"/>
      <c r="AC53" s="167"/>
    </row>
    <row r="54" spans="2:29" ht="15.75" customHeight="1">
      <c r="B54" s="220" t="s">
        <v>92</v>
      </c>
      <c r="C54" s="221">
        <f>C53-C52-C51-C50-C49</f>
        <v>10</v>
      </c>
      <c r="D54" s="59"/>
      <c r="E54" s="59"/>
      <c r="F54" s="222"/>
      <c r="G54" s="59"/>
      <c r="I54" s="220" t="s">
        <v>92</v>
      </c>
      <c r="J54" s="221">
        <f>J53-J52-J51-J50-J49</f>
        <v>15</v>
      </c>
      <c r="K54" s="59"/>
      <c r="L54" s="59"/>
      <c r="M54" s="222"/>
      <c r="N54" s="59"/>
      <c r="P54" s="220" t="s">
        <v>92</v>
      </c>
      <c r="Q54" s="221">
        <f>Q53-Q52-Q51-Q50-Q49</f>
        <v>17</v>
      </c>
      <c r="R54" s="59"/>
      <c r="S54" s="59"/>
      <c r="T54" s="222"/>
      <c r="U54" s="59"/>
      <c r="W54" s="179" t="s">
        <v>92</v>
      </c>
      <c r="X54" s="221">
        <f>X53-X52-X51-X50-X49</f>
        <v>18</v>
      </c>
      <c r="Y54" s="59"/>
      <c r="Z54" s="59"/>
      <c r="AA54" s="59"/>
      <c r="AB54" s="59"/>
      <c r="AC54" s="167"/>
    </row>
    <row r="55" spans="2:29" ht="15.75" customHeight="1">
      <c r="W55" s="181"/>
      <c r="AA55" s="2"/>
      <c r="AC55" s="167"/>
    </row>
    <row r="56" spans="2:29" ht="15.75" customHeight="1">
      <c r="W56" s="166"/>
      <c r="X56" s="224"/>
      <c r="Y56" s="166"/>
      <c r="Z56" s="166"/>
      <c r="AA56" s="166"/>
      <c r="AB56" s="188"/>
      <c r="AC56" s="167"/>
    </row>
    <row r="57" spans="2:29" ht="15.75" customHeight="1">
      <c r="W57" s="225"/>
      <c r="X57" s="226"/>
      <c r="Y57" s="59"/>
      <c r="Z57" s="59"/>
      <c r="AA57" s="59"/>
      <c r="AB57" s="178"/>
      <c r="AC57" s="167"/>
    </row>
    <row r="58" spans="2:29" s="167" customFormat="1" ht="15.6">
      <c r="B58" s="227" t="s">
        <v>115</v>
      </c>
      <c r="C58" s="206"/>
      <c r="D58" s="206"/>
      <c r="E58" s="206"/>
      <c r="F58" s="207"/>
      <c r="G58" s="206"/>
      <c r="I58" s="227" t="s">
        <v>115</v>
      </c>
      <c r="J58" s="206"/>
      <c r="K58" s="206"/>
      <c r="L58" s="206"/>
      <c r="M58" s="207"/>
      <c r="N58" s="206"/>
      <c r="P58" s="227" t="s">
        <v>115</v>
      </c>
      <c r="Q58" s="206"/>
      <c r="R58" s="206"/>
      <c r="S58" s="206"/>
      <c r="T58" s="207"/>
      <c r="U58" s="206"/>
      <c r="W58" s="227" t="s">
        <v>1063</v>
      </c>
      <c r="X58" s="206"/>
      <c r="Y58" s="206"/>
      <c r="Z58" s="206"/>
      <c r="AA58" s="207"/>
      <c r="AB58" s="206"/>
    </row>
    <row r="59" spans="2:29" ht="41.25" customHeight="1">
      <c r="B59" s="208" t="s">
        <v>82</v>
      </c>
      <c r="C59" s="209" t="s">
        <v>83</v>
      </c>
      <c r="D59" s="209" t="s">
        <v>84</v>
      </c>
      <c r="E59" s="209" t="s">
        <v>85</v>
      </c>
      <c r="F59" s="208" t="s">
        <v>86</v>
      </c>
      <c r="G59" s="209" t="s">
        <v>87</v>
      </c>
      <c r="I59" s="208" t="s">
        <v>82</v>
      </c>
      <c r="J59" s="209" t="s">
        <v>83</v>
      </c>
      <c r="K59" s="209" t="s">
        <v>84</v>
      </c>
      <c r="L59" s="209" t="s">
        <v>85</v>
      </c>
      <c r="M59" s="208" t="s">
        <v>86</v>
      </c>
      <c r="N59" s="209" t="s">
        <v>87</v>
      </c>
      <c r="P59" s="208" t="s">
        <v>82</v>
      </c>
      <c r="Q59" s="209" t="s">
        <v>83</v>
      </c>
      <c r="R59" s="209" t="s">
        <v>84</v>
      </c>
      <c r="S59" s="209" t="s">
        <v>85</v>
      </c>
      <c r="T59" s="208" t="s">
        <v>86</v>
      </c>
      <c r="U59" s="209" t="s">
        <v>87</v>
      </c>
      <c r="W59" s="165" t="s">
        <v>82</v>
      </c>
      <c r="X59" s="165" t="s">
        <v>83</v>
      </c>
      <c r="Y59" s="165" t="s">
        <v>84</v>
      </c>
      <c r="Z59" s="165" t="s">
        <v>85</v>
      </c>
      <c r="AA59" s="165" t="s">
        <v>86</v>
      </c>
      <c r="AB59" s="165" t="s">
        <v>87</v>
      </c>
      <c r="AC59" s="167"/>
    </row>
    <row r="60" spans="2:29" ht="27.75" customHeight="1">
      <c r="B60" s="232" t="s">
        <v>88</v>
      </c>
      <c r="C60" s="210">
        <f>COUNTIFS('1. All Data'!$AB$3:$AB$133,"Regeneration &amp; Planning Policy",'1. All Data'!$H$3:$H$133,"Fully Achieved")</f>
        <v>0</v>
      </c>
      <c r="D60" s="211" t="e">
        <f>C60/C71</f>
        <v>#DIV/0!</v>
      </c>
      <c r="E60" s="403" t="e">
        <f>D60+D61</f>
        <v>#DIV/0!</v>
      </c>
      <c r="F60" s="212" t="e">
        <f>C60/C72</f>
        <v>#DIV/0!</v>
      </c>
      <c r="G60" s="408" t="e">
        <f>F60+F61</f>
        <v>#DIV/0!</v>
      </c>
      <c r="I60" s="232" t="s">
        <v>88</v>
      </c>
      <c r="J60" s="210">
        <f>COUNTIFS('1. All Data'!$AB$3:$AB$133,"Regeneration &amp; Planning Policy",'1. All Data'!$M$3:$M$133,"Fully Achieved")</f>
        <v>0</v>
      </c>
      <c r="K60" s="211" t="e">
        <f>J60/J71</f>
        <v>#DIV/0!</v>
      </c>
      <c r="L60" s="403" t="e">
        <f>K60+K61</f>
        <v>#DIV/0!</v>
      </c>
      <c r="M60" s="212" t="e">
        <f>J60/J72</f>
        <v>#DIV/0!</v>
      </c>
      <c r="N60" s="408" t="e">
        <f>M60+M61</f>
        <v>#DIV/0!</v>
      </c>
      <c r="P60" s="232" t="s">
        <v>88</v>
      </c>
      <c r="Q60" s="210">
        <f>COUNTIFS('1. All Data'!$AB$3:$AB$133,"Regeneration &amp; Planning Policy",'1. All Data'!$R$3:$R$133,"Fully Achieved")</f>
        <v>0</v>
      </c>
      <c r="R60" s="211" t="e">
        <f>Q60/Q71</f>
        <v>#DIV/0!</v>
      </c>
      <c r="S60" s="403" t="e">
        <f>R60+R61</f>
        <v>#DIV/0!</v>
      </c>
      <c r="T60" s="212" t="e">
        <f>Q60/Q72</f>
        <v>#DIV/0!</v>
      </c>
      <c r="U60" s="408" t="e">
        <f>T60+T61</f>
        <v>#DIV/0!</v>
      </c>
      <c r="W60" s="232" t="s">
        <v>88</v>
      </c>
      <c r="X60" s="210">
        <f>COUNTIFS('1. All Data'!$AB$3:$AB$133,"Finance",'1. All Data'!$V$3:$V$133,"Fully Achieved")</f>
        <v>14</v>
      </c>
      <c r="Y60" s="211">
        <f>X60/X71</f>
        <v>0.875</v>
      </c>
      <c r="Z60" s="403">
        <f>Y60+Y61</f>
        <v>0.875</v>
      </c>
      <c r="AA60" s="211">
        <f>X60/X72</f>
        <v>1</v>
      </c>
      <c r="AB60" s="377">
        <f>AA60+AA61</f>
        <v>1</v>
      </c>
      <c r="AC60" s="167"/>
    </row>
    <row r="61" spans="2:29" ht="27.75" customHeight="1">
      <c r="B61" s="232" t="s">
        <v>65</v>
      </c>
      <c r="C61" s="210">
        <f>COUNTIFS('1. All Data'!$AB$3:$AB$133,"Regeneration &amp; Planning Policy",'1. All Data'!$H$3:$H$133,"On Track to be Achieved")</f>
        <v>0</v>
      </c>
      <c r="D61" s="211" t="e">
        <f>C61/C71</f>
        <v>#DIV/0!</v>
      </c>
      <c r="E61" s="403"/>
      <c r="F61" s="212" t="e">
        <f>C61/C72</f>
        <v>#DIV/0!</v>
      </c>
      <c r="G61" s="408"/>
      <c r="I61" s="232" t="s">
        <v>65</v>
      </c>
      <c r="J61" s="210">
        <f>COUNTIFS('1. All Data'!$AB$3:$AB$133,"Regeneration &amp; Planning Policy",'1. All Data'!$M$3:$M$133,"On Track to be Achieved")</f>
        <v>0</v>
      </c>
      <c r="K61" s="211" t="e">
        <f>J61/J71</f>
        <v>#DIV/0!</v>
      </c>
      <c r="L61" s="403"/>
      <c r="M61" s="212" t="e">
        <f>J61/J72</f>
        <v>#DIV/0!</v>
      </c>
      <c r="N61" s="408"/>
      <c r="P61" s="232" t="s">
        <v>65</v>
      </c>
      <c r="Q61" s="210">
        <f>COUNTIFS('1. All Data'!$AB$3:$AB$133,"Regeneration &amp; Planning Policy",'1. All Data'!$R$3:$R$133,"On Track to be Achieved")</f>
        <v>0</v>
      </c>
      <c r="R61" s="211" t="e">
        <f>Q61/Q71</f>
        <v>#DIV/0!</v>
      </c>
      <c r="S61" s="403"/>
      <c r="T61" s="212" t="e">
        <f>Q61/Q72</f>
        <v>#DIV/0!</v>
      </c>
      <c r="U61" s="408"/>
      <c r="W61" s="232" t="s">
        <v>57</v>
      </c>
      <c r="X61" s="210">
        <f>COUNTIFS('1. All Data'!$AB$3:$AB$133,"Finance",'1. All Data'!$V$3:$V$133,"Numerical Outturn Within 5% Tolerance")</f>
        <v>0</v>
      </c>
      <c r="Y61" s="211">
        <f>X61/X71</f>
        <v>0</v>
      </c>
      <c r="Z61" s="403"/>
      <c r="AA61" s="211">
        <f>X61/X72</f>
        <v>0</v>
      </c>
      <c r="AB61" s="377"/>
      <c r="AC61" s="167"/>
    </row>
    <row r="62" spans="2:29" ht="21" customHeight="1">
      <c r="B62" s="397" t="s">
        <v>66</v>
      </c>
      <c r="C62" s="400">
        <f>COUNTIFS('1. All Data'!$AB$3:$AB$133,"Regeneration &amp; Planning Policy",'1. All Data'!$H$3:$H$133,"In Danger of Falling Behind Target")</f>
        <v>0</v>
      </c>
      <c r="D62" s="405" t="e">
        <f>C62/C71</f>
        <v>#DIV/0!</v>
      </c>
      <c r="E62" s="405" t="e">
        <f>D62</f>
        <v>#DIV/0!</v>
      </c>
      <c r="F62" s="391" t="e">
        <f>C62/C72</f>
        <v>#DIV/0!</v>
      </c>
      <c r="G62" s="394" t="e">
        <f>F62</f>
        <v>#DIV/0!</v>
      </c>
      <c r="I62" s="397" t="s">
        <v>66</v>
      </c>
      <c r="J62" s="400">
        <f>COUNTIFS('1. All Data'!$AB$3:$AB$133,"Regeneration &amp; Planning Policy",'1. All Data'!$M$3:$M$133,"In Danger of Falling Behind Target")</f>
        <v>0</v>
      </c>
      <c r="K62" s="405" t="e">
        <f>J62/J71</f>
        <v>#DIV/0!</v>
      </c>
      <c r="L62" s="405" t="e">
        <f>K62</f>
        <v>#DIV/0!</v>
      </c>
      <c r="M62" s="391" t="e">
        <f>J62/J72</f>
        <v>#DIV/0!</v>
      </c>
      <c r="N62" s="394" t="e">
        <f>M62</f>
        <v>#DIV/0!</v>
      </c>
      <c r="P62" s="397" t="s">
        <v>66</v>
      </c>
      <c r="Q62" s="400">
        <f>COUNTIFS('1. All Data'!$AB$3:$AB$133,"Regeneration &amp; Planning Policy",'1. All Data'!$R$3:$R$133,"In Danger of Falling Behind Target")</f>
        <v>0</v>
      </c>
      <c r="R62" s="405" t="e">
        <f>Q62/Q71</f>
        <v>#DIV/0!</v>
      </c>
      <c r="S62" s="405" t="e">
        <f>R62</f>
        <v>#DIV/0!</v>
      </c>
      <c r="T62" s="391" t="e">
        <f>Q62/Q72</f>
        <v>#DIV/0!</v>
      </c>
      <c r="U62" s="394" t="e">
        <f>T62</f>
        <v>#DIV/0!</v>
      </c>
      <c r="W62" s="170" t="s">
        <v>58</v>
      </c>
      <c r="X62" s="171">
        <f>COUNTIFS('1. All Data'!$AB$3:$AB$133,"Finance",'1. All Data'!$V$3:$V$133,"Numerical Outturn Within 10% Tolerance")</f>
        <v>0</v>
      </c>
      <c r="Y62" s="169">
        <f>X62/X71</f>
        <v>0</v>
      </c>
      <c r="Z62" s="362">
        <f>SUM(Y62:Y64)</f>
        <v>0</v>
      </c>
      <c r="AA62" s="169">
        <f>X62/X72</f>
        <v>0</v>
      </c>
      <c r="AB62" s="363">
        <f>SUM(AA62:AA64)</f>
        <v>0</v>
      </c>
      <c r="AC62" s="167"/>
    </row>
    <row r="63" spans="2:29" ht="18.75" customHeight="1">
      <c r="B63" s="398"/>
      <c r="C63" s="401"/>
      <c r="D63" s="406"/>
      <c r="E63" s="406"/>
      <c r="F63" s="392"/>
      <c r="G63" s="395"/>
      <c r="I63" s="398"/>
      <c r="J63" s="401"/>
      <c r="K63" s="406"/>
      <c r="L63" s="406"/>
      <c r="M63" s="392"/>
      <c r="N63" s="395"/>
      <c r="P63" s="398"/>
      <c r="Q63" s="401"/>
      <c r="R63" s="406"/>
      <c r="S63" s="406"/>
      <c r="T63" s="392"/>
      <c r="U63" s="395"/>
      <c r="W63" s="170" t="s">
        <v>59</v>
      </c>
      <c r="X63" s="171">
        <f>COUNTIFS('1. All Data'!$AB$3:$AB$133,"Finance",'1. All Data'!$V$3:$V$133,"Target Partially Met")</f>
        <v>0</v>
      </c>
      <c r="Y63" s="169">
        <f>X63/X71</f>
        <v>0</v>
      </c>
      <c r="Z63" s="362"/>
      <c r="AA63" s="169">
        <f>X63/X72</f>
        <v>0</v>
      </c>
      <c r="AB63" s="363"/>
      <c r="AC63" s="167"/>
    </row>
    <row r="64" spans="2:29" ht="20.25" customHeight="1">
      <c r="B64" s="399"/>
      <c r="C64" s="402"/>
      <c r="D64" s="407"/>
      <c r="E64" s="407"/>
      <c r="F64" s="393"/>
      <c r="G64" s="396"/>
      <c r="I64" s="399"/>
      <c r="J64" s="402"/>
      <c r="K64" s="407"/>
      <c r="L64" s="407"/>
      <c r="M64" s="393"/>
      <c r="N64" s="396"/>
      <c r="P64" s="399"/>
      <c r="Q64" s="402"/>
      <c r="R64" s="407"/>
      <c r="S64" s="407"/>
      <c r="T64" s="393"/>
      <c r="U64" s="396"/>
      <c r="W64" s="170" t="s">
        <v>62</v>
      </c>
      <c r="X64" s="171">
        <f>COUNTIFS('1. All Data'!$AB$3:$AB$133,"Finance",'1. All Data'!$V$3:$V$133,"Completion Date Within Reasonable Tolerance")</f>
        <v>0</v>
      </c>
      <c r="Y64" s="169">
        <f>X64/X71</f>
        <v>0</v>
      </c>
      <c r="Z64" s="362"/>
      <c r="AA64" s="169">
        <f>X64/X72</f>
        <v>0</v>
      </c>
      <c r="AB64" s="363"/>
      <c r="AC64" s="167"/>
    </row>
    <row r="65" spans="2:29" ht="30" customHeight="1">
      <c r="B65" s="213" t="s">
        <v>67</v>
      </c>
      <c r="C65" s="210">
        <f>COUNTIFS('1. All Data'!$AB$3:$AB$133,"Regeneration &amp; Planning Policy",'1. All Data'!$H$3:$H$133,"Completed Behind Schedule")</f>
        <v>0</v>
      </c>
      <c r="D65" s="211" t="e">
        <f>C65/C71</f>
        <v>#DIV/0!</v>
      </c>
      <c r="E65" s="403" t="e">
        <f>D65+D66</f>
        <v>#DIV/0!</v>
      </c>
      <c r="F65" s="212" t="e">
        <f>C65/C72</f>
        <v>#DIV/0!</v>
      </c>
      <c r="G65" s="404" t="e">
        <f>F65+F66</f>
        <v>#DIV/0!</v>
      </c>
      <c r="I65" s="213" t="s">
        <v>67</v>
      </c>
      <c r="J65" s="210">
        <f>COUNTIFS('1. All Data'!$AB$3:$AB$133,"Regeneration &amp; Planning Policy",'1. All Data'!$M$3:$M$133,"Completed Behind Schedule")</f>
        <v>0</v>
      </c>
      <c r="K65" s="211" t="e">
        <f>J65/J71</f>
        <v>#DIV/0!</v>
      </c>
      <c r="L65" s="403" t="e">
        <f>K65+K66</f>
        <v>#DIV/0!</v>
      </c>
      <c r="M65" s="212" t="e">
        <f>J65/J72</f>
        <v>#DIV/0!</v>
      </c>
      <c r="N65" s="404" t="e">
        <f>M65+M66</f>
        <v>#DIV/0!</v>
      </c>
      <c r="P65" s="213" t="s">
        <v>67</v>
      </c>
      <c r="Q65" s="210">
        <f>COUNTIFS('1. All Data'!$AB$3:$AB$133,"Regeneration &amp; Planning Policy",'1. All Data'!$R$3:$R$133,"Completed Behind Schedule")</f>
        <v>0</v>
      </c>
      <c r="R65" s="211" t="e">
        <f>Q65/Q71</f>
        <v>#DIV/0!</v>
      </c>
      <c r="S65" s="403" t="e">
        <f>R65+R66</f>
        <v>#DIV/0!</v>
      </c>
      <c r="T65" s="212" t="e">
        <f>Q65/Q72</f>
        <v>#DIV/0!</v>
      </c>
      <c r="U65" s="404" t="e">
        <f>T65+T66</f>
        <v>#DIV/0!</v>
      </c>
      <c r="W65" s="172" t="s">
        <v>61</v>
      </c>
      <c r="X65" s="210">
        <f>COUNTIFS('1. All Data'!$AB$3:$AB$133,"Finance",'1. All Data'!$V$3:$V$133,"Completed Significantly After Target Deadline")</f>
        <v>0</v>
      </c>
      <c r="Y65" s="211">
        <f>X65/X71</f>
        <v>0</v>
      </c>
      <c r="Z65" s="403">
        <f>Y65+Y66</f>
        <v>0</v>
      </c>
      <c r="AA65" s="169">
        <f>X65/X72</f>
        <v>0</v>
      </c>
      <c r="AB65" s="364">
        <f>AA65+AA66</f>
        <v>0</v>
      </c>
      <c r="AC65" s="167"/>
    </row>
    <row r="66" spans="2:29" ht="30" customHeight="1">
      <c r="B66" s="213" t="s">
        <v>60</v>
      </c>
      <c r="C66" s="210">
        <f>COUNTIFS('1. All Data'!$AB$3:$AB$133,"Regeneration &amp; Planning Policy",'1. All Data'!$H$3:$H$133,"Off Target")</f>
        <v>0</v>
      </c>
      <c r="D66" s="211" t="e">
        <f>C66/C71</f>
        <v>#DIV/0!</v>
      </c>
      <c r="E66" s="403"/>
      <c r="F66" s="212" t="e">
        <f>C66/C72</f>
        <v>#DIV/0!</v>
      </c>
      <c r="G66" s="404"/>
      <c r="I66" s="213" t="s">
        <v>60</v>
      </c>
      <c r="J66" s="210">
        <f>COUNTIFS('1. All Data'!$AB$3:$AB$133,"Regeneration &amp; Planning Policy",'1. All Data'!$M$3:$M$133,"Off Target")</f>
        <v>0</v>
      </c>
      <c r="K66" s="211" t="e">
        <f>J66/J71</f>
        <v>#DIV/0!</v>
      </c>
      <c r="L66" s="403"/>
      <c r="M66" s="212" t="e">
        <f>J66/J72</f>
        <v>#DIV/0!</v>
      </c>
      <c r="N66" s="404"/>
      <c r="P66" s="213" t="s">
        <v>60</v>
      </c>
      <c r="Q66" s="210">
        <f>COUNTIFS('1. All Data'!$AB$3:$AB$133,"Regeneration &amp; Planning Policy",'1. All Data'!$R$3:$R$133,"Off Target")</f>
        <v>0</v>
      </c>
      <c r="R66" s="211" t="e">
        <f>Q66/Q71</f>
        <v>#DIV/0!</v>
      </c>
      <c r="S66" s="403"/>
      <c r="T66" s="212" t="e">
        <f>Q66/Q72</f>
        <v>#DIV/0!</v>
      </c>
      <c r="U66" s="404"/>
      <c r="W66" s="172" t="s">
        <v>60</v>
      </c>
      <c r="X66" s="210">
        <f>COUNTIFS('1. All Data'!$AB$3:$AB$133,"Finance",'1. All Data'!$V$3:$V$133,"Off Target")</f>
        <v>0</v>
      </c>
      <c r="Y66" s="211">
        <f>X66/X71</f>
        <v>0</v>
      </c>
      <c r="Z66" s="403"/>
      <c r="AA66" s="169">
        <f>X66/X72</f>
        <v>0</v>
      </c>
      <c r="AB66" s="364"/>
      <c r="AC66" s="167"/>
    </row>
    <row r="67" spans="2:29" ht="15.75" customHeight="1">
      <c r="B67" s="214" t="s">
        <v>89</v>
      </c>
      <c r="C67" s="210">
        <f>COUNTIFS('1. All Data'!$AB$3:$AB$133,"Regeneration &amp; Planning Policy",'1. All Data'!$H$3:$H$133,"Not yet due")</f>
        <v>0</v>
      </c>
      <c r="D67" s="215" t="e">
        <f>C67/C71</f>
        <v>#DIV/0!</v>
      </c>
      <c r="E67" s="215" t="e">
        <f>D67</f>
        <v>#DIV/0!</v>
      </c>
      <c r="F67" s="216"/>
      <c r="G67" s="59"/>
      <c r="I67" s="214" t="s">
        <v>89</v>
      </c>
      <c r="J67" s="210">
        <f>COUNTIFS('1. All Data'!$AB$3:$AB$133,"Regeneration &amp; Planning Policy",'1. All Data'!$M$3:$M$133,"Not yet due")</f>
        <v>0</v>
      </c>
      <c r="K67" s="215" t="e">
        <f>J67/J71</f>
        <v>#DIV/0!</v>
      </c>
      <c r="L67" s="215" t="e">
        <f>K67</f>
        <v>#DIV/0!</v>
      </c>
      <c r="M67" s="216"/>
      <c r="N67" s="59"/>
      <c r="P67" s="214" t="s">
        <v>89</v>
      </c>
      <c r="Q67" s="210">
        <f>COUNTIFS('1. All Data'!$AB$3:$AB$133,"Regeneration &amp; Planning Policy",'1. All Data'!$R$3:$R$133,"Not yet due")</f>
        <v>0</v>
      </c>
      <c r="R67" s="215" t="e">
        <f>Q67/Q71</f>
        <v>#DIV/0!</v>
      </c>
      <c r="S67" s="215" t="e">
        <f>R67</f>
        <v>#DIV/0!</v>
      </c>
      <c r="T67" s="216"/>
      <c r="U67" s="59"/>
      <c r="W67" s="173" t="s">
        <v>89</v>
      </c>
      <c r="X67" s="210">
        <f>COUNTIFS('1. All Data'!$AB$3:$AB$133,"Finance",'1. All Data'!$V$3:$V$133,"Not yet due")</f>
        <v>0</v>
      </c>
      <c r="Y67" s="215">
        <f>X67/X71</f>
        <v>0</v>
      </c>
      <c r="Z67" s="215">
        <f>Y67</f>
        <v>0</v>
      </c>
      <c r="AA67" s="175"/>
      <c r="AB67" s="59"/>
      <c r="AC67" s="167"/>
    </row>
    <row r="68" spans="2:29" ht="15.75" customHeight="1">
      <c r="B68" s="214" t="s">
        <v>55</v>
      </c>
      <c r="C68" s="210">
        <f>COUNTIFS('1. All Data'!$AB$3:$AB$133,"Regeneration &amp; Planning Policy",'1. All Data'!$H$3:$H$133,"Update not provided")</f>
        <v>0</v>
      </c>
      <c r="D68" s="215" t="e">
        <f>C68/C71</f>
        <v>#DIV/0!</v>
      </c>
      <c r="E68" s="215" t="e">
        <f>D68</f>
        <v>#DIV/0!</v>
      </c>
      <c r="F68" s="216"/>
      <c r="G68" s="2"/>
      <c r="I68" s="214" t="s">
        <v>55</v>
      </c>
      <c r="J68" s="210">
        <f>COUNTIFS('1. All Data'!$AB$3:$AB$133,"Regeneration &amp; Planning Policy",'1. All Data'!$M$3:$M$133,"Update not provided")</f>
        <v>0</v>
      </c>
      <c r="K68" s="215" t="e">
        <f>J68/J71</f>
        <v>#DIV/0!</v>
      </c>
      <c r="L68" s="215" t="e">
        <f>K68</f>
        <v>#DIV/0!</v>
      </c>
      <c r="M68" s="216"/>
      <c r="N68" s="2"/>
      <c r="P68" s="214" t="s">
        <v>55</v>
      </c>
      <c r="Q68" s="210">
        <f>COUNTIFS('1. All Data'!$AB$3:$AB$133,"Regeneration &amp; Planning Policy",'1. All Data'!$R$3:$R$133,"Update not provided")</f>
        <v>0</v>
      </c>
      <c r="R68" s="215" t="e">
        <f>Q68/Q71</f>
        <v>#DIV/0!</v>
      </c>
      <c r="S68" s="215" t="e">
        <f>R68</f>
        <v>#DIV/0!</v>
      </c>
      <c r="T68" s="216"/>
      <c r="U68" s="2"/>
      <c r="W68" s="173" t="s">
        <v>55</v>
      </c>
      <c r="X68" s="210">
        <f>COUNTIFS('1. All Data'!$AB$3:$AB$133,"Finance",'1. All Data'!$V$3:$V$133,"Update not provided")</f>
        <v>0</v>
      </c>
      <c r="Y68" s="215">
        <f>X68/X71</f>
        <v>0</v>
      </c>
      <c r="Z68" s="215">
        <f>Y68</f>
        <v>0</v>
      </c>
      <c r="AA68" s="175"/>
      <c r="AB68" s="2"/>
      <c r="AC68" s="167"/>
    </row>
    <row r="69" spans="2:29" ht="15.75" customHeight="1">
      <c r="B69" s="217" t="s">
        <v>63</v>
      </c>
      <c r="C69" s="210">
        <f>COUNTIFS('1. All Data'!$AB$3:$AB$133,"Regeneration &amp; Planning Policy",'1. All Data'!$H$3:$H$133,"Deferred")</f>
        <v>0</v>
      </c>
      <c r="D69" s="218" t="e">
        <f>C69/C71</f>
        <v>#DIV/0!</v>
      </c>
      <c r="E69" s="218" t="e">
        <f>D69</f>
        <v>#DIV/0!</v>
      </c>
      <c r="F69" s="219"/>
      <c r="G69" s="59"/>
      <c r="I69" s="217" t="s">
        <v>63</v>
      </c>
      <c r="J69" s="210">
        <f>COUNTIFS('1. All Data'!$AB$3:$AB$133,"Regeneration &amp; Planning Policy",'1. All Data'!$M$3:$M$133,"Deferred")</f>
        <v>0</v>
      </c>
      <c r="K69" s="218" t="e">
        <f>J69/J71</f>
        <v>#DIV/0!</v>
      </c>
      <c r="L69" s="218" t="e">
        <f>K69</f>
        <v>#DIV/0!</v>
      </c>
      <c r="M69" s="219"/>
      <c r="N69" s="59"/>
      <c r="P69" s="217" t="s">
        <v>63</v>
      </c>
      <c r="Q69" s="210">
        <f>COUNTIFS('1. All Data'!$AB$3:$AB$133,"Regeneration &amp; Planning Policy",'1. All Data'!$R$3:$R$133,"Deferred")</f>
        <v>0</v>
      </c>
      <c r="R69" s="218" t="e">
        <f>Q69/Q71</f>
        <v>#DIV/0!</v>
      </c>
      <c r="S69" s="218" t="e">
        <f>R69</f>
        <v>#DIV/0!</v>
      </c>
      <c r="T69" s="219"/>
      <c r="U69" s="59"/>
      <c r="W69" s="176" t="s">
        <v>63</v>
      </c>
      <c r="X69" s="210">
        <f>COUNTIFS('1. All Data'!$AB$3:$AB$133,"Finance",'1. All Data'!$V$3:$V$133,"Deferred")</f>
        <v>0</v>
      </c>
      <c r="Y69" s="218">
        <f>X69/X71</f>
        <v>0</v>
      </c>
      <c r="Z69" s="218">
        <f>Y69</f>
        <v>0</v>
      </c>
      <c r="AA69" s="178"/>
      <c r="AB69" s="59"/>
      <c r="AC69" s="167"/>
    </row>
    <row r="70" spans="2:29" ht="15.75" customHeight="1">
      <c r="B70" s="217" t="s">
        <v>64</v>
      </c>
      <c r="C70" s="210">
        <f>COUNTIFS('1. All Data'!$AB$3:$AB$133,"Regeneration &amp; Planning Policy",'1. All Data'!$H$3:$H$133,"Deleted")</f>
        <v>0</v>
      </c>
      <c r="D70" s="218" t="e">
        <f>C70/C71</f>
        <v>#DIV/0!</v>
      </c>
      <c r="E70" s="218" t="e">
        <f>D70</f>
        <v>#DIV/0!</v>
      </c>
      <c r="F70" s="219"/>
      <c r="G70" s="30"/>
      <c r="I70" s="217" t="s">
        <v>64</v>
      </c>
      <c r="J70" s="210">
        <f>COUNTIFS('1. All Data'!$AB$3:$AB$133,"Regeneration &amp; Planning Policy",'1. All Data'!$M$3:$M$133,"Deleted")</f>
        <v>0</v>
      </c>
      <c r="K70" s="218" t="e">
        <f>J70/J71</f>
        <v>#DIV/0!</v>
      </c>
      <c r="L70" s="218" t="e">
        <f>K70</f>
        <v>#DIV/0!</v>
      </c>
      <c r="M70" s="219"/>
      <c r="N70" s="30"/>
      <c r="P70" s="217" t="s">
        <v>64</v>
      </c>
      <c r="Q70" s="210">
        <f>COUNTIFS('1. All Data'!$AB$3:$AB$133,"Regeneration &amp; Planning Policy",'1. All Data'!$R$3:$R$133,"Deleted")</f>
        <v>0</v>
      </c>
      <c r="R70" s="218" t="e">
        <f>Q70/Q71</f>
        <v>#DIV/0!</v>
      </c>
      <c r="S70" s="218" t="e">
        <f>R70</f>
        <v>#DIV/0!</v>
      </c>
      <c r="T70" s="219"/>
      <c r="U70" s="30"/>
      <c r="W70" s="176" t="s">
        <v>64</v>
      </c>
      <c r="X70" s="210">
        <f>COUNTIFS('1. All Data'!$AB$3:$AB$133,"Finance",'1. All Data'!$V$3:$V$133,"Deleted")</f>
        <v>2</v>
      </c>
      <c r="Y70" s="218">
        <f>X70/X71</f>
        <v>0.125</v>
      </c>
      <c r="Z70" s="218">
        <f>Y70</f>
        <v>0.125</v>
      </c>
      <c r="AA70" s="178"/>
      <c r="AB70" s="3"/>
      <c r="AC70" s="167"/>
    </row>
    <row r="71" spans="2:29" ht="15.75" customHeight="1">
      <c r="B71" s="220" t="s">
        <v>91</v>
      </c>
      <c r="C71" s="221">
        <f>SUM(C60:C70)</f>
        <v>0</v>
      </c>
      <c r="D71" s="178"/>
      <c r="E71" s="178"/>
      <c r="F71" s="222"/>
      <c r="G71" s="59"/>
      <c r="I71" s="220" t="s">
        <v>91</v>
      </c>
      <c r="J71" s="221">
        <f>SUM(J60:J70)</f>
        <v>0</v>
      </c>
      <c r="K71" s="178"/>
      <c r="L71" s="178"/>
      <c r="M71" s="222"/>
      <c r="N71" s="59"/>
      <c r="P71" s="220" t="s">
        <v>91</v>
      </c>
      <c r="Q71" s="221">
        <f>SUM(Q60:Q70)</f>
        <v>0</v>
      </c>
      <c r="R71" s="178"/>
      <c r="S71" s="178"/>
      <c r="T71" s="222"/>
      <c r="U71" s="59"/>
      <c r="W71" s="179" t="s">
        <v>91</v>
      </c>
      <c r="X71" s="221">
        <f>SUM(X60:X70)</f>
        <v>16</v>
      </c>
      <c r="Y71" s="178"/>
      <c r="Z71" s="178"/>
      <c r="AA71" s="59"/>
      <c r="AB71" s="59"/>
      <c r="AC71" s="167"/>
    </row>
    <row r="72" spans="2:29" ht="15.75" customHeight="1">
      <c r="B72" s="220" t="s">
        <v>92</v>
      </c>
      <c r="C72" s="221">
        <f>C71-C70-C69-C68-C67</f>
        <v>0</v>
      </c>
      <c r="D72" s="59"/>
      <c r="E72" s="59"/>
      <c r="F72" s="222"/>
      <c r="G72" s="59"/>
      <c r="I72" s="220" t="s">
        <v>92</v>
      </c>
      <c r="J72" s="221">
        <f>J71-J70-J69-J68-J67</f>
        <v>0</v>
      </c>
      <c r="K72" s="59"/>
      <c r="L72" s="59"/>
      <c r="M72" s="222"/>
      <c r="N72" s="59"/>
      <c r="P72" s="220" t="s">
        <v>92</v>
      </c>
      <c r="Q72" s="221">
        <f>Q71-Q70-Q69-Q68-Q67</f>
        <v>0</v>
      </c>
      <c r="R72" s="59"/>
      <c r="S72" s="59"/>
      <c r="T72" s="222"/>
      <c r="U72" s="59"/>
      <c r="W72" s="179" t="s">
        <v>92</v>
      </c>
      <c r="X72" s="221">
        <f>X71-X70-X69-X68-X67</f>
        <v>14</v>
      </c>
      <c r="Y72" s="59"/>
      <c r="Z72" s="59"/>
      <c r="AA72" s="59"/>
      <c r="AB72" s="59"/>
      <c r="AC72" s="167"/>
    </row>
    <row r="73" spans="2:29" ht="15.75" customHeight="1">
      <c r="W73" s="181"/>
      <c r="AA73" s="2"/>
      <c r="AC73" s="167"/>
    </row>
    <row r="74" spans="2:29" ht="15.75" customHeight="1">
      <c r="W74" s="166"/>
      <c r="X74" s="166"/>
      <c r="Y74" s="166"/>
      <c r="Z74" s="166"/>
      <c r="AA74" s="166"/>
      <c r="AB74" s="188"/>
      <c r="AC74" s="167"/>
    </row>
    <row r="75" spans="2:29" s="167" customFormat="1" ht="15.75" customHeight="1">
      <c r="B75" s="189"/>
      <c r="C75" s="166"/>
      <c r="D75" s="166"/>
      <c r="E75" s="166"/>
      <c r="F75" s="222"/>
      <c r="G75" s="166"/>
      <c r="I75" s="189"/>
      <c r="J75" s="166"/>
      <c r="K75" s="166"/>
      <c r="L75" s="166"/>
      <c r="M75" s="222"/>
      <c r="N75" s="166"/>
      <c r="P75" s="189"/>
      <c r="Q75" s="166"/>
      <c r="R75" s="166"/>
      <c r="S75" s="166"/>
      <c r="T75" s="222"/>
      <c r="U75" s="166"/>
      <c r="W75" s="166"/>
      <c r="X75" s="166"/>
      <c r="Y75" s="166"/>
      <c r="Z75" s="166"/>
      <c r="AA75" s="166"/>
      <c r="AB75" s="188"/>
    </row>
    <row r="76" spans="2:29" s="167" customFormat="1" ht="15.6">
      <c r="B76" s="227" t="s">
        <v>247</v>
      </c>
      <c r="C76" s="206"/>
      <c r="D76" s="206"/>
      <c r="E76" s="206"/>
      <c r="F76" s="207"/>
      <c r="G76" s="206"/>
      <c r="I76" s="227" t="s">
        <v>247</v>
      </c>
      <c r="J76" s="206"/>
      <c r="K76" s="206"/>
      <c r="L76" s="206"/>
      <c r="M76" s="207"/>
      <c r="N76" s="206"/>
      <c r="P76" s="227" t="s">
        <v>247</v>
      </c>
      <c r="Q76" s="206"/>
      <c r="R76" s="206"/>
      <c r="S76" s="206"/>
      <c r="T76" s="207"/>
      <c r="U76" s="206"/>
      <c r="W76" s="227" t="s">
        <v>247</v>
      </c>
      <c r="X76" s="206"/>
      <c r="Y76" s="206"/>
      <c r="Z76" s="206"/>
      <c r="AA76" s="207"/>
      <c r="AB76" s="206"/>
    </row>
    <row r="77" spans="2:29" ht="36" customHeight="1">
      <c r="B77" s="208" t="s">
        <v>82</v>
      </c>
      <c r="C77" s="209" t="s">
        <v>83</v>
      </c>
      <c r="D77" s="209" t="s">
        <v>84</v>
      </c>
      <c r="E77" s="209" t="s">
        <v>85</v>
      </c>
      <c r="F77" s="208" t="s">
        <v>86</v>
      </c>
      <c r="G77" s="209" t="s">
        <v>87</v>
      </c>
      <c r="I77" s="208" t="s">
        <v>82</v>
      </c>
      <c r="J77" s="209" t="s">
        <v>83</v>
      </c>
      <c r="K77" s="209" t="s">
        <v>84</v>
      </c>
      <c r="L77" s="209" t="s">
        <v>85</v>
      </c>
      <c r="M77" s="208" t="s">
        <v>86</v>
      </c>
      <c r="N77" s="209" t="s">
        <v>87</v>
      </c>
      <c r="P77" s="208" t="s">
        <v>82</v>
      </c>
      <c r="Q77" s="209" t="s">
        <v>83</v>
      </c>
      <c r="R77" s="209" t="s">
        <v>84</v>
      </c>
      <c r="S77" s="209" t="s">
        <v>85</v>
      </c>
      <c r="T77" s="208" t="s">
        <v>86</v>
      </c>
      <c r="U77" s="209" t="s">
        <v>87</v>
      </c>
      <c r="W77" s="165" t="s">
        <v>82</v>
      </c>
      <c r="X77" s="165" t="s">
        <v>83</v>
      </c>
      <c r="Y77" s="165" t="s">
        <v>84</v>
      </c>
      <c r="Z77" s="165" t="s">
        <v>85</v>
      </c>
      <c r="AA77" s="165" t="s">
        <v>86</v>
      </c>
      <c r="AB77" s="165" t="s">
        <v>87</v>
      </c>
      <c r="AC77" s="167"/>
    </row>
    <row r="78" spans="2:29" ht="18.75" customHeight="1">
      <c r="B78" s="232" t="s">
        <v>88</v>
      </c>
      <c r="C78" s="210">
        <f>COUNTIFS('1. All Data'!$AB$3:$AB$133,"Community &amp; Regulatory Services",'1. All Data'!$H$3:$H$133,"Fully Achieved")</f>
        <v>1</v>
      </c>
      <c r="D78" s="211">
        <f>C78/C89</f>
        <v>0.05</v>
      </c>
      <c r="E78" s="403">
        <f>D78+D79</f>
        <v>0.8</v>
      </c>
      <c r="F78" s="212">
        <f>C78/C90</f>
        <v>6.25E-2</v>
      </c>
      <c r="G78" s="408">
        <f>F78+F79</f>
        <v>1</v>
      </c>
      <c r="I78" s="232" t="s">
        <v>88</v>
      </c>
      <c r="J78" s="210">
        <f>COUNTIFS('1. All Data'!$AB$3:$AB$133,"Community &amp; Regulatory Services",'1. All Data'!$M$3:$M$133,"Fully Achieved")</f>
        <v>4</v>
      </c>
      <c r="K78" s="211">
        <f>J78/J89</f>
        <v>0.2</v>
      </c>
      <c r="L78" s="403">
        <f>K78+K79</f>
        <v>0.89999999999999991</v>
      </c>
      <c r="M78" s="212">
        <f>J78/J90</f>
        <v>0.21052631578947367</v>
      </c>
      <c r="N78" s="408">
        <f>M78+M79</f>
        <v>0.94736842105263153</v>
      </c>
      <c r="P78" s="232" t="s">
        <v>88</v>
      </c>
      <c r="Q78" s="210">
        <f>COUNTIFS('1. All Data'!$AB$3:$AB$133,"Community &amp; Regulatory Services",'1. All Data'!$R$3:$R$133,"Fully Achieved")</f>
        <v>8</v>
      </c>
      <c r="R78" s="211">
        <f>Q78/Q89</f>
        <v>0.4</v>
      </c>
      <c r="S78" s="403">
        <f>R78+R79</f>
        <v>0.9</v>
      </c>
      <c r="T78" s="212">
        <f>Q78/Q90</f>
        <v>0.42105263157894735</v>
      </c>
      <c r="U78" s="408">
        <f>T78+T79</f>
        <v>0.94736842105263153</v>
      </c>
      <c r="W78" s="232" t="s">
        <v>88</v>
      </c>
      <c r="X78" s="210">
        <f>COUNTIFS('1. All Data'!$AB$3:$AB$133,"Community &amp; Regulatory Services",'1. All Data'!$V$3:$V$133,"Fully Achieved")</f>
        <v>18</v>
      </c>
      <c r="Y78" s="211">
        <f>X78/X89</f>
        <v>0.9</v>
      </c>
      <c r="Z78" s="403">
        <f>Y78+Y79</f>
        <v>0.9</v>
      </c>
      <c r="AA78" s="211">
        <f>X78/X90</f>
        <v>1</v>
      </c>
      <c r="AB78" s="377">
        <f>AA78+AA79</f>
        <v>1</v>
      </c>
      <c r="AC78" s="167"/>
    </row>
    <row r="79" spans="2:29" ht="18.75" customHeight="1">
      <c r="B79" s="232" t="s">
        <v>65</v>
      </c>
      <c r="C79" s="210">
        <f>COUNTIFS('1. All Data'!$AB$3:$AB$133,"Community &amp; Regulatory Services",'1. All Data'!$H$3:$H$133,"On Track to be Achieved")</f>
        <v>15</v>
      </c>
      <c r="D79" s="211">
        <f>C79/C89</f>
        <v>0.75</v>
      </c>
      <c r="E79" s="403"/>
      <c r="F79" s="212">
        <f>C79/C90</f>
        <v>0.9375</v>
      </c>
      <c r="G79" s="408"/>
      <c r="I79" s="232" t="s">
        <v>65</v>
      </c>
      <c r="J79" s="210">
        <f>COUNTIFS('1. All Data'!$AB$3:$AB$133,"Community &amp; Regulatory Services",'1. All Data'!$M$3:$M$133,"On Track to be Achieved")</f>
        <v>14</v>
      </c>
      <c r="K79" s="211">
        <f>J79/J89</f>
        <v>0.7</v>
      </c>
      <c r="L79" s="403"/>
      <c r="M79" s="212">
        <f>J79/J90</f>
        <v>0.73684210526315785</v>
      </c>
      <c r="N79" s="408"/>
      <c r="P79" s="232" t="s">
        <v>65</v>
      </c>
      <c r="Q79" s="210">
        <f>COUNTIFS('1. All Data'!$AB$3:$AB$133,"Community &amp; Regulatory Services",'1. All Data'!$R$3:$R$133,"On Track to be Achieved")</f>
        <v>10</v>
      </c>
      <c r="R79" s="211">
        <f>Q79/Q89</f>
        <v>0.5</v>
      </c>
      <c r="S79" s="403"/>
      <c r="T79" s="212">
        <f>Q79/Q90</f>
        <v>0.52631578947368418</v>
      </c>
      <c r="U79" s="408"/>
      <c r="W79" s="232" t="s">
        <v>57</v>
      </c>
      <c r="X79" s="210">
        <f>COUNTIFS('1. All Data'!$AB$3:$AB$133,"Community &amp; Regulatory Services",'1. All Data'!$V$3:$V$133,"Numerical Outturn Within 5% Tolerance")</f>
        <v>0</v>
      </c>
      <c r="Y79" s="211">
        <f>X79/X89</f>
        <v>0</v>
      </c>
      <c r="Z79" s="403"/>
      <c r="AA79" s="211">
        <f>X79/X90</f>
        <v>0</v>
      </c>
      <c r="AB79" s="377"/>
      <c r="AC79" s="167"/>
    </row>
    <row r="80" spans="2:29" ht="16.5" customHeight="1">
      <c r="B80" s="397" t="s">
        <v>66</v>
      </c>
      <c r="C80" s="400">
        <f>COUNTIFS('1. All Data'!$AB$3:$AB$133,"Community &amp; Regulatory Services",'1. All Data'!$H$3:$H$133,"In Danger of Falling Behind Target")</f>
        <v>0</v>
      </c>
      <c r="D80" s="405">
        <f>C80/C89</f>
        <v>0</v>
      </c>
      <c r="E80" s="405">
        <f>D80</f>
        <v>0</v>
      </c>
      <c r="F80" s="391">
        <f>C80/C90</f>
        <v>0</v>
      </c>
      <c r="G80" s="394">
        <f>F80</f>
        <v>0</v>
      </c>
      <c r="I80" s="397" t="s">
        <v>66</v>
      </c>
      <c r="J80" s="400">
        <f>COUNTIFS('1. All Data'!$AB$3:$AB$133,"Community &amp; Regulatory Services",'1. All Data'!$M$3:$M$133,"In Danger of Falling Behind Target")</f>
        <v>1</v>
      </c>
      <c r="K80" s="405">
        <f>J80/J89</f>
        <v>0.05</v>
      </c>
      <c r="L80" s="405">
        <f>K80</f>
        <v>0.05</v>
      </c>
      <c r="M80" s="391">
        <f>J80/J90</f>
        <v>5.2631578947368418E-2</v>
      </c>
      <c r="N80" s="394">
        <f>M80</f>
        <v>5.2631578947368418E-2</v>
      </c>
      <c r="P80" s="397" t="s">
        <v>66</v>
      </c>
      <c r="Q80" s="400">
        <f>COUNTIFS('1. All Data'!$AB$3:$AB$133,"Community &amp; Regulatory Services",'1. All Data'!$R$3:$R$133,"In Danger of Falling Behind Target")</f>
        <v>0</v>
      </c>
      <c r="R80" s="405">
        <f>Q80/Q89</f>
        <v>0</v>
      </c>
      <c r="S80" s="405">
        <f>R80</f>
        <v>0</v>
      </c>
      <c r="T80" s="391">
        <f>Q80/Q90</f>
        <v>0</v>
      </c>
      <c r="U80" s="394">
        <f>T80</f>
        <v>0</v>
      </c>
      <c r="W80" s="170" t="s">
        <v>58</v>
      </c>
      <c r="X80" s="171">
        <f>COUNTIFS('1. All Data'!$AB$3:$AB$133,"Community &amp; Regulatory Services",'1. All Data'!$V$3:$V$133,"Numerical Outturn Within 10% Tolerance")</f>
        <v>0</v>
      </c>
      <c r="Y80" s="169">
        <f>X80/X89</f>
        <v>0</v>
      </c>
      <c r="Z80" s="362">
        <f>SUM(Y80:Y82)</f>
        <v>0</v>
      </c>
      <c r="AA80" s="169">
        <f>X80/X90</f>
        <v>0</v>
      </c>
      <c r="AB80" s="363">
        <f>SUM(AA80:AA82)</f>
        <v>0</v>
      </c>
      <c r="AC80" s="167"/>
    </row>
    <row r="81" spans="2:29" ht="16.5" customHeight="1">
      <c r="B81" s="398"/>
      <c r="C81" s="401"/>
      <c r="D81" s="406"/>
      <c r="E81" s="406"/>
      <c r="F81" s="392"/>
      <c r="G81" s="395"/>
      <c r="I81" s="398"/>
      <c r="J81" s="401"/>
      <c r="K81" s="406"/>
      <c r="L81" s="406"/>
      <c r="M81" s="392"/>
      <c r="N81" s="395"/>
      <c r="P81" s="398"/>
      <c r="Q81" s="401"/>
      <c r="R81" s="406"/>
      <c r="S81" s="406"/>
      <c r="T81" s="392"/>
      <c r="U81" s="395"/>
      <c r="W81" s="170" t="s">
        <v>59</v>
      </c>
      <c r="X81" s="171">
        <f>COUNTIFS('1. All Data'!$AB$3:$AB$133,"Community &amp; Regulatory Services",'1. All Data'!$V$3:$V$133,"Target Partially Met")</f>
        <v>0</v>
      </c>
      <c r="Y81" s="169">
        <f>X81/X89</f>
        <v>0</v>
      </c>
      <c r="Z81" s="362"/>
      <c r="AA81" s="169">
        <f>X81/X90</f>
        <v>0</v>
      </c>
      <c r="AB81" s="363"/>
      <c r="AC81" s="167"/>
    </row>
    <row r="82" spans="2:29" ht="16.5" customHeight="1">
      <c r="B82" s="399"/>
      <c r="C82" s="402"/>
      <c r="D82" s="407"/>
      <c r="E82" s="407"/>
      <c r="F82" s="393"/>
      <c r="G82" s="396"/>
      <c r="I82" s="399"/>
      <c r="J82" s="402"/>
      <c r="K82" s="407"/>
      <c r="L82" s="407"/>
      <c r="M82" s="393"/>
      <c r="N82" s="396"/>
      <c r="P82" s="399"/>
      <c r="Q82" s="402"/>
      <c r="R82" s="407"/>
      <c r="S82" s="407"/>
      <c r="T82" s="393"/>
      <c r="U82" s="396"/>
      <c r="W82" s="170" t="s">
        <v>62</v>
      </c>
      <c r="X82" s="171">
        <f>COUNTIFS('1. All Data'!$AB$3:$AB$133,"Community &amp; Regulatory Services",'1. All Data'!$V$3:$V$133,"Completion Date Within Reasonable Tolerance")</f>
        <v>0</v>
      </c>
      <c r="Y82" s="169">
        <f>X82/X89</f>
        <v>0</v>
      </c>
      <c r="Z82" s="362"/>
      <c r="AA82" s="169">
        <f>X82/X90</f>
        <v>0</v>
      </c>
      <c r="AB82" s="363"/>
      <c r="AC82" s="167"/>
    </row>
    <row r="83" spans="2:29" ht="22.5" customHeight="1">
      <c r="B83" s="213" t="s">
        <v>67</v>
      </c>
      <c r="C83" s="210">
        <f>COUNTIFS('1. All Data'!$AB$3:$AB$133,"Community &amp; Regulatory Services",'1. All Data'!$H$3:$H$133,"Completed Behind Schedule")</f>
        <v>0</v>
      </c>
      <c r="D83" s="211">
        <f>C83/C89</f>
        <v>0</v>
      </c>
      <c r="E83" s="403">
        <f>D83+D84</f>
        <v>0</v>
      </c>
      <c r="F83" s="212">
        <f>C83/C90</f>
        <v>0</v>
      </c>
      <c r="G83" s="404">
        <f>F83+F84</f>
        <v>0</v>
      </c>
      <c r="I83" s="213" t="s">
        <v>67</v>
      </c>
      <c r="J83" s="210">
        <f>COUNTIFS('1. All Data'!$AB$3:$AB$133,"Community &amp; Regulatory Services",'1. All Data'!$M$3:$M$133,"Completed Behind Schedule")</f>
        <v>0</v>
      </c>
      <c r="K83" s="211">
        <f>J83/J89</f>
        <v>0</v>
      </c>
      <c r="L83" s="403">
        <f>K83+K84</f>
        <v>0</v>
      </c>
      <c r="M83" s="212">
        <f>J83/J90</f>
        <v>0</v>
      </c>
      <c r="N83" s="404">
        <f>M83+M84</f>
        <v>0</v>
      </c>
      <c r="P83" s="213" t="s">
        <v>67</v>
      </c>
      <c r="Q83" s="210">
        <f>COUNTIFS('1. All Data'!$AB$3:$AB$133,"Community &amp; Regulatory Services",'1. All Data'!$R$3:$R$133,"Completed Behind Schedule")</f>
        <v>0</v>
      </c>
      <c r="R83" s="211">
        <f>Q83/Q89</f>
        <v>0</v>
      </c>
      <c r="S83" s="403">
        <f>R83+R84</f>
        <v>0.05</v>
      </c>
      <c r="T83" s="212">
        <f>Q83/Q90</f>
        <v>0</v>
      </c>
      <c r="U83" s="404">
        <f>T83+T84</f>
        <v>5.2631578947368418E-2</v>
      </c>
      <c r="W83" s="172" t="s">
        <v>61</v>
      </c>
      <c r="X83" s="210">
        <f>COUNTIFS('1. All Data'!$AB$3:$AB$133,"Community &amp; Regulatory Services",'1. All Data'!$V$3:$V$133,"Completed Significantly After Target Deadline")</f>
        <v>0</v>
      </c>
      <c r="Y83" s="211">
        <f>X83/X89</f>
        <v>0</v>
      </c>
      <c r="Z83" s="403">
        <f>Y83+Y84</f>
        <v>0</v>
      </c>
      <c r="AA83" s="169">
        <f>X83/X90</f>
        <v>0</v>
      </c>
      <c r="AB83" s="364">
        <f>AA83+AA84</f>
        <v>0</v>
      </c>
      <c r="AC83" s="167"/>
    </row>
    <row r="84" spans="2:29" ht="22.5" customHeight="1">
      <c r="B84" s="213" t="s">
        <v>60</v>
      </c>
      <c r="C84" s="210">
        <f>COUNTIFS('1. All Data'!$AB$3:$AB$133,"Community &amp; Regulatory Services",'1. All Data'!$H$3:$H$133,"Off Target")</f>
        <v>0</v>
      </c>
      <c r="D84" s="211">
        <f>C84/C89</f>
        <v>0</v>
      </c>
      <c r="E84" s="403"/>
      <c r="F84" s="212">
        <f>C84/C90</f>
        <v>0</v>
      </c>
      <c r="G84" s="404"/>
      <c r="I84" s="213" t="s">
        <v>60</v>
      </c>
      <c r="J84" s="210">
        <f>COUNTIFS('1. All Data'!$AB$3:$AB$133,"Community &amp; Regulatory Services",'1. All Data'!$M$3:$M$133,"Off Target")</f>
        <v>0</v>
      </c>
      <c r="K84" s="211">
        <f>J84/J89</f>
        <v>0</v>
      </c>
      <c r="L84" s="403"/>
      <c r="M84" s="212">
        <f>J84/J90</f>
        <v>0</v>
      </c>
      <c r="N84" s="404"/>
      <c r="P84" s="213" t="s">
        <v>60</v>
      </c>
      <c r="Q84" s="210">
        <f>COUNTIFS('1. All Data'!$AB$3:$AB$133,"Community &amp; Regulatory Services",'1. All Data'!$R$3:$R$133,"Off Target")</f>
        <v>1</v>
      </c>
      <c r="R84" s="211">
        <f>Q84/Q89</f>
        <v>0.05</v>
      </c>
      <c r="S84" s="403"/>
      <c r="T84" s="212">
        <f>Q84/Q90</f>
        <v>5.2631578947368418E-2</v>
      </c>
      <c r="U84" s="404"/>
      <c r="W84" s="172" t="s">
        <v>60</v>
      </c>
      <c r="X84" s="210">
        <f>COUNTIFS('1. All Data'!$AB$3:$AB$133,"Community &amp; Regulatory Services",'1. All Data'!$V$3:$V$133,"Off Target")</f>
        <v>0</v>
      </c>
      <c r="Y84" s="211">
        <f>X84/X89</f>
        <v>0</v>
      </c>
      <c r="Z84" s="403"/>
      <c r="AA84" s="169">
        <f>X84/X90</f>
        <v>0</v>
      </c>
      <c r="AB84" s="364"/>
      <c r="AC84" s="167"/>
    </row>
    <row r="85" spans="2:29" ht="15.75" customHeight="1">
      <c r="B85" s="214" t="s">
        <v>89</v>
      </c>
      <c r="C85" s="210">
        <f>COUNTIFS('1. All Data'!$AB$3:$AB$133,"Community &amp; Regulatory Services",'1. All Data'!$H$3:$H$133,"Not yet due")</f>
        <v>4</v>
      </c>
      <c r="D85" s="215">
        <f>C85/C89</f>
        <v>0.2</v>
      </c>
      <c r="E85" s="215">
        <f>D85</f>
        <v>0.2</v>
      </c>
      <c r="F85" s="216"/>
      <c r="G85" s="59"/>
      <c r="I85" s="214" t="s">
        <v>89</v>
      </c>
      <c r="J85" s="210">
        <f>COUNTIFS('1. All Data'!$AB$3:$AB$133,"Community &amp; Regulatory Services",'1. All Data'!$M$3:$M$133,"Not yet due")</f>
        <v>1</v>
      </c>
      <c r="K85" s="215">
        <f>J85/J89</f>
        <v>0.05</v>
      </c>
      <c r="L85" s="215">
        <f>K85</f>
        <v>0.05</v>
      </c>
      <c r="M85" s="216"/>
      <c r="N85" s="59"/>
      <c r="P85" s="214" t="s">
        <v>89</v>
      </c>
      <c r="Q85" s="210">
        <f>COUNTIFS('1. All Data'!$AB$3:$AB$133,"Community &amp; Regulatory Services",'1. All Data'!$R$3:$R$133,"Not yet due")</f>
        <v>0</v>
      </c>
      <c r="R85" s="215">
        <f>Q85/Q89</f>
        <v>0</v>
      </c>
      <c r="S85" s="215">
        <f>R85</f>
        <v>0</v>
      </c>
      <c r="T85" s="216"/>
      <c r="U85" s="59"/>
      <c r="W85" s="173" t="s">
        <v>89</v>
      </c>
      <c r="X85" s="210">
        <f>COUNTIFS('1. All Data'!$AB$3:$AB$133,"Community &amp; Regulatory Services",'1. All Data'!$V$3:$V$133,"Not yet due")</f>
        <v>0</v>
      </c>
      <c r="Y85" s="215">
        <f>X85/X89</f>
        <v>0</v>
      </c>
      <c r="Z85" s="215">
        <f>Y85</f>
        <v>0</v>
      </c>
      <c r="AA85" s="175"/>
      <c r="AB85" s="59"/>
      <c r="AC85" s="167"/>
    </row>
    <row r="86" spans="2:29" ht="15.75" customHeight="1">
      <c r="B86" s="214" t="s">
        <v>55</v>
      </c>
      <c r="C86" s="210">
        <f>COUNTIFS('1. All Data'!$AB$3:$AB$133,"Community &amp; Regulatory Services",'1. All Data'!$H$3:$H$133,"Update not provided")</f>
        <v>0</v>
      </c>
      <c r="D86" s="215">
        <f>C86/C89</f>
        <v>0</v>
      </c>
      <c r="E86" s="215">
        <f>D86</f>
        <v>0</v>
      </c>
      <c r="F86" s="216"/>
      <c r="G86" s="2"/>
      <c r="I86" s="214" t="s">
        <v>55</v>
      </c>
      <c r="J86" s="210">
        <f>COUNTIFS('1. All Data'!$AB$3:$AB$133,"Community &amp; Regulatory Services",'1. All Data'!$M$3:$M$133,"Update not provided")</f>
        <v>0</v>
      </c>
      <c r="K86" s="215">
        <f>J86/J89</f>
        <v>0</v>
      </c>
      <c r="L86" s="215">
        <f>K86</f>
        <v>0</v>
      </c>
      <c r="M86" s="216"/>
      <c r="N86" s="2"/>
      <c r="P86" s="214" t="s">
        <v>55</v>
      </c>
      <c r="Q86" s="210">
        <f>COUNTIFS('1. All Data'!$AB$3:$AB$133,"Community &amp; Regulatory Services",'1. All Data'!$R$3:$R$133,"Update not provided")</f>
        <v>0</v>
      </c>
      <c r="R86" s="215">
        <f>Q86/Q89</f>
        <v>0</v>
      </c>
      <c r="S86" s="215">
        <f>R86</f>
        <v>0</v>
      </c>
      <c r="T86" s="216"/>
      <c r="U86" s="2"/>
      <c r="W86" s="173" t="s">
        <v>55</v>
      </c>
      <c r="X86" s="210">
        <f>COUNTIFS('1. All Data'!$AB$3:$AB$133,"Community &amp; Regulatory Services",'1. All Data'!$V$3:$V$133,"Update not provided")</f>
        <v>0</v>
      </c>
      <c r="Y86" s="215">
        <f>X86/X89</f>
        <v>0</v>
      </c>
      <c r="Z86" s="215">
        <f>Y86</f>
        <v>0</v>
      </c>
      <c r="AA86" s="175"/>
      <c r="AB86" s="2"/>
      <c r="AC86" s="167"/>
    </row>
    <row r="87" spans="2:29" ht="15.75" customHeight="1">
      <c r="B87" s="217" t="s">
        <v>63</v>
      </c>
      <c r="C87" s="210">
        <f>COUNTIFS('1. All Data'!$AB$3:$AB$133,"Community &amp; Regulatory Services",'1. All Data'!$H$3:$H$133,"Deferred")</f>
        <v>0</v>
      </c>
      <c r="D87" s="218">
        <f>C87/C89</f>
        <v>0</v>
      </c>
      <c r="E87" s="218">
        <f>D87</f>
        <v>0</v>
      </c>
      <c r="F87" s="219"/>
      <c r="G87" s="59"/>
      <c r="I87" s="217" t="s">
        <v>63</v>
      </c>
      <c r="J87" s="210">
        <f>COUNTIFS('1. All Data'!$AB$3:$AB$133,"Community &amp; Regulatory Services",'1. All Data'!$M$3:$M$133,"Deferred")</f>
        <v>0</v>
      </c>
      <c r="K87" s="218">
        <f>J87/J89</f>
        <v>0</v>
      </c>
      <c r="L87" s="218">
        <f>K87</f>
        <v>0</v>
      </c>
      <c r="M87" s="219"/>
      <c r="N87" s="59"/>
      <c r="P87" s="217" t="s">
        <v>63</v>
      </c>
      <c r="Q87" s="210">
        <f>COUNTIFS('1. All Data'!$AB$3:$AB$133,"Community &amp; Regulatory Services",'1. All Data'!$R$3:$R$133,"Deferred")</f>
        <v>1</v>
      </c>
      <c r="R87" s="218">
        <f>Q87/Q89</f>
        <v>0.05</v>
      </c>
      <c r="S87" s="218">
        <f>R87</f>
        <v>0.05</v>
      </c>
      <c r="T87" s="219"/>
      <c r="U87" s="59"/>
      <c r="W87" s="176" t="s">
        <v>63</v>
      </c>
      <c r="X87" s="210">
        <f>COUNTIFS('1. All Data'!$AB$3:$AB$133,"Community &amp; Regulatory Services",'1. All Data'!$V$3:$V$133,"Deferred")</f>
        <v>1</v>
      </c>
      <c r="Y87" s="218">
        <f>X87/X89</f>
        <v>0.05</v>
      </c>
      <c r="Z87" s="218">
        <f>Y87</f>
        <v>0.05</v>
      </c>
      <c r="AA87" s="178"/>
      <c r="AB87" s="59"/>
      <c r="AC87" s="167"/>
    </row>
    <row r="88" spans="2:29" ht="15.75" customHeight="1">
      <c r="B88" s="217" t="s">
        <v>64</v>
      </c>
      <c r="C88" s="210">
        <f>COUNTIFS('1. All Data'!$AB$3:$AB$133,"Community &amp; Regulatory Services",'1. All Data'!$H$3:$H$133,"Deleted")</f>
        <v>0</v>
      </c>
      <c r="D88" s="218">
        <f>C88/C89</f>
        <v>0</v>
      </c>
      <c r="E88" s="218">
        <f>D88</f>
        <v>0</v>
      </c>
      <c r="F88" s="219"/>
      <c r="G88" s="30"/>
      <c r="I88" s="217" t="s">
        <v>64</v>
      </c>
      <c r="J88" s="210">
        <f>COUNTIFS('1. All Data'!$AB$3:$AB$133,"Community &amp; Regulatory Services",'1. All Data'!$M$3:$M$133,"Deleted")</f>
        <v>0</v>
      </c>
      <c r="K88" s="218">
        <f>J88/J89</f>
        <v>0</v>
      </c>
      <c r="L88" s="218">
        <f>K88</f>
        <v>0</v>
      </c>
      <c r="M88" s="219"/>
      <c r="N88" s="30"/>
      <c r="P88" s="217" t="s">
        <v>64</v>
      </c>
      <c r="Q88" s="210">
        <f>COUNTIFS('1. All Data'!$AB$3:$AB$133,"Community &amp; Regulatory Services",'1. All Data'!$R$3:$R$133,"Deleted")</f>
        <v>0</v>
      </c>
      <c r="R88" s="218">
        <f>Q88/Q89</f>
        <v>0</v>
      </c>
      <c r="S88" s="218">
        <f>R88</f>
        <v>0</v>
      </c>
      <c r="T88" s="219"/>
      <c r="U88" s="30"/>
      <c r="W88" s="176" t="s">
        <v>64</v>
      </c>
      <c r="X88" s="210">
        <f>COUNTIFS('1. All Data'!$AB$3:$AB$133,"Community &amp; Regulatory Services",'1. All Data'!$V$3:$V$133,"Deleted")</f>
        <v>1</v>
      </c>
      <c r="Y88" s="218">
        <f>X88/X89</f>
        <v>0.05</v>
      </c>
      <c r="Z88" s="218">
        <f>Y88</f>
        <v>0.05</v>
      </c>
      <c r="AA88" s="178"/>
      <c r="AB88" s="3"/>
      <c r="AC88" s="167"/>
    </row>
    <row r="89" spans="2:29" ht="15.75" customHeight="1">
      <c r="B89" s="220" t="s">
        <v>91</v>
      </c>
      <c r="C89" s="221">
        <f>SUM(C78:C88)</f>
        <v>20</v>
      </c>
      <c r="D89" s="178"/>
      <c r="E89" s="178"/>
      <c r="F89" s="222"/>
      <c r="G89" s="59"/>
      <c r="I89" s="220" t="s">
        <v>91</v>
      </c>
      <c r="J89" s="221">
        <f>SUM(J78:J88)</f>
        <v>20</v>
      </c>
      <c r="K89" s="178"/>
      <c r="L89" s="178"/>
      <c r="M89" s="222"/>
      <c r="N89" s="59"/>
      <c r="P89" s="220" t="s">
        <v>91</v>
      </c>
      <c r="Q89" s="221">
        <f>SUM(Q78:Q88)</f>
        <v>20</v>
      </c>
      <c r="R89" s="178"/>
      <c r="S89" s="178"/>
      <c r="T89" s="222"/>
      <c r="U89" s="59"/>
      <c r="W89" s="179" t="s">
        <v>91</v>
      </c>
      <c r="X89" s="221">
        <f>SUM(X78:X88)</f>
        <v>20</v>
      </c>
      <c r="Y89" s="178"/>
      <c r="Z89" s="178"/>
      <c r="AA89" s="59"/>
      <c r="AB89" s="59"/>
      <c r="AC89" s="167"/>
    </row>
    <row r="90" spans="2:29" ht="15.75" customHeight="1">
      <c r="B90" s="220" t="s">
        <v>92</v>
      </c>
      <c r="C90" s="221">
        <f>C89-C88-C87-C86-C85</f>
        <v>16</v>
      </c>
      <c r="D90" s="59"/>
      <c r="E90" s="59"/>
      <c r="F90" s="222"/>
      <c r="G90" s="59"/>
      <c r="I90" s="220" t="s">
        <v>92</v>
      </c>
      <c r="J90" s="221">
        <f>J89-J88-J87-J86-J85</f>
        <v>19</v>
      </c>
      <c r="K90" s="59"/>
      <c r="L90" s="59"/>
      <c r="M90" s="222"/>
      <c r="N90" s="59"/>
      <c r="P90" s="220" t="s">
        <v>92</v>
      </c>
      <c r="Q90" s="221">
        <f>Q89-Q88-Q87-Q86-Q85</f>
        <v>19</v>
      </c>
      <c r="R90" s="59"/>
      <c r="S90" s="59"/>
      <c r="T90" s="222"/>
      <c r="U90" s="59"/>
      <c r="W90" s="179" t="s">
        <v>92</v>
      </c>
      <c r="X90" s="221">
        <f>X89-X88-X87-X86-X85</f>
        <v>18</v>
      </c>
      <c r="Y90" s="59"/>
      <c r="Z90" s="59"/>
      <c r="AA90" s="59"/>
      <c r="AB90" s="59"/>
      <c r="AC90" s="167"/>
    </row>
    <row r="91" spans="2:29" ht="15.75" customHeight="1">
      <c r="W91" s="181"/>
      <c r="AA91" s="2"/>
      <c r="AC91" s="167"/>
    </row>
    <row r="92" spans="2:29" ht="15.75" customHeight="1">
      <c r="W92" s="166"/>
      <c r="X92" s="166"/>
      <c r="Y92" s="166"/>
      <c r="Z92" s="166"/>
      <c r="AA92" s="166"/>
      <c r="AB92" s="188"/>
      <c r="AC92" s="167"/>
    </row>
    <row r="93" spans="2:29" ht="15.75" customHeight="1">
      <c r="W93" s="166"/>
      <c r="X93" s="166"/>
      <c r="Y93" s="166"/>
      <c r="Z93" s="166"/>
      <c r="AA93" s="166"/>
      <c r="AB93" s="188"/>
      <c r="AC93" s="167"/>
    </row>
    <row r="94" spans="2:29">
      <c r="W94" s="166"/>
      <c r="X94" s="166"/>
      <c r="Y94" s="166"/>
      <c r="Z94" s="166"/>
      <c r="AA94" s="166"/>
      <c r="AB94" s="188"/>
      <c r="AC94" s="167"/>
    </row>
    <row r="95" spans="2:29">
      <c r="W95" s="166"/>
      <c r="X95" s="166"/>
      <c r="Y95" s="166"/>
      <c r="Z95" s="166"/>
      <c r="AA95" s="166"/>
      <c r="AB95" s="188"/>
      <c r="AC95" s="167"/>
    </row>
    <row r="96" spans="2:29">
      <c r="W96" s="166"/>
      <c r="X96" s="166"/>
      <c r="Y96" s="166"/>
      <c r="Z96" s="166"/>
      <c r="AA96" s="166"/>
      <c r="AB96" s="188"/>
      <c r="AC96" s="167"/>
    </row>
    <row r="97" spans="23:29">
      <c r="W97" s="166"/>
      <c r="X97" s="166"/>
      <c r="Y97" s="166"/>
      <c r="Z97" s="166"/>
      <c r="AA97" s="166"/>
      <c r="AB97" s="188"/>
      <c r="AC97" s="167"/>
    </row>
    <row r="98" spans="23:29">
      <c r="W98" s="166"/>
      <c r="X98" s="166"/>
      <c r="Y98" s="166"/>
      <c r="Z98" s="166"/>
      <c r="AA98" s="166"/>
      <c r="AB98" s="188"/>
      <c r="AC98" s="167"/>
    </row>
    <row r="99" spans="23:29">
      <c r="W99" s="166"/>
      <c r="X99" s="166"/>
      <c r="Y99" s="166"/>
      <c r="Z99" s="166"/>
      <c r="AA99" s="166"/>
      <c r="AB99" s="188"/>
      <c r="AC99" s="167"/>
    </row>
    <row r="100" spans="23:29">
      <c r="W100" s="166"/>
      <c r="X100" s="166"/>
      <c r="Y100" s="166"/>
      <c r="Z100" s="166"/>
      <c r="AA100" s="166"/>
      <c r="AB100" s="188"/>
      <c r="AC100" s="167"/>
    </row>
    <row r="101" spans="23:29">
      <c r="W101" s="166"/>
      <c r="X101" s="166"/>
      <c r="Y101" s="166"/>
      <c r="Z101" s="166"/>
      <c r="AA101" s="166"/>
      <c r="AB101" s="188"/>
      <c r="AC101" s="167"/>
    </row>
    <row r="102" spans="23:29">
      <c r="W102" s="166"/>
      <c r="X102" s="166"/>
      <c r="Y102" s="166"/>
      <c r="Z102" s="166"/>
      <c r="AA102" s="166"/>
      <c r="AB102" s="188"/>
      <c r="AC102" s="167"/>
    </row>
    <row r="103" spans="23:29">
      <c r="W103" s="166"/>
      <c r="X103" s="166"/>
      <c r="Y103" s="166"/>
      <c r="Z103" s="166"/>
      <c r="AA103" s="166"/>
      <c r="AB103" s="188"/>
      <c r="AC103" s="167"/>
    </row>
    <row r="104" spans="23:29">
      <c r="W104" s="166"/>
      <c r="X104" s="166"/>
      <c r="Y104" s="166"/>
      <c r="Z104" s="166"/>
      <c r="AA104" s="166"/>
      <c r="AB104" s="188"/>
      <c r="AC104" s="167"/>
    </row>
    <row r="105" spans="23:29">
      <c r="W105" s="166"/>
      <c r="X105" s="166"/>
      <c r="Y105" s="166"/>
      <c r="Z105" s="166"/>
      <c r="AA105" s="166"/>
      <c r="AB105" s="188"/>
      <c r="AC105" s="167"/>
    </row>
    <row r="106" spans="23:29">
      <c r="W106" s="166"/>
      <c r="X106" s="166"/>
      <c r="Y106" s="166"/>
      <c r="Z106" s="166"/>
      <c r="AA106" s="166"/>
      <c r="AB106" s="188"/>
      <c r="AC106" s="167"/>
    </row>
    <row r="107" spans="23:29">
      <c r="W107" s="166"/>
      <c r="X107" s="166"/>
      <c r="Y107" s="166"/>
      <c r="Z107" s="166"/>
      <c r="AA107" s="166"/>
      <c r="AB107" s="188"/>
      <c r="AC107" s="167"/>
    </row>
    <row r="108" spans="23:29">
      <c r="W108" s="166"/>
      <c r="X108" s="166"/>
      <c r="Y108" s="166"/>
      <c r="Z108" s="166"/>
      <c r="AA108" s="166"/>
      <c r="AB108" s="188"/>
      <c r="AC108" s="167"/>
    </row>
    <row r="109" spans="23:29">
      <c r="W109" s="166"/>
      <c r="X109" s="166"/>
      <c r="Y109" s="166"/>
      <c r="Z109" s="166"/>
      <c r="AA109" s="166"/>
      <c r="AB109" s="188"/>
      <c r="AC109" s="167"/>
    </row>
    <row r="110" spans="23:29">
      <c r="W110" s="166"/>
      <c r="X110" s="166"/>
      <c r="Y110" s="166"/>
      <c r="Z110" s="166"/>
      <c r="AA110" s="166"/>
      <c r="AB110" s="188"/>
      <c r="AC110" s="167"/>
    </row>
    <row r="111" spans="23:29">
      <c r="W111" s="166"/>
      <c r="X111" s="166"/>
      <c r="Y111" s="166"/>
      <c r="Z111" s="166"/>
      <c r="AA111" s="166"/>
      <c r="AB111" s="188"/>
      <c r="AC111" s="167"/>
    </row>
    <row r="112" spans="23:29">
      <c r="W112" s="166"/>
      <c r="X112" s="166"/>
      <c r="Y112" s="166"/>
      <c r="Z112" s="166"/>
      <c r="AA112" s="166"/>
      <c r="AB112" s="188"/>
      <c r="AC112" s="167"/>
    </row>
    <row r="113" spans="23:29">
      <c r="W113" s="166"/>
      <c r="X113" s="166"/>
      <c r="Y113" s="166"/>
      <c r="Z113" s="166"/>
      <c r="AA113" s="166"/>
      <c r="AB113" s="188"/>
      <c r="AC113" s="167"/>
    </row>
    <row r="114" spans="23:29">
      <c r="W114" s="166"/>
      <c r="X114" s="166"/>
      <c r="Y114" s="166"/>
      <c r="Z114" s="166"/>
      <c r="AA114" s="166"/>
      <c r="AB114" s="188"/>
      <c r="AC114" s="167"/>
    </row>
    <row r="115" spans="23:29">
      <c r="W115" s="166"/>
      <c r="X115" s="166"/>
      <c r="Y115" s="166"/>
      <c r="Z115" s="166"/>
      <c r="AA115" s="166"/>
      <c r="AB115" s="188"/>
      <c r="AC115" s="167"/>
    </row>
    <row r="116" spans="23:29">
      <c r="W116" s="166"/>
      <c r="X116" s="166"/>
      <c r="Y116" s="166"/>
      <c r="Z116" s="166"/>
      <c r="AA116" s="166"/>
      <c r="AB116" s="188"/>
      <c r="AC116" s="167"/>
    </row>
    <row r="117" spans="23:29">
      <c r="W117" s="166"/>
      <c r="X117" s="166"/>
      <c r="Y117" s="166"/>
      <c r="Z117" s="166"/>
      <c r="AA117" s="166"/>
      <c r="AB117" s="188"/>
      <c r="AC117" s="167"/>
    </row>
    <row r="118" spans="23:29">
      <c r="W118" s="166"/>
      <c r="X118" s="166"/>
      <c r="Y118" s="166"/>
      <c r="Z118" s="166"/>
      <c r="AA118" s="166"/>
      <c r="AB118" s="188"/>
      <c r="AC118" s="167"/>
    </row>
    <row r="119" spans="23:29">
      <c r="W119" s="166"/>
      <c r="X119" s="166"/>
      <c r="Y119" s="166"/>
      <c r="Z119" s="166"/>
      <c r="AA119" s="166"/>
      <c r="AB119" s="188"/>
      <c r="AC119" s="167"/>
    </row>
    <row r="120" spans="23:29">
      <c r="W120" s="166"/>
      <c r="X120" s="166"/>
      <c r="Y120" s="166"/>
      <c r="Z120" s="166"/>
      <c r="AA120" s="166"/>
      <c r="AB120" s="188"/>
      <c r="AC120" s="167"/>
    </row>
    <row r="121" spans="23:29">
      <c r="W121" s="166"/>
      <c r="X121" s="166"/>
      <c r="Y121" s="166"/>
      <c r="Z121" s="166"/>
      <c r="AA121" s="166"/>
      <c r="AB121" s="188"/>
      <c r="AC121" s="167"/>
    </row>
    <row r="122" spans="23:29">
      <c r="W122" s="166"/>
      <c r="X122" s="166"/>
      <c r="Y122" s="166"/>
      <c r="Z122" s="166"/>
      <c r="AA122" s="166"/>
      <c r="AB122" s="188"/>
      <c r="AC122" s="167"/>
    </row>
    <row r="123" spans="23:29">
      <c r="W123" s="166"/>
      <c r="X123" s="166"/>
      <c r="Y123" s="166"/>
      <c r="Z123" s="166"/>
      <c r="AA123" s="166"/>
      <c r="AB123" s="188"/>
      <c r="AC123" s="167"/>
    </row>
    <row r="124" spans="23:29">
      <c r="W124" s="166"/>
      <c r="X124" s="166"/>
      <c r="Y124" s="166"/>
      <c r="Z124" s="166"/>
      <c r="AA124" s="166"/>
      <c r="AB124" s="188"/>
      <c r="AC124" s="167"/>
    </row>
    <row r="125" spans="23:29">
      <c r="W125" s="166"/>
      <c r="X125" s="166"/>
      <c r="Y125" s="166"/>
      <c r="Z125" s="166"/>
      <c r="AA125" s="166"/>
      <c r="AB125" s="188"/>
      <c r="AC125" s="167"/>
    </row>
    <row r="126" spans="23:29">
      <c r="W126" s="166"/>
      <c r="X126" s="166"/>
      <c r="Y126" s="166"/>
      <c r="Z126" s="166"/>
      <c r="AA126" s="166"/>
      <c r="AB126" s="188"/>
      <c r="AC126" s="167"/>
    </row>
    <row r="127" spans="23:29">
      <c r="W127" s="166"/>
      <c r="X127" s="166"/>
      <c r="Y127" s="166"/>
      <c r="Z127" s="166"/>
      <c r="AA127" s="166"/>
      <c r="AB127" s="188"/>
      <c r="AC127" s="167"/>
    </row>
    <row r="128" spans="23:29">
      <c r="W128" s="166"/>
      <c r="X128" s="166"/>
      <c r="Y128" s="166"/>
      <c r="Z128" s="166"/>
      <c r="AA128" s="166"/>
      <c r="AB128" s="188"/>
      <c r="AC128" s="167"/>
    </row>
    <row r="129" spans="23:29">
      <c r="W129" s="166"/>
      <c r="X129" s="166"/>
      <c r="Y129" s="166"/>
      <c r="Z129" s="166"/>
      <c r="AA129" s="166"/>
      <c r="AB129" s="188"/>
      <c r="AC129" s="167"/>
    </row>
    <row r="130" spans="23:29">
      <c r="W130" s="166"/>
      <c r="X130" s="166"/>
      <c r="Y130" s="166"/>
      <c r="Z130" s="166"/>
      <c r="AA130" s="166"/>
      <c r="AB130" s="188"/>
      <c r="AC130" s="167"/>
    </row>
    <row r="131" spans="23:29">
      <c r="W131" s="166"/>
      <c r="X131" s="166"/>
      <c r="Y131" s="166"/>
      <c r="Z131" s="166"/>
      <c r="AA131" s="166"/>
      <c r="AB131" s="188"/>
      <c r="AC131" s="167"/>
    </row>
    <row r="132" spans="23:29">
      <c r="W132" s="166"/>
      <c r="X132" s="166"/>
      <c r="Y132" s="166"/>
      <c r="Z132" s="166"/>
      <c r="AA132" s="166"/>
      <c r="AB132" s="188"/>
      <c r="AC132" s="167"/>
    </row>
    <row r="133" spans="23:29">
      <c r="W133" s="166"/>
      <c r="X133" s="166"/>
      <c r="Y133" s="166"/>
      <c r="Z133" s="166"/>
      <c r="AA133" s="166"/>
      <c r="AB133" s="188"/>
      <c r="AC133" s="167"/>
    </row>
    <row r="134" spans="23:29">
      <c r="W134" s="166"/>
      <c r="X134" s="166"/>
      <c r="Y134" s="166"/>
      <c r="Z134" s="166"/>
      <c r="AA134" s="166"/>
      <c r="AB134" s="188"/>
      <c r="AC134" s="167"/>
    </row>
    <row r="135" spans="23:29">
      <c r="W135" s="166"/>
      <c r="X135" s="166"/>
      <c r="Y135" s="166"/>
      <c r="Z135" s="166"/>
      <c r="AA135" s="166"/>
      <c r="AB135" s="188"/>
      <c r="AC135" s="167"/>
    </row>
    <row r="136" spans="23:29">
      <c r="W136" s="166"/>
      <c r="X136" s="166"/>
      <c r="Y136" s="166"/>
      <c r="Z136" s="166"/>
      <c r="AA136" s="166"/>
      <c r="AB136" s="188"/>
      <c r="AC136" s="167"/>
    </row>
    <row r="137" spans="23:29">
      <c r="W137" s="166"/>
      <c r="X137" s="166"/>
      <c r="Y137" s="166"/>
      <c r="Z137" s="166"/>
      <c r="AA137" s="166"/>
      <c r="AB137" s="188"/>
      <c r="AC137" s="167"/>
    </row>
    <row r="138" spans="23:29">
      <c r="W138" s="166"/>
      <c r="X138" s="166"/>
      <c r="Y138" s="166"/>
      <c r="Z138" s="166"/>
      <c r="AA138" s="166"/>
      <c r="AB138" s="188"/>
      <c r="AC138" s="167"/>
    </row>
    <row r="139" spans="23:29">
      <c r="W139" s="166"/>
      <c r="X139" s="166"/>
      <c r="Y139" s="166"/>
      <c r="Z139" s="166"/>
      <c r="AA139" s="166"/>
      <c r="AB139" s="188"/>
      <c r="AC139" s="167"/>
    </row>
    <row r="140" spans="23:29">
      <c r="W140" s="166"/>
      <c r="X140" s="166"/>
      <c r="Y140" s="166"/>
      <c r="Z140" s="166"/>
      <c r="AA140" s="166"/>
      <c r="AB140" s="188"/>
      <c r="AC140" s="167"/>
    </row>
    <row r="141" spans="23:29">
      <c r="W141" s="166"/>
      <c r="X141" s="166"/>
      <c r="Y141" s="166"/>
      <c r="Z141" s="166"/>
      <c r="AA141" s="166"/>
      <c r="AB141" s="188"/>
      <c r="AC141" s="167"/>
    </row>
    <row r="142" spans="23:29">
      <c r="W142" s="166"/>
      <c r="X142" s="166"/>
      <c r="Y142" s="166"/>
      <c r="Z142" s="166"/>
      <c r="AA142" s="166"/>
      <c r="AB142" s="188"/>
      <c r="AC142" s="167"/>
    </row>
    <row r="143" spans="23:29">
      <c r="W143" s="166"/>
      <c r="X143" s="166"/>
      <c r="Y143" s="166"/>
      <c r="Z143" s="166"/>
      <c r="AA143" s="166"/>
      <c r="AB143" s="188"/>
      <c r="AC143" s="167"/>
    </row>
    <row r="144" spans="23:29">
      <c r="W144" s="166"/>
      <c r="X144" s="166"/>
      <c r="Y144" s="166"/>
      <c r="Z144" s="166"/>
      <c r="AA144" s="166"/>
      <c r="AB144" s="188"/>
      <c r="AC144" s="167"/>
    </row>
    <row r="145" spans="23:29">
      <c r="W145" s="166"/>
      <c r="X145" s="166"/>
      <c r="Y145" s="166"/>
      <c r="Z145" s="166"/>
      <c r="AA145" s="166"/>
      <c r="AB145" s="188"/>
      <c r="AC145" s="167"/>
    </row>
    <row r="146" spans="23:29">
      <c r="W146" s="166"/>
      <c r="X146" s="166"/>
      <c r="Y146" s="166"/>
      <c r="Z146" s="166"/>
      <c r="AA146" s="166"/>
      <c r="AB146" s="188"/>
      <c r="AC146" s="167"/>
    </row>
    <row r="147" spans="23:29">
      <c r="W147" s="166"/>
      <c r="X147" s="166"/>
      <c r="Y147" s="166"/>
      <c r="Z147" s="166"/>
      <c r="AA147" s="166"/>
      <c r="AB147" s="188"/>
      <c r="AC147" s="167"/>
    </row>
    <row r="148" spans="23:29">
      <c r="W148" s="166"/>
      <c r="X148" s="166"/>
      <c r="Y148" s="166"/>
      <c r="Z148" s="166"/>
      <c r="AA148" s="166"/>
      <c r="AB148" s="188"/>
      <c r="AC148" s="167"/>
    </row>
    <row r="149" spans="23:29">
      <c r="W149" s="166"/>
      <c r="X149" s="166"/>
      <c r="Y149" s="166"/>
      <c r="Z149" s="166"/>
      <c r="AA149" s="166"/>
      <c r="AB149" s="188"/>
      <c r="AC149" s="167"/>
    </row>
    <row r="150" spans="23:29">
      <c r="W150" s="166"/>
      <c r="X150" s="166"/>
      <c r="Y150" s="166"/>
      <c r="Z150" s="166"/>
      <c r="AA150" s="166"/>
      <c r="AB150" s="188"/>
      <c r="AC150" s="167"/>
    </row>
    <row r="151" spans="23:29">
      <c r="W151" s="166"/>
      <c r="X151" s="166"/>
      <c r="Y151" s="166"/>
      <c r="Z151" s="166"/>
      <c r="AA151" s="166"/>
      <c r="AB151" s="188"/>
      <c r="AC151" s="167"/>
    </row>
    <row r="152" spans="23:29">
      <c r="W152" s="166"/>
      <c r="X152" s="166"/>
      <c r="Y152" s="166"/>
      <c r="Z152" s="166"/>
      <c r="AA152" s="166"/>
      <c r="AB152" s="188"/>
      <c r="AC152" s="167"/>
    </row>
    <row r="153" spans="23:29">
      <c r="W153" s="166"/>
      <c r="X153" s="166"/>
      <c r="Y153" s="166"/>
      <c r="Z153" s="166"/>
      <c r="AA153" s="166"/>
      <c r="AB153" s="188"/>
      <c r="AC153" s="167"/>
    </row>
    <row r="154" spans="23:29">
      <c r="W154" s="166"/>
      <c r="X154" s="166"/>
      <c r="Y154" s="166"/>
      <c r="Z154" s="166"/>
      <c r="AA154" s="166"/>
      <c r="AB154" s="188"/>
      <c r="AC154" s="167"/>
    </row>
    <row r="155" spans="23:29">
      <c r="W155" s="166"/>
      <c r="X155" s="166"/>
      <c r="Y155" s="166"/>
      <c r="Z155" s="166"/>
      <c r="AA155" s="166"/>
      <c r="AB155" s="188"/>
      <c r="AC155" s="167"/>
    </row>
    <row r="156" spans="23:29">
      <c r="W156" s="166"/>
      <c r="X156" s="166"/>
      <c r="Y156" s="166"/>
      <c r="Z156" s="166"/>
      <c r="AA156" s="166"/>
      <c r="AB156" s="188"/>
      <c r="AC156" s="167"/>
    </row>
    <row r="157" spans="23:29">
      <c r="W157" s="166"/>
      <c r="X157" s="166"/>
      <c r="Y157" s="166"/>
      <c r="Z157" s="166"/>
      <c r="AA157" s="166"/>
      <c r="AB157" s="188"/>
      <c r="AC157" s="167"/>
    </row>
    <row r="158" spans="23:29">
      <c r="W158" s="166"/>
      <c r="X158" s="166"/>
      <c r="Y158" s="166"/>
      <c r="Z158" s="166"/>
      <c r="AA158" s="166"/>
      <c r="AB158" s="188"/>
      <c r="AC158" s="167"/>
    </row>
    <row r="159" spans="23:29">
      <c r="W159" s="166"/>
      <c r="X159" s="166"/>
      <c r="Y159" s="166"/>
      <c r="Z159" s="166"/>
      <c r="AA159" s="166"/>
      <c r="AB159" s="188"/>
      <c r="AC159" s="167"/>
    </row>
    <row r="160" spans="23:29">
      <c r="W160" s="166"/>
      <c r="X160" s="166"/>
      <c r="Y160" s="166"/>
      <c r="Z160" s="166"/>
      <c r="AA160" s="166"/>
      <c r="AB160" s="188"/>
      <c r="AC160" s="167"/>
    </row>
    <row r="161" spans="23:29">
      <c r="W161" s="166"/>
      <c r="X161" s="166"/>
      <c r="Y161" s="166"/>
      <c r="Z161" s="166"/>
      <c r="AA161" s="166"/>
      <c r="AB161" s="188"/>
      <c r="AC161" s="167"/>
    </row>
    <row r="162" spans="23:29">
      <c r="W162" s="166"/>
      <c r="X162" s="166"/>
      <c r="Y162" s="166"/>
      <c r="Z162" s="166"/>
      <c r="AA162" s="166"/>
      <c r="AB162" s="188"/>
      <c r="AC162" s="167"/>
    </row>
    <row r="163" spans="23:29">
      <c r="W163" s="166"/>
      <c r="X163" s="166"/>
      <c r="Y163" s="166"/>
      <c r="Z163" s="166"/>
      <c r="AA163" s="166"/>
      <c r="AB163" s="188"/>
      <c r="AC163" s="167"/>
    </row>
    <row r="164" spans="23:29">
      <c r="W164" s="166"/>
      <c r="X164" s="166"/>
      <c r="Y164" s="166"/>
      <c r="Z164" s="166"/>
      <c r="AA164" s="166"/>
      <c r="AB164" s="188"/>
      <c r="AC164" s="167"/>
    </row>
    <row r="165" spans="23:29">
      <c r="W165" s="166"/>
      <c r="X165" s="166"/>
      <c r="Y165" s="166"/>
      <c r="Z165" s="166"/>
      <c r="AA165" s="166"/>
      <c r="AB165" s="188"/>
      <c r="AC165" s="167"/>
    </row>
    <row r="166" spans="23:29">
      <c r="W166" s="166"/>
      <c r="X166" s="166"/>
      <c r="Y166" s="166"/>
      <c r="Z166" s="166"/>
      <c r="AA166" s="166"/>
      <c r="AB166" s="188"/>
      <c r="AC166" s="167"/>
    </row>
    <row r="167" spans="23:29">
      <c r="W167" s="166"/>
      <c r="X167" s="166"/>
      <c r="Y167" s="166"/>
      <c r="Z167" s="166"/>
      <c r="AA167" s="166"/>
      <c r="AB167" s="188"/>
      <c r="AC167" s="167"/>
    </row>
    <row r="168" spans="23:29">
      <c r="W168" s="166"/>
      <c r="X168" s="166"/>
      <c r="Y168" s="166"/>
      <c r="Z168" s="166"/>
      <c r="AA168" s="166"/>
      <c r="AB168" s="188"/>
      <c r="AC168" s="167"/>
    </row>
    <row r="169" spans="23:29">
      <c r="W169" s="166"/>
      <c r="X169" s="166"/>
      <c r="Y169" s="166"/>
      <c r="Z169" s="166"/>
      <c r="AA169" s="166"/>
      <c r="AB169" s="188"/>
      <c r="AC169" s="167"/>
    </row>
    <row r="170" spans="23:29">
      <c r="W170" s="166"/>
      <c r="X170" s="166"/>
      <c r="Y170" s="166"/>
      <c r="Z170" s="166"/>
      <c r="AA170" s="166"/>
      <c r="AB170" s="188"/>
      <c r="AC170" s="167"/>
    </row>
    <row r="171" spans="23:29">
      <c r="W171" s="166"/>
      <c r="X171" s="166"/>
      <c r="Y171" s="166"/>
      <c r="Z171" s="166"/>
      <c r="AA171" s="166"/>
      <c r="AB171" s="188"/>
      <c r="AC171" s="167"/>
    </row>
    <row r="172" spans="23:29">
      <c r="W172" s="166"/>
      <c r="X172" s="166"/>
      <c r="Y172" s="166"/>
      <c r="Z172" s="166"/>
      <c r="AA172" s="166"/>
      <c r="AB172" s="188"/>
      <c r="AC172" s="167"/>
    </row>
    <row r="173" spans="23:29">
      <c r="W173" s="166"/>
      <c r="X173" s="166"/>
      <c r="Y173" s="166"/>
      <c r="Z173" s="166"/>
      <c r="AA173" s="166"/>
      <c r="AB173" s="188"/>
      <c r="AC173" s="167"/>
    </row>
    <row r="174" spans="23:29">
      <c r="W174" s="166"/>
      <c r="X174" s="166"/>
      <c r="Y174" s="166"/>
      <c r="Z174" s="166"/>
      <c r="AA174" s="166"/>
      <c r="AB174" s="188"/>
      <c r="AC174" s="167"/>
    </row>
    <row r="175" spans="23:29">
      <c r="W175" s="166"/>
      <c r="X175" s="166"/>
      <c r="Y175" s="166"/>
      <c r="Z175" s="166"/>
      <c r="AA175" s="166"/>
      <c r="AB175" s="188"/>
      <c r="AC175" s="167"/>
    </row>
    <row r="176" spans="23:29">
      <c r="W176" s="166"/>
      <c r="X176" s="166"/>
      <c r="Y176" s="166"/>
      <c r="Z176" s="166"/>
      <c r="AA176" s="166"/>
      <c r="AB176" s="188"/>
      <c r="AC176" s="167"/>
    </row>
    <row r="177" spans="23:29">
      <c r="W177" s="166"/>
      <c r="X177" s="166"/>
      <c r="Y177" s="166"/>
      <c r="Z177" s="166"/>
      <c r="AA177" s="166"/>
      <c r="AB177" s="188"/>
      <c r="AC177" s="167"/>
    </row>
    <row r="178" spans="23:29">
      <c r="W178" s="166"/>
      <c r="X178" s="166"/>
      <c r="Y178" s="166"/>
      <c r="Z178" s="166"/>
      <c r="AA178" s="166"/>
      <c r="AB178" s="188"/>
      <c r="AC178" s="167"/>
    </row>
    <row r="179" spans="23:29">
      <c r="W179" s="166"/>
      <c r="X179" s="166"/>
      <c r="Y179" s="166"/>
      <c r="Z179" s="166"/>
      <c r="AA179" s="166"/>
      <c r="AB179" s="188"/>
      <c r="AC179" s="167"/>
    </row>
    <row r="180" spans="23:29">
      <c r="W180" s="166"/>
      <c r="X180" s="166"/>
      <c r="Y180" s="166"/>
      <c r="Z180" s="166"/>
      <c r="AA180" s="166"/>
      <c r="AB180" s="188"/>
      <c r="AC180" s="167"/>
    </row>
    <row r="181" spans="23:29">
      <c r="W181" s="166"/>
      <c r="X181" s="166"/>
      <c r="Y181" s="166"/>
      <c r="Z181" s="166"/>
      <c r="AA181" s="166"/>
      <c r="AB181" s="188"/>
      <c r="AC181" s="167"/>
    </row>
    <row r="182" spans="23:29">
      <c r="W182" s="166"/>
      <c r="X182" s="166"/>
      <c r="Y182" s="166"/>
      <c r="Z182" s="166"/>
      <c r="AA182" s="166"/>
      <c r="AB182" s="188"/>
      <c r="AC182" s="167"/>
    </row>
    <row r="183" spans="23:29">
      <c r="W183" s="166"/>
      <c r="X183" s="166"/>
      <c r="Y183" s="166"/>
      <c r="Z183" s="166"/>
      <c r="AA183" s="166"/>
      <c r="AB183" s="188"/>
      <c r="AC183" s="167"/>
    </row>
    <row r="184" spans="23:29">
      <c r="W184" s="166"/>
      <c r="X184" s="166"/>
      <c r="Y184" s="166"/>
      <c r="Z184" s="166"/>
      <c r="AA184" s="166"/>
      <c r="AB184" s="188"/>
      <c r="AC184" s="167"/>
    </row>
    <row r="185" spans="23:29">
      <c r="W185" s="166"/>
      <c r="X185" s="166"/>
      <c r="Y185" s="166"/>
      <c r="Z185" s="166"/>
      <c r="AA185" s="166"/>
      <c r="AB185" s="188"/>
      <c r="AC185" s="167"/>
    </row>
    <row r="186" spans="23:29">
      <c r="W186" s="166"/>
      <c r="X186" s="166"/>
      <c r="Y186" s="166"/>
      <c r="Z186" s="166"/>
      <c r="AA186" s="166"/>
      <c r="AB186" s="188"/>
      <c r="AC186" s="167"/>
    </row>
    <row r="187" spans="23:29">
      <c r="W187" s="166"/>
      <c r="X187" s="166"/>
      <c r="Y187" s="166"/>
      <c r="Z187" s="166"/>
      <c r="AA187" s="166"/>
      <c r="AB187" s="188"/>
      <c r="AC187" s="167"/>
    </row>
    <row r="188" spans="23:29">
      <c r="W188" s="166"/>
      <c r="X188" s="166"/>
      <c r="Y188" s="166"/>
      <c r="Z188" s="166"/>
      <c r="AA188" s="166"/>
      <c r="AB188" s="188"/>
      <c r="AC188" s="167"/>
    </row>
    <row r="189" spans="23:29">
      <c r="W189" s="166"/>
      <c r="X189" s="166"/>
      <c r="Y189" s="166"/>
      <c r="Z189" s="166"/>
      <c r="AA189" s="166"/>
      <c r="AB189" s="188"/>
      <c r="AC189" s="167"/>
    </row>
    <row r="190" spans="23:29">
      <c r="W190" s="166"/>
      <c r="X190" s="166"/>
      <c r="Y190" s="166"/>
      <c r="Z190" s="166"/>
      <c r="AA190" s="166"/>
      <c r="AB190" s="188"/>
      <c r="AC190" s="167"/>
    </row>
    <row r="191" spans="23:29">
      <c r="W191" s="166"/>
      <c r="X191" s="166"/>
      <c r="Y191" s="166"/>
      <c r="Z191" s="166"/>
      <c r="AA191" s="166"/>
      <c r="AB191" s="188"/>
      <c r="AC191" s="167"/>
    </row>
    <row r="192" spans="23:29">
      <c r="W192" s="166"/>
      <c r="X192" s="166"/>
      <c r="Y192" s="166"/>
      <c r="Z192" s="166"/>
      <c r="AA192" s="166"/>
      <c r="AB192" s="188"/>
      <c r="AC192" s="167"/>
    </row>
    <row r="193" spans="23:29">
      <c r="W193" s="166"/>
      <c r="X193" s="166"/>
      <c r="Y193" s="166"/>
      <c r="Z193" s="166"/>
      <c r="AA193" s="166"/>
      <c r="AB193" s="188"/>
      <c r="AC193" s="167"/>
    </row>
    <row r="194" spans="23:29">
      <c r="W194" s="166"/>
      <c r="X194" s="166"/>
      <c r="Y194" s="166"/>
      <c r="Z194" s="166"/>
      <c r="AA194" s="166"/>
      <c r="AB194" s="188"/>
      <c r="AC194" s="167"/>
    </row>
    <row r="195" spans="23:29">
      <c r="W195" s="166"/>
      <c r="X195" s="166"/>
      <c r="Y195" s="166"/>
      <c r="Z195" s="166"/>
      <c r="AA195" s="166"/>
      <c r="AB195" s="188"/>
      <c r="AC195" s="167"/>
    </row>
    <row r="196" spans="23:29">
      <c r="W196" s="166"/>
      <c r="X196" s="166"/>
      <c r="Y196" s="166"/>
      <c r="Z196" s="166"/>
      <c r="AA196" s="166"/>
      <c r="AB196" s="188"/>
      <c r="AC196" s="167"/>
    </row>
    <row r="197" spans="23:29">
      <c r="W197" s="166"/>
      <c r="X197" s="166"/>
      <c r="Y197" s="166"/>
      <c r="Z197" s="166"/>
      <c r="AA197" s="166"/>
      <c r="AB197" s="188"/>
      <c r="AC197" s="167"/>
    </row>
  </sheetData>
  <sheetProtection algorithmName="SHA-512" hashValue="ldbgbD/j5/TGZqX2LpeOJVeGfcZiIqDay+CJnRd5jSSbgV7KspE4GBe2yv9E6vNYBUX0hUtUUH3cRlN861w6BQ==" saltValue="ADgr9tlhPBk+OnsaG4L51g=="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0" style="70" hidden="1" customWidth="1"/>
    <col min="12" max="18" width="0" style="69" hidden="1" customWidth="1"/>
    <col min="19" max="19" width="3.44140625" style="69" hidden="1" customWidth="1"/>
    <col min="20" max="27" width="9.33203125" style="69" hidden="1" customWidth="1"/>
    <col min="28" max="28" width="3.44140625" style="69" hidden="1" customWidth="1"/>
    <col min="29" max="36" width="9.33203125" style="69" hidden="1"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409" t="s">
        <v>97</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0.96551724137931028</v>
      </c>
      <c r="BA7" s="81">
        <f>'3a. % by Portfolio'!N5</f>
        <v>0.96969696969696972</v>
      </c>
      <c r="BB7" s="81">
        <f>'3a. % by Portfolio'!U5</f>
        <v>0.88888888888888895</v>
      </c>
      <c r="BC7" s="81">
        <f>'3a. % by Portfolio'!AB5</f>
        <v>0.97297297297297303</v>
      </c>
      <c r="BD7" s="70"/>
    </row>
    <row r="8" spans="2:56">
      <c r="L8" s="72"/>
      <c r="M8" s="72"/>
      <c r="AY8" s="80" t="s">
        <v>100</v>
      </c>
      <c r="AZ8" s="81">
        <f>'3a. % by Portfolio'!G7</f>
        <v>3.4482758620689655E-2</v>
      </c>
      <c r="BA8" s="81">
        <f>'3a. % by Portfolio'!N7</f>
        <v>3.0303030303030304E-2</v>
      </c>
      <c r="BB8" s="81">
        <f>'3a. % by Portfolio'!U7</f>
        <v>2.7777777777777776E-2</v>
      </c>
      <c r="BC8" s="81">
        <f>'3a. % by Portfolio'!AB7</f>
        <v>0</v>
      </c>
      <c r="BD8" s="70"/>
    </row>
    <row r="9" spans="2:56">
      <c r="L9" s="72"/>
      <c r="M9" s="72"/>
      <c r="AY9" s="80" t="s">
        <v>101</v>
      </c>
      <c r="AZ9" s="81">
        <f>'3a. % by Portfolio'!G10</f>
        <v>0</v>
      </c>
      <c r="BA9" s="81">
        <f>'3a. % by Portfolio'!N10</f>
        <v>0</v>
      </c>
      <c r="BB9" s="81">
        <f>'3a. % by Portfolio'!U10</f>
        <v>8.3333333333333329E-2</v>
      </c>
      <c r="BC9" s="81">
        <f>'3a. % by Portfolio'!AB10</f>
        <v>2.7027027027027029E-2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f>'3a. % by Portfolio'!AB24</f>
        <v>0.85714285714285721</v>
      </c>
      <c r="BD23" s="70"/>
    </row>
    <row r="24" spans="12:56">
      <c r="L24" s="72"/>
      <c r="M24" s="72"/>
      <c r="AY24" s="80" t="s">
        <v>100</v>
      </c>
      <c r="AZ24" s="81">
        <f>'3a. % by Portfolio'!G26</f>
        <v>0.04</v>
      </c>
      <c r="BA24" s="81">
        <f>'3a. % by Portfolio'!N26</f>
        <v>7.407407407407407E-2</v>
      </c>
      <c r="BB24" s="81">
        <f>'3a. % by Portfolio'!U26</f>
        <v>0</v>
      </c>
      <c r="BC24" s="81">
        <f>'3a. % by Portfolio'!AB26</f>
        <v>2.8571428571428571E-2</v>
      </c>
      <c r="BD24" s="70"/>
    </row>
    <row r="25" spans="12:56">
      <c r="L25" s="72"/>
      <c r="M25" s="72"/>
      <c r="AY25" s="80" t="s">
        <v>101</v>
      </c>
      <c r="AZ25" s="81">
        <f>'3a. % by Portfolio'!G29</f>
        <v>0</v>
      </c>
      <c r="BA25" s="81">
        <f>'3a. % by Portfolio'!N29</f>
        <v>0</v>
      </c>
      <c r="BB25" s="81">
        <f>'3a. % by Portfolio'!U29</f>
        <v>5.8823529411764705E-2</v>
      </c>
      <c r="BC25" s="81">
        <f>'3a. % by Portfolio'!AB29</f>
        <v>0.11428571428571428</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f>'3a. % by Portfolio'!AB42</f>
        <v>0.94444444444444442</v>
      </c>
      <c r="BD39" s="73"/>
    </row>
    <row r="40" spans="11:56">
      <c r="K40" s="72"/>
      <c r="L40" s="72"/>
      <c r="AY40" s="80" t="s">
        <v>100</v>
      </c>
      <c r="AZ40" s="81">
        <f>'3a. % by Portfolio'!G44</f>
        <v>0.1</v>
      </c>
      <c r="BA40" s="81">
        <f>'3a. % by Portfolio'!N44</f>
        <v>0</v>
      </c>
      <c r="BB40" s="81">
        <f>'3a. % by Portfolio'!U44</f>
        <v>0</v>
      </c>
      <c r="BC40" s="81">
        <f>'3a. % by Portfolio'!AB44</f>
        <v>5.5555555555555552E-2</v>
      </c>
      <c r="BD40" s="73"/>
    </row>
    <row r="41" spans="11:56">
      <c r="K41" s="72"/>
      <c r="L41" s="72"/>
      <c r="AY41" s="80" t="s">
        <v>101</v>
      </c>
      <c r="AZ41" s="81">
        <f>'3a. % by Portfolio'!G47</f>
        <v>0</v>
      </c>
      <c r="BA41" s="81">
        <f>'3a. % by Portfolio'!N47</f>
        <v>6.6666666666666666E-2</v>
      </c>
      <c r="BB41" s="81">
        <f>'3a. % by Portfolio'!U47</f>
        <v>5.8823529411764705E-2</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1063</v>
      </c>
      <c r="AZ53" s="85"/>
      <c r="BA53" s="85"/>
      <c r="BB53" s="85"/>
      <c r="BC53" s="85"/>
      <c r="BD53" s="70"/>
    </row>
    <row r="54" spans="12:56">
      <c r="AY54" s="86"/>
      <c r="AZ54" s="79" t="s">
        <v>33</v>
      </c>
      <c r="BA54" s="79" t="s">
        <v>34</v>
      </c>
      <c r="BB54" s="79" t="s">
        <v>35</v>
      </c>
      <c r="BC54" s="79" t="s">
        <v>32</v>
      </c>
      <c r="BD54" s="70"/>
    </row>
    <row r="55" spans="12:56">
      <c r="AY55" s="80" t="s">
        <v>99</v>
      </c>
      <c r="AZ55" s="81" t="e">
        <f>'3a. % by Portfolio'!G60</f>
        <v>#DIV/0!</v>
      </c>
      <c r="BA55" s="81" t="e">
        <f>'3a. % by Portfolio'!N60</f>
        <v>#DIV/0!</v>
      </c>
      <c r="BB55" s="81" t="e">
        <f>'3a. % by Portfolio'!U60</f>
        <v>#DIV/0!</v>
      </c>
      <c r="BC55" s="81">
        <f>'3a. % by Portfolio'!AB60</f>
        <v>1</v>
      </c>
      <c r="BD55" s="70"/>
    </row>
    <row r="56" spans="12:56">
      <c r="L56" s="72"/>
      <c r="M56" s="72"/>
      <c r="AY56" s="80" t="s">
        <v>100</v>
      </c>
      <c r="AZ56" s="81" t="e">
        <f>'3a. % by Portfolio'!G62</f>
        <v>#DIV/0!</v>
      </c>
      <c r="BA56" s="81" t="e">
        <f>'3a. % by Portfolio'!N62</f>
        <v>#DIV/0!</v>
      </c>
      <c r="BB56" s="81" t="e">
        <f>'3a. % by Portfolio'!U62</f>
        <v>#DIV/0!</v>
      </c>
      <c r="BC56" s="81">
        <f>'3a. % by Portfolio'!AB62</f>
        <v>0</v>
      </c>
      <c r="BD56" s="70"/>
    </row>
    <row r="57" spans="12:56">
      <c r="L57" s="72"/>
      <c r="M57" s="72"/>
      <c r="AY57" s="80" t="s">
        <v>101</v>
      </c>
      <c r="AZ57" s="81" t="e">
        <f>'3a. % by Portfolio'!G65</f>
        <v>#DIV/0!</v>
      </c>
      <c r="BA57" s="81" t="e">
        <f>'3a. % by Portfolio'!N65</f>
        <v>#DIV/0!</v>
      </c>
      <c r="BB57" s="81" t="e">
        <f>'3a. % by Portfolio'!U65</f>
        <v>#DIV/0!</v>
      </c>
      <c r="BC57" s="81">
        <f>'3a. % by Portfolio'!AB65</f>
        <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1</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2022-06-21T15:05:02Z</dcterms:modified>
</cp:coreProperties>
</file>